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352" yWindow="708" windowWidth="4848" windowHeight="7296" tabRatio="599"/>
  </bookViews>
  <sheets>
    <sheet name="1.sz.tábla   (2)" sheetId="42" r:id="rId1"/>
    <sheet name="2.sz.tábla   (2)" sheetId="41" r:id="rId2"/>
    <sheet name="2.a tábla ÚJ " sheetId="44" r:id="rId3"/>
    <sheet name="2b. tábla (2)" sheetId="120" r:id="rId4"/>
    <sheet name="2c. tábla (2)" sheetId="119" r:id="rId5"/>
    <sheet name="3.sz. tábla  (2)" sheetId="45" r:id="rId6"/>
    <sheet name="4.sz.tábla " sheetId="52" r:id="rId7"/>
    <sheet name="4a. sz. tábla  (3)" sheetId="107" r:id="rId8"/>
    <sheet name="5.tábla (2)" sheetId="40" r:id="rId9"/>
    <sheet name="5b. sz. tábla  (2)" sheetId="49" r:id="rId10"/>
    <sheet name="6.sz.tábla  (4)" sheetId="115" r:id="rId11"/>
    <sheet name="7. sz. tábla 1" sheetId="50" r:id="rId12"/>
    <sheet name="8. sz. tábla  (3)" sheetId="97" r:id="rId13"/>
    <sheet name="8a. sz. tábla  (4)" sheetId="113" r:id="rId14"/>
    <sheet name="9. sz. tábla (2)" sheetId="122" r:id="rId15"/>
    <sheet name="10. tábla többéves VÉGLEGES " sheetId="128" r:id="rId16"/>
    <sheet name="11. sz. tábla" sheetId="127" r:id="rId17"/>
    <sheet name="12. sz. tábla" sheetId="126" r:id="rId18"/>
    <sheet name="13. tábla EU pályázatok" sheetId="121" r:id="rId19"/>
    <sheet name="14. sz. stabilitási tv  (3)" sheetId="125" r:id="rId20"/>
    <sheet name="15.16. sz. tábla (2)" sheetId="124" r:id="rId21"/>
    <sheet name="17. sz. tábla " sheetId="103" r:id="rId22"/>
    <sheet name="18.sz.tábla  (4)" sheetId="123" r:id="rId23"/>
  </sheets>
  <externalReferences>
    <externalReference r:id="rId24"/>
    <externalReference r:id="rId25"/>
    <externalReference r:id="rId26"/>
  </externalReferences>
  <definedNames>
    <definedName name="_xlnm.Print_Area" localSheetId="0">'1.sz.tábla   (2)'!$A$1:$D$57</definedName>
    <definedName name="_xlnm.Print_Area" localSheetId="17">'12. sz. tábla'!$A$1:$E$25</definedName>
    <definedName name="_xlnm.Print_Area" localSheetId="18">'13. tábla EU pályázatok'!$A$1:$F$119</definedName>
    <definedName name="_xlnm.Print_Area" localSheetId="19">'14. sz. stabilitási tv  (3)'!$A$1:$G$25</definedName>
    <definedName name="_xlnm.Print_Area" localSheetId="20">'15.16. sz. tábla (2)'!$A$1:$C$42</definedName>
    <definedName name="_xlnm.Print_Area" localSheetId="21">'17. sz. tábla '!$A$1:$N$55</definedName>
    <definedName name="_xlnm.Print_Area" localSheetId="22">'18.sz.tábla  (4)'!$A$1:$E$41</definedName>
    <definedName name="_xlnm.Print_Area" localSheetId="2">'2.a tábla ÚJ '!$A$1:$Q$62</definedName>
    <definedName name="_xlnm.Print_Area" localSheetId="1">'2.sz.tábla   (2)'!$A$1:$M$93</definedName>
    <definedName name="_xlnm.Print_Area" localSheetId="3">'2b. tábla (2)'!$A$1:$G$85</definedName>
    <definedName name="_xlnm.Print_Area" localSheetId="4">'2c. tábla (2)'!$A$1:$I$124</definedName>
    <definedName name="_xlnm.Print_Area" localSheetId="5">'3.sz. tábla  (2)'!$A$1:$V$15</definedName>
    <definedName name="_xlnm.Print_Area" localSheetId="6">'4.sz.tábla '!$A$2:$AN$11</definedName>
    <definedName name="_xlnm.Print_Area" localSheetId="7">'4a. sz. tábla  (3)'!$A$1:$E$29</definedName>
    <definedName name="_xlnm.Print_Area" localSheetId="8">'5.tábla (2)'!$A$1:$D$115</definedName>
    <definedName name="_xlnm.Print_Area" localSheetId="9">'5b. sz. tábla  (2)'!$A$2:$D$85</definedName>
    <definedName name="_xlnm.Print_Area" localSheetId="10">'6.sz.tábla  (4)'!$A$1:$D$121</definedName>
    <definedName name="_xlnm.Print_Area" localSheetId="11">'7. sz. tábla 1'!$A$2:$D$172</definedName>
    <definedName name="_xlnm.Print_Area" localSheetId="12">'8. sz. tábla  (3)'!$A$1:$H$61</definedName>
    <definedName name="_xlnm.Print_Area" localSheetId="13">'8a. sz. tábla  (4)'!$A$2:$H$62</definedName>
    <definedName name="_xlnm.Print_Area" localSheetId="14">'9. sz. tábla (2)'!$A$2:$J$95</definedName>
    <definedName name="onev" localSheetId="15">[1]kod!$BT$34:$BT$3186</definedName>
    <definedName name="onev" localSheetId="22">[1]kod!$BT$34:$BT$3186</definedName>
    <definedName name="onev">[1]kod!$BT$34:$BT$3186</definedName>
  </definedNames>
  <calcPr calcId="145621" concurrentCalc="0"/>
</workbook>
</file>

<file path=xl/calcChain.xml><?xml version="1.0" encoding="utf-8"?>
<calcChain xmlns="http://schemas.openxmlformats.org/spreadsheetml/2006/main">
  <c r="K101" i="128" l="1"/>
  <c r="L101" i="128"/>
  <c r="K100" i="128"/>
  <c r="L100" i="128"/>
  <c r="K99" i="128"/>
  <c r="L99" i="128"/>
  <c r="K98" i="128"/>
  <c r="L98" i="128"/>
  <c r="K97" i="128"/>
  <c r="L97" i="128"/>
  <c r="K96" i="128"/>
  <c r="L96" i="128"/>
  <c r="K95" i="128"/>
  <c r="L95" i="128"/>
  <c r="K94" i="128"/>
  <c r="L94" i="128"/>
  <c r="K93" i="128"/>
  <c r="L93" i="128"/>
  <c r="K92" i="128"/>
  <c r="L92" i="128"/>
  <c r="K91" i="128"/>
  <c r="L91" i="128"/>
  <c r="K90" i="128"/>
  <c r="L90" i="128"/>
  <c r="K89" i="128"/>
  <c r="L89" i="128"/>
  <c r="K87" i="128"/>
  <c r="L87" i="128"/>
  <c r="K86" i="128"/>
  <c r="L86" i="128"/>
  <c r="K85" i="128"/>
  <c r="L85" i="128"/>
  <c r="K84" i="128"/>
  <c r="L84" i="128"/>
  <c r="K83" i="128"/>
  <c r="L83" i="128"/>
  <c r="K82" i="128"/>
  <c r="L82" i="128"/>
  <c r="K81" i="128"/>
  <c r="L81" i="128"/>
  <c r="K80" i="128"/>
  <c r="L80" i="128"/>
  <c r="K79" i="128"/>
  <c r="L79" i="128"/>
  <c r="K78" i="128"/>
  <c r="L78" i="128"/>
  <c r="K77" i="128"/>
  <c r="L77" i="128"/>
  <c r="K76" i="128"/>
  <c r="L76" i="128"/>
  <c r="K75" i="128"/>
  <c r="L75" i="128"/>
  <c r="K73" i="128"/>
  <c r="L73" i="128"/>
  <c r="K72" i="128"/>
  <c r="L72" i="128"/>
  <c r="K71" i="128"/>
  <c r="L71" i="128"/>
  <c r="K70" i="128"/>
  <c r="L70" i="128"/>
  <c r="K69" i="128"/>
  <c r="L69" i="128"/>
  <c r="K68" i="128"/>
  <c r="L68" i="128"/>
  <c r="K67" i="128"/>
  <c r="L67" i="128"/>
  <c r="K66" i="128"/>
  <c r="L66" i="128"/>
  <c r="K65" i="128"/>
  <c r="L65" i="128"/>
  <c r="K64" i="128"/>
  <c r="L64" i="128"/>
  <c r="K63" i="128"/>
  <c r="L63" i="128"/>
  <c r="K61" i="128"/>
  <c r="K31" i="128"/>
  <c r="K32" i="128"/>
  <c r="K33" i="128"/>
  <c r="K34" i="128"/>
  <c r="K35" i="128"/>
  <c r="K36" i="128"/>
  <c r="K37" i="128"/>
  <c r="K38" i="128"/>
  <c r="K39" i="128"/>
  <c r="K40" i="128"/>
  <c r="K41" i="128"/>
  <c r="K42" i="128"/>
  <c r="K43" i="128"/>
  <c r="K44" i="128"/>
  <c r="K45" i="128"/>
  <c r="K46" i="128"/>
  <c r="K47" i="128"/>
  <c r="K49" i="128"/>
  <c r="K50" i="128"/>
  <c r="K51" i="128"/>
  <c r="K52" i="128"/>
  <c r="K53" i="128"/>
  <c r="K54" i="128"/>
  <c r="K55" i="128"/>
  <c r="K56" i="128"/>
  <c r="K57" i="128"/>
  <c r="K58" i="128"/>
  <c r="K59" i="128"/>
  <c r="K60" i="128"/>
  <c r="K30" i="128"/>
  <c r="F61" i="128"/>
  <c r="L61" i="128"/>
  <c r="L60" i="128"/>
  <c r="L59" i="128"/>
  <c r="L58" i="128"/>
  <c r="L57" i="128"/>
  <c r="L56" i="128"/>
  <c r="L55" i="128"/>
  <c r="L54" i="128"/>
  <c r="L53" i="128"/>
  <c r="L52" i="128"/>
  <c r="L51" i="128"/>
  <c r="L50" i="128"/>
  <c r="L49" i="128"/>
  <c r="L47" i="128"/>
  <c r="L46" i="128"/>
  <c r="L45" i="128"/>
  <c r="L44" i="128"/>
  <c r="L43" i="128"/>
  <c r="L42" i="128"/>
  <c r="L41" i="128"/>
  <c r="L40" i="128"/>
  <c r="L39" i="128"/>
  <c r="L38" i="128"/>
  <c r="L37" i="128"/>
  <c r="L36" i="128"/>
  <c r="L35" i="128"/>
  <c r="L34" i="128"/>
  <c r="L33" i="128"/>
  <c r="L32" i="128"/>
  <c r="L31" i="128"/>
  <c r="J30" i="128"/>
  <c r="I30" i="128"/>
  <c r="I18" i="128"/>
  <c r="I24" i="128"/>
  <c r="I12" i="128"/>
  <c r="I102" i="128"/>
  <c r="H30" i="128"/>
  <c r="G30" i="128"/>
  <c r="G18" i="128"/>
  <c r="G24" i="128"/>
  <c r="G26" i="128"/>
  <c r="G28" i="128"/>
  <c r="G12" i="128"/>
  <c r="G102" i="128"/>
  <c r="F30" i="128"/>
  <c r="E30" i="128"/>
  <c r="E18" i="128"/>
  <c r="E24" i="128"/>
  <c r="E26" i="128"/>
  <c r="E28" i="128"/>
  <c r="E12" i="128"/>
  <c r="E102" i="128"/>
  <c r="D30" i="128"/>
  <c r="L28" i="128"/>
  <c r="J28" i="128"/>
  <c r="F28" i="128"/>
  <c r="D28" i="128"/>
  <c r="K27" i="128"/>
  <c r="K28" i="128"/>
  <c r="L26" i="128"/>
  <c r="J26" i="128"/>
  <c r="F26" i="128"/>
  <c r="D26" i="128"/>
  <c r="K25" i="128"/>
  <c r="K26" i="128"/>
  <c r="K23" i="128"/>
  <c r="K24" i="128"/>
  <c r="J24" i="128"/>
  <c r="H24" i="128"/>
  <c r="F24" i="128"/>
  <c r="D24" i="128"/>
  <c r="L23" i="128"/>
  <c r="L24" i="128"/>
  <c r="J18" i="128"/>
  <c r="J12" i="128"/>
  <c r="H18" i="128"/>
  <c r="H12" i="128"/>
  <c r="F18" i="128"/>
  <c r="F12" i="128"/>
  <c r="D18" i="128"/>
  <c r="D12" i="128"/>
  <c r="K17" i="128"/>
  <c r="L17" i="128"/>
  <c r="K16" i="128"/>
  <c r="L16" i="128"/>
  <c r="K15" i="128"/>
  <c r="L15" i="128"/>
  <c r="K14" i="128"/>
  <c r="L14" i="128"/>
  <c r="K13" i="128"/>
  <c r="K18" i="128"/>
  <c r="F30" i="127"/>
  <c r="E30" i="127"/>
  <c r="G28" i="127"/>
  <c r="H28" i="127"/>
  <c r="H30" i="127"/>
  <c r="G30" i="127"/>
  <c r="H23" i="127"/>
  <c r="G23" i="127"/>
  <c r="F23" i="127"/>
  <c r="E23" i="127"/>
  <c r="E21" i="127"/>
  <c r="F20" i="127"/>
  <c r="G20" i="127"/>
  <c r="E19" i="127"/>
  <c r="E24" i="127"/>
  <c r="E43" i="127"/>
  <c r="E15" i="126"/>
  <c r="E11" i="126"/>
  <c r="E25" i="126"/>
  <c r="H24" i="126"/>
  <c r="D24" i="126"/>
  <c r="D23" i="126"/>
  <c r="D16" i="126"/>
  <c r="D17" i="126"/>
  <c r="D18" i="126"/>
  <c r="D19" i="126"/>
  <c r="D20" i="126"/>
  <c r="D21" i="126"/>
  <c r="D15" i="126"/>
  <c r="D12" i="126"/>
  <c r="D13" i="126"/>
  <c r="D11" i="126"/>
  <c r="D25" i="126"/>
  <c r="H23" i="126"/>
  <c r="D22" i="126"/>
  <c r="F15" i="126"/>
  <c r="F25" i="125"/>
  <c r="E25" i="125"/>
  <c r="D25" i="125"/>
  <c r="C25" i="125"/>
  <c r="F14" i="125"/>
  <c r="F15" i="125"/>
  <c r="E14" i="125"/>
  <c r="E15" i="125"/>
  <c r="D14" i="125"/>
  <c r="D15" i="125"/>
  <c r="C14" i="125"/>
  <c r="C15" i="125"/>
  <c r="B37" i="124"/>
  <c r="B35" i="124"/>
  <c r="B38" i="124"/>
  <c r="B41" i="124"/>
  <c r="D18" i="124"/>
  <c r="B18" i="124"/>
  <c r="B10" i="124"/>
  <c r="B20" i="124"/>
  <c r="E40" i="123"/>
  <c r="D40" i="123"/>
  <c r="C40" i="123"/>
  <c r="B39" i="123"/>
  <c r="B38" i="123"/>
  <c r="B40" i="123"/>
  <c r="B36" i="123"/>
  <c r="B35" i="123"/>
  <c r="E34" i="123"/>
  <c r="E29" i="123"/>
  <c r="E23" i="123"/>
  <c r="E37" i="123"/>
  <c r="E41" i="123"/>
  <c r="D34" i="123"/>
  <c r="D29" i="123"/>
  <c r="D23" i="123"/>
  <c r="D37" i="123"/>
  <c r="D41" i="123"/>
  <c r="C34" i="123"/>
  <c r="C29" i="123"/>
  <c r="C23" i="123"/>
  <c r="C37" i="123"/>
  <c r="C41" i="123"/>
  <c r="B34" i="123"/>
  <c r="B33" i="123"/>
  <c r="B32" i="123"/>
  <c r="B31" i="123"/>
  <c r="B30" i="123"/>
  <c r="B29" i="123"/>
  <c r="B28" i="123"/>
  <c r="B27" i="123"/>
  <c r="B26" i="123"/>
  <c r="B25" i="123"/>
  <c r="B24" i="123"/>
  <c r="B23" i="123"/>
  <c r="E20" i="123"/>
  <c r="D20" i="123"/>
  <c r="C20" i="123"/>
  <c r="B19" i="123"/>
  <c r="B18" i="123"/>
  <c r="B20" i="123"/>
  <c r="E16" i="123"/>
  <c r="E21" i="123"/>
  <c r="E42" i="123"/>
  <c r="D16" i="123"/>
  <c r="D21" i="123"/>
  <c r="C16" i="123"/>
  <c r="C21" i="123"/>
  <c r="C42" i="123"/>
  <c r="B15" i="123"/>
  <c r="B14" i="123"/>
  <c r="B13" i="123"/>
  <c r="B12" i="123"/>
  <c r="B11" i="123"/>
  <c r="B10" i="123"/>
  <c r="B9" i="123"/>
  <c r="B16" i="123"/>
  <c r="B21" i="123"/>
  <c r="K12" i="128"/>
  <c r="L12" i="128"/>
  <c r="D102" i="128"/>
  <c r="F102" i="128"/>
  <c r="H102" i="128"/>
  <c r="J102" i="128"/>
  <c r="K102" i="128"/>
  <c r="L30" i="128"/>
  <c r="L13" i="128"/>
  <c r="L18" i="128"/>
  <c r="G21" i="127"/>
  <c r="G19" i="127"/>
  <c r="G24" i="127"/>
  <c r="G43" i="127"/>
  <c r="H20" i="127"/>
  <c r="H21" i="127"/>
  <c r="H19" i="127"/>
  <c r="H24" i="127"/>
  <c r="H43" i="127"/>
  <c r="F21" i="127"/>
  <c r="F19" i="127"/>
  <c r="F24" i="127"/>
  <c r="F43" i="127"/>
  <c r="B37" i="123"/>
  <c r="B41" i="123"/>
  <c r="D42" i="123"/>
  <c r="C145" i="50"/>
  <c r="C111" i="50"/>
  <c r="C106" i="50"/>
  <c r="C98" i="50"/>
  <c r="C160" i="50"/>
  <c r="C86" i="50"/>
  <c r="C91" i="50"/>
  <c r="C94" i="50"/>
  <c r="C33" i="50"/>
  <c r="C95" i="50"/>
  <c r="C161" i="50"/>
  <c r="C26" i="42"/>
  <c r="L102" i="128"/>
  <c r="L8" i="41"/>
  <c r="L9" i="41"/>
  <c r="L10" i="41"/>
  <c r="L11" i="41"/>
  <c r="L12" i="41"/>
  <c r="L13" i="41"/>
  <c r="L14" i="41"/>
  <c r="L7" i="41"/>
  <c r="L16" i="41"/>
  <c r="L17" i="41"/>
  <c r="L18" i="41"/>
  <c r="F19" i="41"/>
  <c r="L13" i="44"/>
  <c r="I19" i="41"/>
  <c r="L19" i="41"/>
  <c r="L6" i="41"/>
  <c r="F6" i="41"/>
  <c r="I6" i="41"/>
  <c r="H90" i="119"/>
  <c r="C9" i="45"/>
  <c r="I54" i="119"/>
  <c r="I55" i="119"/>
  <c r="I56" i="119"/>
  <c r="I57" i="119"/>
  <c r="I58" i="119"/>
  <c r="I59" i="119"/>
  <c r="I60" i="119"/>
  <c r="I61" i="119"/>
  <c r="C10" i="45"/>
  <c r="C11" i="45"/>
  <c r="I79" i="119"/>
  <c r="I80" i="119"/>
  <c r="I81" i="119"/>
  <c r="C12" i="45"/>
  <c r="C13" i="45"/>
  <c r="B8" i="113"/>
  <c r="C8" i="113"/>
  <c r="D20" i="122"/>
  <c r="D50" i="122"/>
  <c r="D32" i="122"/>
  <c r="D62" i="122"/>
  <c r="C65" i="41"/>
  <c r="D42" i="122"/>
  <c r="E42" i="122"/>
  <c r="C69" i="41"/>
  <c r="D55" i="122"/>
  <c r="E55" i="122"/>
  <c r="C47" i="41"/>
  <c r="C42" i="41"/>
  <c r="D41" i="122"/>
  <c r="D11" i="122"/>
  <c r="L23" i="44"/>
  <c r="I44" i="41"/>
  <c r="L25" i="44"/>
  <c r="I46" i="41"/>
  <c r="L27" i="44"/>
  <c r="I50" i="41"/>
  <c r="L28" i="44"/>
  <c r="I51" i="41"/>
  <c r="L29" i="44"/>
  <c r="I52" i="41"/>
  <c r="L33" i="44"/>
  <c r="I56" i="41"/>
  <c r="I42" i="41"/>
  <c r="B11" i="122"/>
  <c r="C11" i="122"/>
  <c r="E11" i="122"/>
  <c r="C30" i="41"/>
  <c r="C34" i="41"/>
  <c r="C37" i="41"/>
  <c r="C33" i="41"/>
  <c r="C29" i="41"/>
  <c r="D10" i="122"/>
  <c r="E10" i="122"/>
  <c r="C7" i="41"/>
  <c r="C6" i="41"/>
  <c r="D39" i="122"/>
  <c r="D9" i="122"/>
  <c r="C21" i="41"/>
  <c r="D53" i="122"/>
  <c r="D23" i="122"/>
  <c r="D24" i="122"/>
  <c r="D31" i="122"/>
  <c r="C4" i="49"/>
  <c r="C106" i="40"/>
  <c r="G14" i="113"/>
  <c r="G38" i="97"/>
  <c r="G39" i="113"/>
  <c r="I30" i="122"/>
  <c r="I31" i="122"/>
  <c r="I61" i="122"/>
  <c r="I33" i="122"/>
  <c r="C91" i="122"/>
  <c r="C90" i="122"/>
  <c r="C93" i="122"/>
  <c r="C72" i="122"/>
  <c r="C82" i="122"/>
  <c r="C84" i="122"/>
  <c r="C32" i="122"/>
  <c r="C31" i="122"/>
  <c r="C33" i="122"/>
  <c r="C20" i="122"/>
  <c r="C9" i="122"/>
  <c r="L48" i="44"/>
  <c r="I77" i="41"/>
  <c r="B32" i="122"/>
  <c r="L47" i="44"/>
  <c r="I76" i="41"/>
  <c r="B50" i="122"/>
  <c r="B20" i="122"/>
  <c r="B39" i="122"/>
  <c r="B9" i="122"/>
  <c r="D5" i="107"/>
  <c r="W4" i="52"/>
  <c r="D21" i="107"/>
  <c r="W5" i="52"/>
  <c r="D14" i="107"/>
  <c r="W6" i="52"/>
  <c r="W7" i="52"/>
  <c r="G24" i="122"/>
  <c r="G31" i="122"/>
  <c r="G33" i="122"/>
  <c r="I7" i="52"/>
  <c r="G11" i="122"/>
  <c r="J11" i="122"/>
  <c r="F7" i="52"/>
  <c r="G10" i="122"/>
  <c r="C7" i="52"/>
  <c r="G9" i="122"/>
  <c r="J9" i="122"/>
  <c r="I93" i="122"/>
  <c r="H93" i="122"/>
  <c r="G93" i="122"/>
  <c r="J91" i="122"/>
  <c r="E91" i="122"/>
  <c r="E90" i="122"/>
  <c r="E93" i="122"/>
  <c r="J90" i="122"/>
  <c r="D90" i="122"/>
  <c r="D93" i="122"/>
  <c r="B90" i="122"/>
  <c r="B93" i="122"/>
  <c r="J89" i="122"/>
  <c r="J88" i="122"/>
  <c r="J87" i="122"/>
  <c r="J86" i="122"/>
  <c r="J93" i="122"/>
  <c r="I82" i="122"/>
  <c r="I84" i="122"/>
  <c r="G82" i="122"/>
  <c r="G84" i="122"/>
  <c r="D82" i="122"/>
  <c r="D84" i="122"/>
  <c r="B82" i="122"/>
  <c r="B84" i="122"/>
  <c r="E83" i="122"/>
  <c r="H82" i="122"/>
  <c r="H84" i="122"/>
  <c r="J78" i="122"/>
  <c r="J77" i="122"/>
  <c r="J76" i="122"/>
  <c r="J75" i="122"/>
  <c r="J74" i="122"/>
  <c r="E74" i="122"/>
  <c r="J73" i="122"/>
  <c r="E73" i="122"/>
  <c r="J72" i="122"/>
  <c r="J82" i="122"/>
  <c r="J84" i="122"/>
  <c r="I64" i="122"/>
  <c r="I49" i="122"/>
  <c r="I51" i="122"/>
  <c r="I65" i="122"/>
  <c r="H61" i="122"/>
  <c r="H64" i="122"/>
  <c r="G61" i="122"/>
  <c r="G64" i="122"/>
  <c r="G49" i="122"/>
  <c r="G51" i="122"/>
  <c r="G65" i="122"/>
  <c r="C61" i="122"/>
  <c r="C64" i="122"/>
  <c r="B61" i="122"/>
  <c r="B64" i="122"/>
  <c r="B49" i="122"/>
  <c r="B51" i="122"/>
  <c r="B65" i="122"/>
  <c r="J60" i="122"/>
  <c r="J59" i="122"/>
  <c r="J58" i="122"/>
  <c r="J57" i="122"/>
  <c r="J56" i="122"/>
  <c r="J55" i="122"/>
  <c r="J54" i="122"/>
  <c r="D54" i="122"/>
  <c r="E54" i="122"/>
  <c r="J53" i="122"/>
  <c r="D61" i="122"/>
  <c r="H49" i="122"/>
  <c r="H51" i="122"/>
  <c r="C49" i="122"/>
  <c r="C51" i="122"/>
  <c r="J47" i="122"/>
  <c r="J46" i="122"/>
  <c r="J45" i="122"/>
  <c r="J44" i="122"/>
  <c r="M43" i="122"/>
  <c r="J43" i="122"/>
  <c r="E43" i="122"/>
  <c r="J42" i="122"/>
  <c r="J41" i="122"/>
  <c r="E41" i="122"/>
  <c r="J40" i="122"/>
  <c r="E40" i="122"/>
  <c r="J39" i="122"/>
  <c r="J49" i="122"/>
  <c r="J51" i="122"/>
  <c r="E39" i="122"/>
  <c r="H31" i="122"/>
  <c r="H33" i="122"/>
  <c r="J32" i="122"/>
  <c r="B31" i="122"/>
  <c r="J28" i="122"/>
  <c r="J27" i="122"/>
  <c r="J26" i="122"/>
  <c r="J25" i="122"/>
  <c r="E25" i="122"/>
  <c r="E24" i="122"/>
  <c r="J23" i="122"/>
  <c r="J20" i="122"/>
  <c r="H19" i="122"/>
  <c r="H21" i="122"/>
  <c r="J17" i="122"/>
  <c r="J16" i="122"/>
  <c r="G15" i="122"/>
  <c r="J15" i="122"/>
  <c r="J14" i="122"/>
  <c r="J13" i="122"/>
  <c r="J12" i="122"/>
  <c r="E12" i="122"/>
  <c r="J10" i="122"/>
  <c r="D33" i="122"/>
  <c r="D19" i="122"/>
  <c r="D21" i="122"/>
  <c r="D34" i="122"/>
  <c r="E49" i="122"/>
  <c r="E9" i="122"/>
  <c r="E50" i="122"/>
  <c r="E51" i="122"/>
  <c r="E20" i="122"/>
  <c r="D49" i="122"/>
  <c r="D51" i="122"/>
  <c r="E72" i="122"/>
  <c r="E82" i="122"/>
  <c r="E84" i="122"/>
  <c r="C19" i="122"/>
  <c r="C21" i="122"/>
  <c r="J61" i="122"/>
  <c r="J64" i="122"/>
  <c r="C94" i="122"/>
  <c r="H94" i="122"/>
  <c r="C95" i="122"/>
  <c r="C34" i="122"/>
  <c r="B33" i="122"/>
  <c r="E32" i="122"/>
  <c r="E19" i="122"/>
  <c r="J24" i="122"/>
  <c r="J31" i="122"/>
  <c r="J33" i="122"/>
  <c r="B19" i="122"/>
  <c r="B21" i="122"/>
  <c r="G19" i="122"/>
  <c r="G21" i="122"/>
  <c r="G34" i="122"/>
  <c r="G94" i="122"/>
  <c r="H34" i="122"/>
  <c r="J65" i="122"/>
  <c r="C65" i="122"/>
  <c r="H65" i="122"/>
  <c r="B94" i="122"/>
  <c r="E62" i="122"/>
  <c r="E23" i="122"/>
  <c r="E31" i="122"/>
  <c r="E53" i="122"/>
  <c r="E61" i="122"/>
  <c r="E33" i="122"/>
  <c r="E21" i="122"/>
  <c r="E34" i="122"/>
  <c r="B34" i="122"/>
  <c r="B95" i="122"/>
  <c r="E64" i="122"/>
  <c r="D64" i="122"/>
  <c r="D65" i="122"/>
  <c r="D94" i="122"/>
  <c r="E65" i="122"/>
  <c r="E94" i="122"/>
  <c r="F117" i="121"/>
  <c r="F116" i="121"/>
  <c r="F115" i="121"/>
  <c r="E114" i="121"/>
  <c r="E119" i="121"/>
  <c r="D114" i="121"/>
  <c r="D119" i="121"/>
  <c r="C114" i="121"/>
  <c r="C119" i="121"/>
  <c r="B114" i="121"/>
  <c r="B119" i="121"/>
  <c r="F113" i="121"/>
  <c r="E110" i="121"/>
  <c r="D110" i="121"/>
  <c r="C110" i="121"/>
  <c r="B110" i="121"/>
  <c r="F109" i="121"/>
  <c r="F108" i="121"/>
  <c r="F107" i="121"/>
  <c r="F110" i="121"/>
  <c r="E100" i="121"/>
  <c r="D95" i="121"/>
  <c r="D100" i="121"/>
  <c r="B95" i="121"/>
  <c r="B100" i="121"/>
  <c r="F98" i="121"/>
  <c r="F97" i="121"/>
  <c r="F96" i="121"/>
  <c r="C95" i="121"/>
  <c r="C100" i="121"/>
  <c r="F94" i="121"/>
  <c r="E91" i="121"/>
  <c r="D91" i="121"/>
  <c r="C91" i="121"/>
  <c r="B91" i="121"/>
  <c r="F90" i="121"/>
  <c r="F89" i="121"/>
  <c r="F88" i="121"/>
  <c r="F91" i="121"/>
  <c r="F78" i="121"/>
  <c r="F77" i="121"/>
  <c r="F76" i="121"/>
  <c r="E75" i="121"/>
  <c r="E80" i="121"/>
  <c r="D75" i="121"/>
  <c r="D80" i="121"/>
  <c r="C75" i="121"/>
  <c r="C80" i="121"/>
  <c r="B75" i="121"/>
  <c r="B80" i="121"/>
  <c r="F74" i="121"/>
  <c r="E71" i="121"/>
  <c r="D71" i="121"/>
  <c r="C71" i="121"/>
  <c r="B71" i="121"/>
  <c r="F70" i="121"/>
  <c r="F69" i="121"/>
  <c r="F68" i="121"/>
  <c r="F71" i="121"/>
  <c r="E60" i="121"/>
  <c r="C55" i="121"/>
  <c r="C60" i="121"/>
  <c r="F58" i="121"/>
  <c r="F57" i="121"/>
  <c r="F56" i="121"/>
  <c r="D55" i="121"/>
  <c r="D60" i="121"/>
  <c r="B55" i="121"/>
  <c r="B60" i="121"/>
  <c r="F54" i="121"/>
  <c r="E51" i="121"/>
  <c r="D51" i="121"/>
  <c r="C51" i="121"/>
  <c r="B51" i="121"/>
  <c r="F50" i="121"/>
  <c r="F49" i="121"/>
  <c r="F48" i="121"/>
  <c r="F51" i="121"/>
  <c r="E40" i="121"/>
  <c r="D35" i="121"/>
  <c r="D40" i="121"/>
  <c r="B35" i="121"/>
  <c r="B40" i="121"/>
  <c r="F38" i="121"/>
  <c r="F37" i="121"/>
  <c r="F36" i="121"/>
  <c r="C35" i="121"/>
  <c r="C40" i="121"/>
  <c r="F34" i="121"/>
  <c r="E31" i="121"/>
  <c r="D31" i="121"/>
  <c r="C31" i="121"/>
  <c r="B31" i="121"/>
  <c r="F30" i="121"/>
  <c r="F29" i="121"/>
  <c r="F28" i="121"/>
  <c r="F31" i="121"/>
  <c r="E20" i="121"/>
  <c r="D20" i="121"/>
  <c r="C20" i="121"/>
  <c r="B20" i="121"/>
  <c r="F19" i="121"/>
  <c r="F18" i="121"/>
  <c r="F17" i="121"/>
  <c r="F16" i="121"/>
  <c r="F20" i="121"/>
  <c r="E11" i="121"/>
  <c r="D11" i="121"/>
  <c r="C11" i="121"/>
  <c r="B11" i="121"/>
  <c r="F10" i="121"/>
  <c r="F9" i="121"/>
  <c r="F8" i="121"/>
  <c r="F11" i="121"/>
  <c r="F55" i="121"/>
  <c r="F60" i="121"/>
  <c r="F35" i="121"/>
  <c r="F40" i="121"/>
  <c r="F95" i="121"/>
  <c r="F100" i="121"/>
  <c r="F114" i="121"/>
  <c r="F119" i="121"/>
  <c r="F75" i="121"/>
  <c r="F80" i="121"/>
  <c r="H48" i="103"/>
  <c r="K48" i="103"/>
  <c r="F48" i="103"/>
  <c r="C48" i="103"/>
  <c r="B48" i="103"/>
  <c r="C166" i="50"/>
  <c r="O52" i="103"/>
  <c r="O43" i="103"/>
  <c r="G44" i="113"/>
  <c r="G43" i="113"/>
  <c r="H43" i="113"/>
  <c r="G38" i="113"/>
  <c r="G36" i="113"/>
  <c r="G21" i="113"/>
  <c r="F14" i="113"/>
  <c r="G13" i="113"/>
  <c r="C92" i="40"/>
  <c r="G11" i="113"/>
  <c r="C49" i="40"/>
  <c r="C42" i="40"/>
  <c r="G9" i="113"/>
  <c r="C21" i="113"/>
  <c r="C83" i="41"/>
  <c r="C45" i="113"/>
  <c r="C25" i="113"/>
  <c r="O28" i="103"/>
  <c r="C43" i="113"/>
  <c r="C33" i="113"/>
  <c r="O23" i="103"/>
  <c r="F69" i="41"/>
  <c r="I69" i="41"/>
  <c r="B33" i="113"/>
  <c r="C57" i="41"/>
  <c r="C32" i="113"/>
  <c r="O22" i="103"/>
  <c r="F57" i="41"/>
  <c r="I57" i="41"/>
  <c r="B32" i="113"/>
  <c r="C31" i="113"/>
  <c r="O21" i="103"/>
  <c r="O26" i="103"/>
  <c r="I21" i="41"/>
  <c r="B31" i="113"/>
  <c r="C11" i="113"/>
  <c r="O11" i="103"/>
  <c r="F65" i="41"/>
  <c r="I65" i="41"/>
  <c r="B11" i="113"/>
  <c r="C10" i="113"/>
  <c r="O10" i="103"/>
  <c r="C9" i="113"/>
  <c r="O9" i="103"/>
  <c r="O8" i="103"/>
  <c r="F12" i="113"/>
  <c r="G42" i="97"/>
  <c r="G35" i="97"/>
  <c r="G36" i="97"/>
  <c r="G37" i="97"/>
  <c r="G43" i="97"/>
  <c r="I83" i="41"/>
  <c r="L83" i="41"/>
  <c r="C44" i="97"/>
  <c r="L59" i="41"/>
  <c r="L60" i="41"/>
  <c r="L61" i="41"/>
  <c r="L62" i="41"/>
  <c r="L57" i="41"/>
  <c r="C31" i="97"/>
  <c r="L70" i="41"/>
  <c r="L71" i="41"/>
  <c r="L72" i="41"/>
  <c r="L69" i="41"/>
  <c r="C32" i="97"/>
  <c r="G20" i="97"/>
  <c r="C108" i="40"/>
  <c r="G15" i="97"/>
  <c r="G12" i="97"/>
  <c r="L89" i="41"/>
  <c r="C24" i="97"/>
  <c r="L66" i="41"/>
  <c r="L67" i="41"/>
  <c r="L68" i="41"/>
  <c r="L65" i="41"/>
  <c r="C10" i="97"/>
  <c r="G35" i="113"/>
  <c r="C39" i="42"/>
  <c r="C36" i="42"/>
  <c r="C17" i="40"/>
  <c r="C15" i="40"/>
  <c r="C9" i="40"/>
  <c r="C20" i="40"/>
  <c r="C22" i="42"/>
  <c r="D50" i="50"/>
  <c r="D75" i="50"/>
  <c r="D76" i="50"/>
  <c r="D77" i="50"/>
  <c r="D78" i="50"/>
  <c r="D79" i="50"/>
  <c r="D80" i="50"/>
  <c r="D81" i="50"/>
  <c r="D82" i="50"/>
  <c r="D83" i="50"/>
  <c r="D84" i="50"/>
  <c r="D85" i="50"/>
  <c r="D112" i="50"/>
  <c r="D141" i="50"/>
  <c r="D142" i="50"/>
  <c r="C170" i="50"/>
  <c r="C122" i="115"/>
  <c r="C168" i="50"/>
  <c r="C103" i="115"/>
  <c r="B103" i="115"/>
  <c r="C9" i="115"/>
  <c r="C14" i="115"/>
  <c r="C20" i="115"/>
  <c r="C32" i="115"/>
  <c r="C38" i="115"/>
  <c r="C48" i="115"/>
  <c r="C89" i="115"/>
  <c r="C100" i="115"/>
  <c r="C110" i="115"/>
  <c r="C93" i="115"/>
  <c r="C12" i="49"/>
  <c r="D83" i="49"/>
  <c r="D84" i="49"/>
  <c r="D6" i="49"/>
  <c r="D70" i="40"/>
  <c r="C56" i="40"/>
  <c r="G10" i="113"/>
  <c r="D78" i="40"/>
  <c r="D80" i="40"/>
  <c r="D51" i="40"/>
  <c r="D52" i="40"/>
  <c r="D53" i="40"/>
  <c r="D54" i="40"/>
  <c r="C36" i="40"/>
  <c r="C28" i="40"/>
  <c r="G8" i="113"/>
  <c r="D38" i="40"/>
  <c r="D39" i="40"/>
  <c r="D40" i="40"/>
  <c r="D41" i="40"/>
  <c r="L80" i="41"/>
  <c r="L81" i="41"/>
  <c r="L82" i="41"/>
  <c r="L79" i="41"/>
  <c r="L88" i="41"/>
  <c r="L78" i="41"/>
  <c r="C16" i="42"/>
  <c r="C12" i="42"/>
  <c r="C11" i="42"/>
  <c r="C10" i="42"/>
  <c r="D55" i="42"/>
  <c r="D53" i="42"/>
  <c r="D54" i="42"/>
  <c r="D56" i="42"/>
  <c r="D57" i="42"/>
  <c r="G21" i="120"/>
  <c r="G20" i="120"/>
  <c r="G18" i="120"/>
  <c r="G17" i="120"/>
  <c r="G16" i="120"/>
  <c r="G15" i="120"/>
  <c r="G14" i="120"/>
  <c r="G13" i="120"/>
  <c r="G12" i="120"/>
  <c r="G11" i="120"/>
  <c r="G24" i="120"/>
  <c r="G23" i="120"/>
  <c r="G27" i="120"/>
  <c r="G26" i="120"/>
  <c r="G32" i="120"/>
  <c r="G33" i="120"/>
  <c r="G34" i="120"/>
  <c r="G35" i="120"/>
  <c r="G36" i="120"/>
  <c r="G37" i="120"/>
  <c r="G51" i="120"/>
  <c r="G48" i="120"/>
  <c r="G47" i="120"/>
  <c r="G59" i="120"/>
  <c r="G61" i="120"/>
  <c r="G62" i="120"/>
  <c r="I13" i="119"/>
  <c r="I12" i="119"/>
  <c r="I11" i="119"/>
  <c r="G10" i="119"/>
  <c r="I10" i="119"/>
  <c r="I9" i="119"/>
  <c r="I8" i="119"/>
  <c r="I7" i="119"/>
  <c r="I6" i="119"/>
  <c r="I5" i="119"/>
  <c r="I4" i="119"/>
  <c r="I25" i="119"/>
  <c r="I24" i="119"/>
  <c r="I23" i="119"/>
  <c r="G22" i="119"/>
  <c r="I22" i="119"/>
  <c r="I21" i="119"/>
  <c r="I20" i="119"/>
  <c r="I19" i="119"/>
  <c r="I18" i="119"/>
  <c r="I17" i="119"/>
  <c r="I16" i="119"/>
  <c r="I37" i="119"/>
  <c r="I36" i="119"/>
  <c r="I35" i="119"/>
  <c r="G34" i="119"/>
  <c r="I34" i="119"/>
  <c r="I33" i="119"/>
  <c r="I32" i="119"/>
  <c r="I31" i="119"/>
  <c r="I30" i="119"/>
  <c r="I29" i="119"/>
  <c r="I28" i="119"/>
  <c r="I40" i="119"/>
  <c r="I41" i="119"/>
  <c r="I42" i="119"/>
  <c r="I43" i="119"/>
  <c r="I44" i="119"/>
  <c r="I45" i="119"/>
  <c r="G46" i="119"/>
  <c r="I46" i="119"/>
  <c r="I47" i="119"/>
  <c r="I48" i="119"/>
  <c r="I49" i="119"/>
  <c r="I50" i="119"/>
  <c r="I65" i="119"/>
  <c r="I66" i="119"/>
  <c r="I67" i="119"/>
  <c r="G68" i="119"/>
  <c r="I68" i="119"/>
  <c r="G70" i="119"/>
  <c r="I70" i="119"/>
  <c r="G72" i="119"/>
  <c r="G73" i="119"/>
  <c r="G74" i="119"/>
  <c r="G71" i="119"/>
  <c r="I71" i="119"/>
  <c r="G69" i="119"/>
  <c r="I69" i="119"/>
  <c r="I75" i="119"/>
  <c r="I76" i="119"/>
  <c r="I77" i="119"/>
  <c r="I74" i="119"/>
  <c r="I73" i="119"/>
  <c r="I72" i="119"/>
  <c r="I86" i="119"/>
  <c r="I85" i="119"/>
  <c r="I89" i="119"/>
  <c r="I100" i="119"/>
  <c r="I101" i="119"/>
  <c r="I102" i="119"/>
  <c r="I103" i="119"/>
  <c r="I104" i="119"/>
  <c r="I105" i="119"/>
  <c r="I106" i="119"/>
  <c r="I109" i="119"/>
  <c r="I110" i="119"/>
  <c r="I111" i="119"/>
  <c r="H112" i="119"/>
  <c r="I112" i="119"/>
  <c r="I113" i="119"/>
  <c r="O41" i="103"/>
  <c r="N41" i="103"/>
  <c r="B45" i="103"/>
  <c r="O35" i="103"/>
  <c r="G34" i="97"/>
  <c r="G33" i="97"/>
  <c r="O33" i="103"/>
  <c r="L14" i="44"/>
  <c r="I20" i="41"/>
  <c r="E27" i="107"/>
  <c r="D28" i="107"/>
  <c r="T8" i="52"/>
  <c r="U8" i="52"/>
  <c r="F8" i="52"/>
  <c r="P42" i="44"/>
  <c r="P40" i="44"/>
  <c r="P34" i="44"/>
  <c r="P21" i="44"/>
  <c r="P17" i="44"/>
  <c r="P15" i="44"/>
  <c r="P12" i="44"/>
  <c r="P44" i="44"/>
  <c r="L12" i="45"/>
  <c r="G14" i="119"/>
  <c r="G26" i="119"/>
  <c r="G38" i="119"/>
  <c r="G50" i="119"/>
  <c r="G77" i="119"/>
  <c r="G81" i="119"/>
  <c r="G93" i="119"/>
  <c r="G114" i="119"/>
  <c r="G61" i="119"/>
  <c r="G87" i="119"/>
  <c r="G120" i="119"/>
  <c r="B17" i="45"/>
  <c r="B12" i="45"/>
  <c r="P51" i="44"/>
  <c r="F79" i="120"/>
  <c r="G81" i="120"/>
  <c r="G80" i="120"/>
  <c r="O13" i="103"/>
  <c r="G48" i="103"/>
  <c r="B20" i="103"/>
  <c r="C46" i="44"/>
  <c r="O8" i="45"/>
  <c r="B8" i="45"/>
  <c r="F50" i="44"/>
  <c r="F42" i="44"/>
  <c r="F40" i="44"/>
  <c r="F34" i="44"/>
  <c r="F21" i="44"/>
  <c r="F15" i="44"/>
  <c r="F12" i="44"/>
  <c r="F44" i="44"/>
  <c r="I50" i="44"/>
  <c r="I46" i="44"/>
  <c r="I45" i="44"/>
  <c r="B9" i="45"/>
  <c r="B10" i="45"/>
  <c r="B11" i="45"/>
  <c r="B13" i="45"/>
  <c r="E8" i="120"/>
  <c r="E10" i="120"/>
  <c r="G10" i="120"/>
  <c r="E19" i="120"/>
  <c r="G19" i="120"/>
  <c r="E22" i="120"/>
  <c r="G22" i="120"/>
  <c r="E25" i="120"/>
  <c r="G25" i="120"/>
  <c r="F30" i="120"/>
  <c r="C31" i="120"/>
  <c r="G31" i="120"/>
  <c r="C32" i="120"/>
  <c r="C33" i="120"/>
  <c r="C34" i="120"/>
  <c r="C35" i="120"/>
  <c r="C36" i="120"/>
  <c r="C37" i="120"/>
  <c r="E38" i="120"/>
  <c r="E43" i="120"/>
  <c r="F46" i="120"/>
  <c r="C47" i="120"/>
  <c r="C48" i="120"/>
  <c r="E49" i="120"/>
  <c r="G49" i="120"/>
  <c r="E50" i="120"/>
  <c r="G50" i="120"/>
  <c r="E52" i="120"/>
  <c r="G52" i="120"/>
  <c r="E54" i="120"/>
  <c r="E55" i="120"/>
  <c r="G55" i="120"/>
  <c r="E56" i="120"/>
  <c r="G56" i="120"/>
  <c r="E58" i="120"/>
  <c r="E60" i="120"/>
  <c r="F60" i="120"/>
  <c r="G63" i="120"/>
  <c r="G60" i="120"/>
  <c r="G64" i="120"/>
  <c r="G65" i="120"/>
  <c r="E67" i="120"/>
  <c r="F67" i="120"/>
  <c r="G70" i="120"/>
  <c r="G67" i="120"/>
  <c r="F72" i="120"/>
  <c r="G73" i="120"/>
  <c r="G72" i="120"/>
  <c r="G77" i="120"/>
  <c r="E79" i="120"/>
  <c r="G79" i="120"/>
  <c r="H14" i="119"/>
  <c r="K4" i="119"/>
  <c r="K5" i="119"/>
  <c r="K6" i="119"/>
  <c r="K7" i="119"/>
  <c r="E8" i="119"/>
  <c r="K8" i="119"/>
  <c r="E9" i="119"/>
  <c r="K9" i="119"/>
  <c r="E11" i="119"/>
  <c r="K11" i="119"/>
  <c r="K12" i="119"/>
  <c r="I14" i="119"/>
  <c r="E17" i="119"/>
  <c r="L17" i="119"/>
  <c r="E19" i="119"/>
  <c r="E20" i="119"/>
  <c r="E21" i="119"/>
  <c r="E23" i="119"/>
  <c r="H26" i="119"/>
  <c r="I26" i="119"/>
  <c r="E29" i="119"/>
  <c r="E31" i="119"/>
  <c r="E32" i="119"/>
  <c r="E33" i="119"/>
  <c r="E35" i="119"/>
  <c r="H38" i="119"/>
  <c r="I38" i="119"/>
  <c r="E41" i="119"/>
  <c r="E43" i="119"/>
  <c r="E44" i="119"/>
  <c r="E45" i="119"/>
  <c r="E47" i="119"/>
  <c r="E55" i="119"/>
  <c r="H61" i="119"/>
  <c r="E65" i="119"/>
  <c r="E66" i="119"/>
  <c r="H77" i="119"/>
  <c r="H81" i="119"/>
  <c r="P50" i="44"/>
  <c r="F12" i="45"/>
  <c r="H87" i="119"/>
  <c r="I87" i="119"/>
  <c r="I90" i="119"/>
  <c r="H114" i="119"/>
  <c r="C59" i="44"/>
  <c r="D51" i="44"/>
  <c r="F76" i="41"/>
  <c r="F77" i="41"/>
  <c r="H59" i="44"/>
  <c r="C92" i="41"/>
  <c r="C93" i="41"/>
  <c r="B93" i="41"/>
  <c r="B92" i="41"/>
  <c r="D92" i="41"/>
  <c r="F93" i="41"/>
  <c r="E93" i="41"/>
  <c r="C8" i="52"/>
  <c r="C9" i="52"/>
  <c r="F8" i="113"/>
  <c r="AJ7" i="52"/>
  <c r="AI7" i="52"/>
  <c r="AG7" i="52"/>
  <c r="AF7" i="52"/>
  <c r="AC7" i="52"/>
  <c r="AB7" i="52"/>
  <c r="Z7" i="52"/>
  <c r="Y7" i="52"/>
  <c r="T7" i="52"/>
  <c r="S7" i="52"/>
  <c r="L7" i="52"/>
  <c r="K7" i="52"/>
  <c r="H5" i="52"/>
  <c r="H7" i="52"/>
  <c r="J7" i="52"/>
  <c r="F9" i="52"/>
  <c r="F9" i="113"/>
  <c r="E7" i="52"/>
  <c r="B7" i="52"/>
  <c r="R11" i="45"/>
  <c r="Q11" i="45"/>
  <c r="L54" i="44"/>
  <c r="L46" i="44"/>
  <c r="L49" i="44"/>
  <c r="L51" i="44"/>
  <c r="E51" i="44"/>
  <c r="K51" i="44"/>
  <c r="M51" i="44"/>
  <c r="L52" i="44"/>
  <c r="L22" i="44"/>
  <c r="L24" i="44"/>
  <c r="I45" i="41"/>
  <c r="L26" i="44"/>
  <c r="L30" i="44"/>
  <c r="L21" i="44"/>
  <c r="K22" i="44"/>
  <c r="E23" i="44"/>
  <c r="K23" i="44"/>
  <c r="K25" i="44"/>
  <c r="K26" i="44"/>
  <c r="K27" i="44"/>
  <c r="K28" i="44"/>
  <c r="K29" i="44"/>
  <c r="K30" i="44"/>
  <c r="K33" i="44"/>
  <c r="K21" i="44"/>
  <c r="M21" i="44"/>
  <c r="L31" i="44"/>
  <c r="L32" i="44"/>
  <c r="L35" i="44"/>
  <c r="L36" i="44"/>
  <c r="L37" i="44"/>
  <c r="L38" i="44"/>
  <c r="L39" i="44"/>
  <c r="L41" i="44"/>
  <c r="L40" i="44"/>
  <c r="L43" i="44"/>
  <c r="L16" i="44"/>
  <c r="L17" i="44"/>
  <c r="L18" i="44"/>
  <c r="L19" i="44"/>
  <c r="L20" i="44"/>
  <c r="L55" i="44"/>
  <c r="L56" i="44"/>
  <c r="L57" i="44"/>
  <c r="K57" i="44"/>
  <c r="M57" i="44"/>
  <c r="L58" i="44"/>
  <c r="I93" i="41"/>
  <c r="K54" i="44"/>
  <c r="K49" i="44"/>
  <c r="K17" i="44"/>
  <c r="K58" i="44"/>
  <c r="H93" i="41"/>
  <c r="K56" i="44"/>
  <c r="K55" i="44"/>
  <c r="K48" i="44"/>
  <c r="K47" i="44"/>
  <c r="K43" i="44"/>
  <c r="K41" i="44"/>
  <c r="K39" i="44"/>
  <c r="K38" i="44"/>
  <c r="K37" i="44"/>
  <c r="K36" i="44"/>
  <c r="K35" i="44"/>
  <c r="K32" i="44"/>
  <c r="K31" i="44"/>
  <c r="H52" i="41"/>
  <c r="J52" i="41"/>
  <c r="H46" i="41"/>
  <c r="J46" i="41"/>
  <c r="K24" i="44"/>
  <c r="K20" i="44"/>
  <c r="K19" i="44"/>
  <c r="K18" i="44"/>
  <c r="K16" i="44"/>
  <c r="K13" i="44"/>
  <c r="M13" i="44"/>
  <c r="K14" i="44"/>
  <c r="E77" i="41"/>
  <c r="E76" i="41"/>
  <c r="E75" i="41"/>
  <c r="F44" i="41"/>
  <c r="F45" i="41"/>
  <c r="F46" i="41"/>
  <c r="F51" i="41"/>
  <c r="F42" i="41"/>
  <c r="F41" i="41"/>
  <c r="C34" i="42"/>
  <c r="C35" i="42"/>
  <c r="B35" i="42"/>
  <c r="B34" i="42"/>
  <c r="F38" i="97"/>
  <c r="H38" i="97"/>
  <c r="K18" i="41"/>
  <c r="K17" i="41"/>
  <c r="K16" i="41"/>
  <c r="K15" i="41"/>
  <c r="K14" i="41"/>
  <c r="K13" i="41"/>
  <c r="K12" i="41"/>
  <c r="K11" i="41"/>
  <c r="K10" i="41"/>
  <c r="K9" i="41"/>
  <c r="K8" i="41"/>
  <c r="K7" i="41"/>
  <c r="K26" i="41"/>
  <c r="K25" i="41"/>
  <c r="K24" i="41"/>
  <c r="K23" i="41"/>
  <c r="K22" i="41"/>
  <c r="F20" i="97"/>
  <c r="F43" i="97"/>
  <c r="F41" i="97"/>
  <c r="F57" i="97"/>
  <c r="H58" i="97"/>
  <c r="H59" i="97"/>
  <c r="H60" i="97"/>
  <c r="D54" i="97"/>
  <c r="F36" i="97"/>
  <c r="H36" i="97"/>
  <c r="H42" i="97"/>
  <c r="H44" i="97"/>
  <c r="H45" i="97"/>
  <c r="D40" i="97"/>
  <c r="D45" i="97"/>
  <c r="F12" i="97"/>
  <c r="H12" i="97"/>
  <c r="F15" i="97"/>
  <c r="H15" i="97"/>
  <c r="H18" i="97"/>
  <c r="H21" i="97"/>
  <c r="H22" i="97"/>
  <c r="H23" i="97"/>
  <c r="H24" i="97"/>
  <c r="D11" i="97"/>
  <c r="D12" i="97"/>
  <c r="D13" i="97"/>
  <c r="D14" i="97"/>
  <c r="D15" i="97"/>
  <c r="D16" i="97"/>
  <c r="D22" i="97"/>
  <c r="D23" i="97"/>
  <c r="D5" i="50"/>
  <c r="D6" i="50"/>
  <c r="D7" i="50"/>
  <c r="D8" i="50"/>
  <c r="D9" i="50"/>
  <c r="D10" i="50"/>
  <c r="D11" i="50"/>
  <c r="D12" i="50"/>
  <c r="D13" i="50"/>
  <c r="D14" i="50"/>
  <c r="D15" i="50"/>
  <c r="D16" i="50"/>
  <c r="D17" i="50"/>
  <c r="D18" i="50"/>
  <c r="D19" i="50"/>
  <c r="D20" i="50"/>
  <c r="D21" i="50"/>
  <c r="D22" i="50"/>
  <c r="D23" i="50"/>
  <c r="D24" i="50"/>
  <c r="D25" i="50"/>
  <c r="D26" i="50"/>
  <c r="D27" i="50"/>
  <c r="D28" i="50"/>
  <c r="D29" i="50"/>
  <c r="D30" i="50"/>
  <c r="D31" i="50"/>
  <c r="D32" i="50"/>
  <c r="D35" i="50"/>
  <c r="D36" i="50"/>
  <c r="D37" i="50"/>
  <c r="D38" i="50"/>
  <c r="D39" i="50"/>
  <c r="D40" i="50"/>
  <c r="D41" i="50"/>
  <c r="D42" i="50"/>
  <c r="D43" i="50"/>
  <c r="D44" i="50"/>
  <c r="D45" i="50"/>
  <c r="D46" i="50"/>
  <c r="D47" i="50"/>
  <c r="D48" i="50"/>
  <c r="D49" i="50"/>
  <c r="D51" i="50"/>
  <c r="D52" i="50"/>
  <c r="D53" i="50"/>
  <c r="D54" i="50"/>
  <c r="D55" i="50"/>
  <c r="D56" i="50"/>
  <c r="D57" i="50"/>
  <c r="D58" i="50"/>
  <c r="D59" i="50"/>
  <c r="D60" i="50"/>
  <c r="D61" i="50"/>
  <c r="D62" i="50"/>
  <c r="D63" i="50"/>
  <c r="D64" i="50"/>
  <c r="D65" i="50"/>
  <c r="D66" i="50"/>
  <c r="D67" i="50"/>
  <c r="D68" i="50"/>
  <c r="D69" i="50"/>
  <c r="D70" i="50"/>
  <c r="D71" i="50"/>
  <c r="D72" i="50"/>
  <c r="D73" i="50"/>
  <c r="D74" i="50"/>
  <c r="D87" i="50"/>
  <c r="D88" i="50"/>
  <c r="D89" i="50"/>
  <c r="D90" i="50"/>
  <c r="D92" i="50"/>
  <c r="D93" i="50"/>
  <c r="D97" i="50"/>
  <c r="D99" i="50"/>
  <c r="D100" i="50"/>
  <c r="D101" i="50"/>
  <c r="D102" i="50"/>
  <c r="D103" i="50"/>
  <c r="D104" i="50"/>
  <c r="D105" i="50"/>
  <c r="G37" i="113"/>
  <c r="H37" i="113"/>
  <c r="D107" i="50"/>
  <c r="D108" i="50"/>
  <c r="D109" i="50"/>
  <c r="D110" i="50"/>
  <c r="D113" i="50"/>
  <c r="D114" i="50"/>
  <c r="D115" i="50"/>
  <c r="D116" i="50"/>
  <c r="D117" i="50"/>
  <c r="D118" i="50"/>
  <c r="D119" i="50"/>
  <c r="D120" i="50"/>
  <c r="D121" i="50"/>
  <c r="D122" i="50"/>
  <c r="D123" i="50"/>
  <c r="D124" i="50"/>
  <c r="D125" i="50"/>
  <c r="D126" i="50"/>
  <c r="D127" i="50"/>
  <c r="D128" i="50"/>
  <c r="D129" i="50"/>
  <c r="D130" i="50"/>
  <c r="D131" i="50"/>
  <c r="D132" i="50"/>
  <c r="D133" i="50"/>
  <c r="D134" i="50"/>
  <c r="D135" i="50"/>
  <c r="D136" i="50"/>
  <c r="D137" i="50"/>
  <c r="D138" i="50"/>
  <c r="D139" i="50"/>
  <c r="D140" i="50"/>
  <c r="D143" i="50"/>
  <c r="D146" i="50"/>
  <c r="D147" i="50"/>
  <c r="D148" i="50"/>
  <c r="D149" i="50"/>
  <c r="D150" i="50"/>
  <c r="D151" i="50"/>
  <c r="D152" i="50"/>
  <c r="D153" i="50"/>
  <c r="D154" i="50"/>
  <c r="D155" i="50"/>
  <c r="D156" i="50"/>
  <c r="D157" i="50"/>
  <c r="D158" i="50"/>
  <c r="D159" i="50"/>
  <c r="D162" i="50"/>
  <c r="D163" i="50"/>
  <c r="D164" i="50"/>
  <c r="D165" i="50"/>
  <c r="D167" i="50"/>
  <c r="D168" i="50"/>
  <c r="D170" i="50"/>
  <c r="D4" i="50"/>
  <c r="B171" i="50"/>
  <c r="F32" i="97"/>
  <c r="B166" i="50"/>
  <c r="AF10" i="52"/>
  <c r="AF9" i="52"/>
  <c r="AF11" i="52"/>
  <c r="B145" i="50"/>
  <c r="B111" i="50"/>
  <c r="B106" i="50"/>
  <c r="F35" i="97"/>
  <c r="H35" i="97"/>
  <c r="B98" i="50"/>
  <c r="F37" i="97"/>
  <c r="H37" i="97"/>
  <c r="B91" i="50"/>
  <c r="B86" i="50"/>
  <c r="B33" i="50"/>
  <c r="D87" i="115"/>
  <c r="D88" i="115"/>
  <c r="D91" i="115"/>
  <c r="D92" i="115"/>
  <c r="D94" i="115"/>
  <c r="D95" i="115"/>
  <c r="D96" i="115"/>
  <c r="D97" i="115"/>
  <c r="D98" i="115"/>
  <c r="D99" i="115"/>
  <c r="D102" i="115"/>
  <c r="D103" i="115"/>
  <c r="D106" i="115"/>
  <c r="D107" i="115"/>
  <c r="D108" i="115"/>
  <c r="D109" i="115"/>
  <c r="D112" i="115"/>
  <c r="D115" i="115"/>
  <c r="D116" i="115"/>
  <c r="D118" i="115"/>
  <c r="D119" i="115"/>
  <c r="D120" i="115"/>
  <c r="D86" i="115"/>
  <c r="D10" i="115"/>
  <c r="D11" i="115"/>
  <c r="D12" i="115"/>
  <c r="D13" i="115"/>
  <c r="D15" i="115"/>
  <c r="D16" i="115"/>
  <c r="D17" i="115"/>
  <c r="D18" i="115"/>
  <c r="D19" i="115"/>
  <c r="D22" i="115"/>
  <c r="D23" i="115"/>
  <c r="D24" i="115"/>
  <c r="D25" i="115"/>
  <c r="D26" i="115"/>
  <c r="D27" i="115"/>
  <c r="D28" i="115"/>
  <c r="D29" i="115"/>
  <c r="D30" i="115"/>
  <c r="D31" i="115"/>
  <c r="D34" i="115"/>
  <c r="D35" i="115"/>
  <c r="D36" i="115"/>
  <c r="D37" i="115"/>
  <c r="D43" i="115"/>
  <c r="D44" i="115"/>
  <c r="D45" i="115"/>
  <c r="D46" i="115"/>
  <c r="D47" i="115"/>
  <c r="D50" i="115"/>
  <c r="D51" i="115"/>
  <c r="D55" i="115"/>
  <c r="D56" i="115"/>
  <c r="D57" i="115"/>
  <c r="D58" i="115"/>
  <c r="D59" i="115"/>
  <c r="D60" i="115"/>
  <c r="D61" i="115"/>
  <c r="D62" i="115"/>
  <c r="D65" i="115"/>
  <c r="D66" i="115"/>
  <c r="D67" i="115"/>
  <c r="D68" i="115"/>
  <c r="D71" i="115"/>
  <c r="D72" i="115"/>
  <c r="D73" i="115"/>
  <c r="D76" i="115"/>
  <c r="D77" i="115"/>
  <c r="D80" i="115"/>
  <c r="D81" i="115"/>
  <c r="D82" i="115"/>
  <c r="B122" i="115"/>
  <c r="B125" i="115"/>
  <c r="B113" i="115"/>
  <c r="B110" i="115"/>
  <c r="B100" i="115"/>
  <c r="D100" i="115"/>
  <c r="B93" i="115"/>
  <c r="D93" i="115"/>
  <c r="B89" i="115"/>
  <c r="D89" i="115"/>
  <c r="B83" i="115"/>
  <c r="B78" i="115"/>
  <c r="B74" i="115"/>
  <c r="B69" i="115"/>
  <c r="B63" i="115"/>
  <c r="B52" i="115"/>
  <c r="B48" i="115"/>
  <c r="B38" i="115"/>
  <c r="D38" i="115"/>
  <c r="B32" i="115"/>
  <c r="D32" i="115"/>
  <c r="B20" i="115"/>
  <c r="D20" i="115"/>
  <c r="B14" i="115"/>
  <c r="D14" i="115"/>
  <c r="B9" i="115"/>
  <c r="D9" i="115"/>
  <c r="D56" i="49"/>
  <c r="D57" i="49"/>
  <c r="D58" i="49"/>
  <c r="D59" i="49"/>
  <c r="D60" i="49"/>
  <c r="D61" i="49"/>
  <c r="D62" i="49"/>
  <c r="D63" i="49"/>
  <c r="D64" i="49"/>
  <c r="D65" i="49"/>
  <c r="D66" i="49"/>
  <c r="D67" i="49"/>
  <c r="D68" i="49"/>
  <c r="D69" i="49"/>
  <c r="D71" i="49"/>
  <c r="D72" i="49"/>
  <c r="D73" i="49"/>
  <c r="D74" i="49"/>
  <c r="D75" i="49"/>
  <c r="D76" i="49"/>
  <c r="D77" i="49"/>
  <c r="D78" i="49"/>
  <c r="D70" i="49"/>
  <c r="D79" i="49"/>
  <c r="D80" i="49"/>
  <c r="D81" i="49"/>
  <c r="D82" i="49"/>
  <c r="D55" i="49"/>
  <c r="D54" i="49"/>
  <c r="D8" i="49"/>
  <c r="D9" i="49"/>
  <c r="D10" i="49"/>
  <c r="D11" i="49"/>
  <c r="D13" i="49"/>
  <c r="D14" i="49"/>
  <c r="D15" i="49"/>
  <c r="D16" i="49"/>
  <c r="D17" i="49"/>
  <c r="D18" i="49"/>
  <c r="D19" i="49"/>
  <c r="D20" i="49"/>
  <c r="D21" i="49"/>
  <c r="D22" i="49"/>
  <c r="D23" i="49"/>
  <c r="D24" i="49"/>
  <c r="D25" i="49"/>
  <c r="D26" i="49"/>
  <c r="D27" i="49"/>
  <c r="D28" i="49"/>
  <c r="D29" i="49"/>
  <c r="D30" i="49"/>
  <c r="D31" i="49"/>
  <c r="D32" i="49"/>
  <c r="D33" i="49"/>
  <c r="D34" i="49"/>
  <c r="D35" i="49"/>
  <c r="D36" i="49"/>
  <c r="D37" i="49"/>
  <c r="D38" i="49"/>
  <c r="D39" i="49"/>
  <c r="D40" i="49"/>
  <c r="D41" i="49"/>
  <c r="D42" i="49"/>
  <c r="D43" i="49"/>
  <c r="D44" i="49"/>
  <c r="D45" i="49"/>
  <c r="D46" i="49"/>
  <c r="D47" i="49"/>
  <c r="D48" i="49"/>
  <c r="D49" i="49"/>
  <c r="D50" i="49"/>
  <c r="D7" i="49"/>
  <c r="B12" i="49"/>
  <c r="B4" i="49"/>
  <c r="B106" i="40"/>
  <c r="D108" i="40"/>
  <c r="G16" i="113"/>
  <c r="H16" i="113"/>
  <c r="D93" i="40"/>
  <c r="D94" i="40"/>
  <c r="D95" i="40"/>
  <c r="D96" i="40"/>
  <c r="D97" i="40"/>
  <c r="D98" i="40"/>
  <c r="D99" i="40"/>
  <c r="D100" i="40"/>
  <c r="D102" i="40"/>
  <c r="H13" i="113"/>
  <c r="D103" i="40"/>
  <c r="D104" i="40"/>
  <c r="D105" i="40"/>
  <c r="D107" i="40"/>
  <c r="D109" i="40"/>
  <c r="D110" i="40"/>
  <c r="D111" i="40"/>
  <c r="D112" i="40"/>
  <c r="D114" i="40"/>
  <c r="D87" i="40"/>
  <c r="D88" i="40"/>
  <c r="D89" i="40"/>
  <c r="D90" i="40"/>
  <c r="D86" i="40"/>
  <c r="D30" i="40"/>
  <c r="D31" i="40"/>
  <c r="D32" i="40"/>
  <c r="D33" i="40"/>
  <c r="D34" i="40"/>
  <c r="D35" i="40"/>
  <c r="D36" i="40"/>
  <c r="D37" i="40"/>
  <c r="D43" i="40"/>
  <c r="D44" i="40"/>
  <c r="D45" i="40"/>
  <c r="D46" i="40"/>
  <c r="D47" i="40"/>
  <c r="D48" i="40"/>
  <c r="D49" i="40"/>
  <c r="D50" i="40"/>
  <c r="D57" i="40"/>
  <c r="D58" i="40"/>
  <c r="D59" i="40"/>
  <c r="D60" i="40"/>
  <c r="D61" i="40"/>
  <c r="D62" i="40"/>
  <c r="D63" i="40"/>
  <c r="D64" i="40"/>
  <c r="D65" i="40"/>
  <c r="D66" i="40"/>
  <c r="D67" i="40"/>
  <c r="D68" i="40"/>
  <c r="D69" i="40"/>
  <c r="D71" i="40"/>
  <c r="D72" i="40"/>
  <c r="D73" i="40"/>
  <c r="D74" i="40"/>
  <c r="D75" i="40"/>
  <c r="D76" i="40"/>
  <c r="D77" i="40"/>
  <c r="D79" i="40"/>
  <c r="D81" i="40"/>
  <c r="D82" i="40"/>
  <c r="D83" i="40"/>
  <c r="D84" i="40"/>
  <c r="D85" i="40"/>
  <c r="D29" i="40"/>
  <c r="D11" i="40"/>
  <c r="D12" i="40"/>
  <c r="D13" i="40"/>
  <c r="D14" i="40"/>
  <c r="D16" i="40"/>
  <c r="D18" i="40"/>
  <c r="D19" i="40"/>
  <c r="D22" i="40"/>
  <c r="D23" i="40"/>
  <c r="D8" i="40"/>
  <c r="D7" i="40"/>
  <c r="B92" i="40"/>
  <c r="K10" i="52"/>
  <c r="B56" i="40"/>
  <c r="H10" i="52"/>
  <c r="B42" i="40"/>
  <c r="E10" i="52"/>
  <c r="B28" i="40"/>
  <c r="B10" i="52"/>
  <c r="B21" i="40"/>
  <c r="B17" i="40"/>
  <c r="B15" i="40"/>
  <c r="B10" i="40"/>
  <c r="D10" i="40"/>
  <c r="E28" i="107"/>
  <c r="E26" i="107"/>
  <c r="E23" i="107"/>
  <c r="E24" i="107"/>
  <c r="E22" i="107"/>
  <c r="E18" i="107"/>
  <c r="E19" i="107"/>
  <c r="E17" i="107"/>
  <c r="E7" i="107"/>
  <c r="E8" i="107"/>
  <c r="E9" i="107"/>
  <c r="E10" i="107"/>
  <c r="E11" i="107"/>
  <c r="E12" i="107"/>
  <c r="E6" i="107"/>
  <c r="C25" i="107"/>
  <c r="V8" i="52"/>
  <c r="O52" i="44"/>
  <c r="C21" i="107"/>
  <c r="V5" i="52"/>
  <c r="E52" i="44"/>
  <c r="C14" i="107"/>
  <c r="V6" i="52"/>
  <c r="C5" i="107"/>
  <c r="C29" i="107"/>
  <c r="AI9" i="52"/>
  <c r="AB9" i="52"/>
  <c r="Y9" i="52"/>
  <c r="V4" i="52"/>
  <c r="S9" i="52"/>
  <c r="J6" i="52"/>
  <c r="J4" i="52"/>
  <c r="G5" i="52"/>
  <c r="G6" i="52"/>
  <c r="G4" i="52"/>
  <c r="E8" i="52"/>
  <c r="G8" i="52"/>
  <c r="D5" i="52"/>
  <c r="D6" i="52"/>
  <c r="D4" i="52"/>
  <c r="B8" i="52"/>
  <c r="Q13" i="45"/>
  <c r="J14" i="45"/>
  <c r="D9" i="45"/>
  <c r="D10" i="45"/>
  <c r="D12" i="45"/>
  <c r="D8" i="45"/>
  <c r="Q14" i="44"/>
  <c r="Q16" i="44"/>
  <c r="Q18" i="44"/>
  <c r="Q19" i="44"/>
  <c r="Q20" i="44"/>
  <c r="Q22" i="44"/>
  <c r="Q23" i="44"/>
  <c r="Q24" i="44"/>
  <c r="Q25" i="44"/>
  <c r="Q26" i="44"/>
  <c r="Q27" i="44"/>
  <c r="Q28" i="44"/>
  <c r="Q29" i="44"/>
  <c r="Q30" i="44"/>
  <c r="Q31" i="44"/>
  <c r="Q32" i="44"/>
  <c r="Q33" i="44"/>
  <c r="Q35" i="44"/>
  <c r="Q36" i="44"/>
  <c r="Q37" i="44"/>
  <c r="Q38" i="44"/>
  <c r="Q39" i="44"/>
  <c r="Q41" i="44"/>
  <c r="Q43" i="44"/>
  <c r="Q47" i="44"/>
  <c r="Q48" i="44"/>
  <c r="Q49" i="44"/>
  <c r="Q51" i="44"/>
  <c r="Q54" i="44"/>
  <c r="Q55" i="44"/>
  <c r="Q56" i="44"/>
  <c r="Q57" i="44"/>
  <c r="Q58" i="44"/>
  <c r="Q60" i="44"/>
  <c r="Q61" i="44"/>
  <c r="Q62" i="44"/>
  <c r="Q13" i="44"/>
  <c r="O67" i="44"/>
  <c r="O66" i="44"/>
  <c r="O59" i="44"/>
  <c r="E92" i="41"/>
  <c r="O46" i="44"/>
  <c r="N12" i="45"/>
  <c r="O42" i="44"/>
  <c r="O40" i="44"/>
  <c r="O34" i="44"/>
  <c r="O21" i="44"/>
  <c r="O17" i="44"/>
  <c r="O15" i="44"/>
  <c r="O12" i="44"/>
  <c r="O44" i="44"/>
  <c r="O68" i="44"/>
  <c r="O65" i="44"/>
  <c r="H77" i="41"/>
  <c r="K77" i="41"/>
  <c r="B42" i="97"/>
  <c r="B41" i="97"/>
  <c r="B57" i="97"/>
  <c r="K46" i="44"/>
  <c r="N8" i="45"/>
  <c r="K40" i="44"/>
  <c r="K34" i="44"/>
  <c r="K12" i="44"/>
  <c r="J14" i="44"/>
  <c r="J16" i="44"/>
  <c r="J17" i="44"/>
  <c r="J18" i="44"/>
  <c r="J19" i="44"/>
  <c r="J20" i="44"/>
  <c r="J22" i="44"/>
  <c r="J23" i="44"/>
  <c r="J24" i="44"/>
  <c r="J25" i="44"/>
  <c r="J26" i="44"/>
  <c r="J27" i="44"/>
  <c r="J28" i="44"/>
  <c r="J29" i="44"/>
  <c r="J30" i="44"/>
  <c r="J31" i="44"/>
  <c r="J32" i="44"/>
  <c r="J33" i="44"/>
  <c r="J35" i="44"/>
  <c r="J36" i="44"/>
  <c r="J37" i="44"/>
  <c r="J38" i="44"/>
  <c r="J39" i="44"/>
  <c r="J41" i="44"/>
  <c r="J43" i="44"/>
  <c r="J47" i="44"/>
  <c r="J48" i="44"/>
  <c r="J49" i="44"/>
  <c r="J51" i="44"/>
  <c r="J54" i="44"/>
  <c r="J55" i="44"/>
  <c r="J56" i="44"/>
  <c r="J57" i="44"/>
  <c r="J58" i="44"/>
  <c r="J13" i="44"/>
  <c r="H46" i="44"/>
  <c r="N10" i="45"/>
  <c r="H42" i="44"/>
  <c r="H40" i="44"/>
  <c r="H34" i="44"/>
  <c r="H21" i="44"/>
  <c r="H15" i="44"/>
  <c r="H12" i="44"/>
  <c r="H44" i="44"/>
  <c r="K10" i="45"/>
  <c r="O69" i="44"/>
  <c r="O64" i="44"/>
  <c r="AL5" i="52"/>
  <c r="AL4" i="52"/>
  <c r="F59" i="44"/>
  <c r="G14" i="44"/>
  <c r="G16" i="44"/>
  <c r="G17" i="44"/>
  <c r="G18" i="44"/>
  <c r="G19" i="44"/>
  <c r="G20" i="44"/>
  <c r="G22" i="44"/>
  <c r="G24" i="44"/>
  <c r="G25" i="44"/>
  <c r="G26" i="44"/>
  <c r="G27" i="44"/>
  <c r="G28" i="44"/>
  <c r="G29" i="44"/>
  <c r="G30" i="44"/>
  <c r="G31" i="44"/>
  <c r="G32" i="44"/>
  <c r="G33" i="44"/>
  <c r="G35" i="44"/>
  <c r="G36" i="44"/>
  <c r="G37" i="44"/>
  <c r="G38" i="44"/>
  <c r="G39" i="44"/>
  <c r="G41" i="44"/>
  <c r="G43" i="44"/>
  <c r="G47" i="44"/>
  <c r="G48" i="44"/>
  <c r="G49" i="44"/>
  <c r="G54" i="44"/>
  <c r="G55" i="44"/>
  <c r="G56" i="44"/>
  <c r="G57" i="44"/>
  <c r="G58" i="44"/>
  <c r="G13" i="44"/>
  <c r="E59" i="44"/>
  <c r="E46" i="44"/>
  <c r="N9" i="45"/>
  <c r="E42" i="44"/>
  <c r="E40" i="44"/>
  <c r="E34" i="44"/>
  <c r="E15" i="44"/>
  <c r="E12" i="44"/>
  <c r="D14" i="44"/>
  <c r="D16" i="44"/>
  <c r="D17" i="44"/>
  <c r="D18" i="44"/>
  <c r="D19" i="44"/>
  <c r="D20" i="44"/>
  <c r="D22" i="44"/>
  <c r="D23" i="44"/>
  <c r="D24" i="44"/>
  <c r="D25" i="44"/>
  <c r="D26" i="44"/>
  <c r="D27" i="44"/>
  <c r="D28" i="44"/>
  <c r="D29" i="44"/>
  <c r="D30" i="44"/>
  <c r="D31" i="44"/>
  <c r="D32" i="44"/>
  <c r="D33" i="44"/>
  <c r="D35" i="44"/>
  <c r="D36" i="44"/>
  <c r="D37" i="44"/>
  <c r="D38" i="44"/>
  <c r="D39" i="44"/>
  <c r="D41" i="44"/>
  <c r="D43" i="44"/>
  <c r="D47" i="44"/>
  <c r="D48" i="44"/>
  <c r="D49" i="44"/>
  <c r="D54" i="44"/>
  <c r="D55" i="44"/>
  <c r="D56" i="44"/>
  <c r="D57" i="44"/>
  <c r="D58" i="44"/>
  <c r="D13" i="44"/>
  <c r="B59" i="44"/>
  <c r="K59" i="44"/>
  <c r="H92" i="41"/>
  <c r="K92" i="41"/>
  <c r="B52" i="44"/>
  <c r="B46" i="44"/>
  <c r="B42" i="44"/>
  <c r="K42" i="44"/>
  <c r="B40" i="44"/>
  <c r="B34" i="44"/>
  <c r="B21" i="44"/>
  <c r="B15" i="44"/>
  <c r="K15" i="44"/>
  <c r="B12" i="44"/>
  <c r="K93" i="41"/>
  <c r="K89" i="41"/>
  <c r="B24" i="97"/>
  <c r="K88" i="41"/>
  <c r="K87" i="41"/>
  <c r="K86" i="41"/>
  <c r="K85" i="41"/>
  <c r="K82" i="41"/>
  <c r="K81" i="41"/>
  <c r="K80" i="41"/>
  <c r="K79" i="41"/>
  <c r="B84" i="41"/>
  <c r="B83" i="41"/>
  <c r="H83" i="41"/>
  <c r="K83" i="41"/>
  <c r="K78" i="41"/>
  <c r="B16" i="42"/>
  <c r="K72" i="41"/>
  <c r="K71" i="41"/>
  <c r="K70" i="41"/>
  <c r="K69" i="41"/>
  <c r="K68" i="41"/>
  <c r="K67" i="41"/>
  <c r="K66" i="41"/>
  <c r="J80" i="41"/>
  <c r="J81" i="41"/>
  <c r="J82" i="41"/>
  <c r="J84" i="41"/>
  <c r="J85" i="41"/>
  <c r="J86" i="41"/>
  <c r="J87" i="41"/>
  <c r="J88" i="41"/>
  <c r="J89" i="41"/>
  <c r="H79" i="41"/>
  <c r="H78" i="41"/>
  <c r="H69" i="41"/>
  <c r="H65" i="41"/>
  <c r="G77" i="41"/>
  <c r="G80" i="41"/>
  <c r="G81" i="41"/>
  <c r="G82" i="41"/>
  <c r="G84" i="41"/>
  <c r="G85" i="41"/>
  <c r="G86" i="41"/>
  <c r="G87" i="41"/>
  <c r="G88" i="41"/>
  <c r="G89" i="41"/>
  <c r="E83" i="41"/>
  <c r="E79" i="41"/>
  <c r="E78" i="41"/>
  <c r="E69" i="41"/>
  <c r="E65" i="41"/>
  <c r="D68" i="41"/>
  <c r="D70" i="41"/>
  <c r="D71" i="41"/>
  <c r="D72" i="41"/>
  <c r="D76" i="41"/>
  <c r="D77" i="41"/>
  <c r="D80" i="41"/>
  <c r="D81" i="41"/>
  <c r="D82" i="41"/>
  <c r="D84" i="41"/>
  <c r="D85" i="41"/>
  <c r="D86" i="41"/>
  <c r="D87" i="41"/>
  <c r="D88" i="41"/>
  <c r="D89" i="41"/>
  <c r="D93" i="41"/>
  <c r="D67" i="41"/>
  <c r="B65" i="41"/>
  <c r="K84" i="41"/>
  <c r="B44" i="97"/>
  <c r="B79" i="41"/>
  <c r="B78" i="41"/>
  <c r="B75" i="41"/>
  <c r="N14" i="45"/>
  <c r="B69" i="41"/>
  <c r="M58" i="41"/>
  <c r="K62" i="41"/>
  <c r="K61" i="41"/>
  <c r="K60" i="41"/>
  <c r="K59" i="41"/>
  <c r="K57" i="41"/>
  <c r="K55" i="41"/>
  <c r="K54" i="41"/>
  <c r="K53" i="41"/>
  <c r="K52" i="41"/>
  <c r="K49" i="41"/>
  <c r="K48" i="41"/>
  <c r="K43" i="41"/>
  <c r="K40" i="41"/>
  <c r="K39" i="41"/>
  <c r="K38" i="41"/>
  <c r="K36" i="41"/>
  <c r="K35" i="41"/>
  <c r="K32" i="41"/>
  <c r="K31" i="41"/>
  <c r="J47" i="41"/>
  <c r="J48" i="41"/>
  <c r="J49" i="41"/>
  <c r="J53" i="41"/>
  <c r="J54" i="41"/>
  <c r="J55" i="41"/>
  <c r="H57" i="41"/>
  <c r="G43" i="41"/>
  <c r="G47" i="41"/>
  <c r="G48" i="41"/>
  <c r="G49" i="41"/>
  <c r="G50" i="41"/>
  <c r="G52" i="41"/>
  <c r="G53" i="41"/>
  <c r="G54" i="41"/>
  <c r="G55" i="41"/>
  <c r="G56" i="41"/>
  <c r="E57" i="41"/>
  <c r="E51" i="41"/>
  <c r="G51" i="41"/>
  <c r="E46" i="41"/>
  <c r="K46" i="41"/>
  <c r="E45" i="41"/>
  <c r="G45" i="41"/>
  <c r="E44" i="41"/>
  <c r="G44" i="41"/>
  <c r="E41" i="41"/>
  <c r="K41" i="41"/>
  <c r="E29" i="41"/>
  <c r="D31" i="41"/>
  <c r="D32" i="41"/>
  <c r="D35" i="41"/>
  <c r="D36" i="41"/>
  <c r="D38" i="41"/>
  <c r="D39" i="41"/>
  <c r="D40" i="41"/>
  <c r="D41" i="41"/>
  <c r="D43" i="41"/>
  <c r="D44" i="41"/>
  <c r="D45" i="41"/>
  <c r="D46" i="41"/>
  <c r="D48" i="41"/>
  <c r="D49" i="41"/>
  <c r="D50" i="41"/>
  <c r="D51" i="41"/>
  <c r="D52" i="41"/>
  <c r="D53" i="41"/>
  <c r="D54" i="41"/>
  <c r="D55" i="41"/>
  <c r="D56" i="41"/>
  <c r="D58" i="41"/>
  <c r="D59" i="41"/>
  <c r="D60" i="41"/>
  <c r="D61" i="41"/>
  <c r="D62" i="41"/>
  <c r="B34" i="41"/>
  <c r="D34" i="41"/>
  <c r="B57" i="41"/>
  <c r="B47" i="41"/>
  <c r="B42" i="41"/>
  <c r="B37" i="41"/>
  <c r="K37" i="41"/>
  <c r="K34" i="41"/>
  <c r="B33" i="41"/>
  <c r="K33" i="41"/>
  <c r="B30" i="41"/>
  <c r="K30" i="41"/>
  <c r="B29" i="41"/>
  <c r="K29" i="41"/>
  <c r="M15" i="41"/>
  <c r="K21" i="41"/>
  <c r="B7" i="42"/>
  <c r="H21" i="41"/>
  <c r="J21" i="41"/>
  <c r="J8" i="41"/>
  <c r="J9" i="41"/>
  <c r="J10" i="41"/>
  <c r="J11" i="41"/>
  <c r="J12" i="41"/>
  <c r="J13" i="41"/>
  <c r="J14" i="41"/>
  <c r="J15" i="41"/>
  <c r="J16" i="41"/>
  <c r="J17" i="41"/>
  <c r="J18" i="41"/>
  <c r="J22" i="41"/>
  <c r="J23" i="41"/>
  <c r="J24" i="41"/>
  <c r="J25" i="41"/>
  <c r="J26" i="41"/>
  <c r="J7" i="41"/>
  <c r="G26" i="41"/>
  <c r="G8" i="41"/>
  <c r="G9" i="41"/>
  <c r="G10" i="41"/>
  <c r="G11" i="41"/>
  <c r="G12" i="41"/>
  <c r="G13" i="41"/>
  <c r="G14" i="41"/>
  <c r="G15" i="41"/>
  <c r="G16" i="41"/>
  <c r="G17" i="41"/>
  <c r="G18" i="41"/>
  <c r="G20" i="41"/>
  <c r="G22" i="41"/>
  <c r="G23" i="41"/>
  <c r="G24" i="41"/>
  <c r="G25" i="41"/>
  <c r="G7" i="41"/>
  <c r="E21" i="41"/>
  <c r="G21" i="41"/>
  <c r="E19" i="41"/>
  <c r="G19" i="41"/>
  <c r="D8" i="41"/>
  <c r="D9" i="41"/>
  <c r="D10" i="41"/>
  <c r="D11" i="41"/>
  <c r="D12" i="41"/>
  <c r="D13" i="41"/>
  <c r="D14" i="41"/>
  <c r="D15" i="41"/>
  <c r="D16" i="41"/>
  <c r="D17" i="41"/>
  <c r="D18" i="41"/>
  <c r="D19" i="41"/>
  <c r="D20" i="41"/>
  <c r="D22" i="41"/>
  <c r="D23" i="41"/>
  <c r="D24" i="41"/>
  <c r="D25" i="41"/>
  <c r="D26" i="41"/>
  <c r="D30" i="41"/>
  <c r="D37" i="41"/>
  <c r="D47" i="41"/>
  <c r="D57" i="41"/>
  <c r="D65" i="41"/>
  <c r="D69" i="41"/>
  <c r="C75" i="41"/>
  <c r="D75" i="41"/>
  <c r="C79" i="41"/>
  <c r="D79" i="41"/>
  <c r="D83" i="41"/>
  <c r="G51" i="44"/>
  <c r="D52" i="44"/>
  <c r="B50" i="44"/>
  <c r="G59" i="44"/>
  <c r="E6" i="41"/>
  <c r="G6" i="41"/>
  <c r="G41" i="41"/>
  <c r="G46" i="41"/>
  <c r="B44" i="44"/>
  <c r="D59" i="44"/>
  <c r="E21" i="44"/>
  <c r="E44" i="44"/>
  <c r="G23" i="44"/>
  <c r="E42" i="41"/>
  <c r="C78" i="41"/>
  <c r="C32" i="42"/>
  <c r="D52" i="42"/>
  <c r="D51" i="42"/>
  <c r="D50" i="42"/>
  <c r="D49" i="42"/>
  <c r="D48" i="42"/>
  <c r="D47" i="42"/>
  <c r="D46" i="42"/>
  <c r="D45" i="42"/>
  <c r="D44" i="42"/>
  <c r="D43" i="42"/>
  <c r="D42" i="42"/>
  <c r="D41" i="42"/>
  <c r="D40" i="42"/>
  <c r="K8" i="45"/>
  <c r="B45" i="44"/>
  <c r="B53" i="44"/>
  <c r="E8" i="45"/>
  <c r="C74" i="41"/>
  <c r="C90" i="41"/>
  <c r="C113" i="115"/>
  <c r="C83" i="115"/>
  <c r="D83" i="115"/>
  <c r="C78" i="115"/>
  <c r="C74" i="115"/>
  <c r="C69" i="115"/>
  <c r="C63" i="115"/>
  <c r="D63" i="115"/>
  <c r="C52" i="115"/>
  <c r="D48" i="115"/>
  <c r="H8" i="45"/>
  <c r="G42" i="113"/>
  <c r="G58" i="113"/>
  <c r="H24" i="113"/>
  <c r="H21" i="113"/>
  <c r="D25" i="113"/>
  <c r="D23" i="113"/>
  <c r="C20" i="113"/>
  <c r="C57" i="113"/>
  <c r="B60" i="113"/>
  <c r="B44" i="113"/>
  <c r="B61" i="113"/>
  <c r="F42" i="113"/>
  <c r="F58" i="113"/>
  <c r="I34" i="113"/>
  <c r="H23" i="113"/>
  <c r="H22" i="113"/>
  <c r="F20" i="113"/>
  <c r="F57" i="113"/>
  <c r="F56" i="113"/>
  <c r="D14" i="113"/>
  <c r="D13" i="113"/>
  <c r="D12" i="113"/>
  <c r="C42" i="113"/>
  <c r="C58" i="113"/>
  <c r="C56" i="113"/>
  <c r="C22" i="113"/>
  <c r="C60" i="113"/>
  <c r="B59" i="113"/>
  <c r="D22" i="113"/>
  <c r="D60" i="113"/>
  <c r="M48" i="103"/>
  <c r="L48" i="103"/>
  <c r="J48" i="103"/>
  <c r="I48" i="103"/>
  <c r="E48" i="103"/>
  <c r="D48" i="103"/>
  <c r="N34" i="103"/>
  <c r="N35" i="103"/>
  <c r="N36" i="103"/>
  <c r="N37" i="103"/>
  <c r="N38" i="103"/>
  <c r="N8" i="103"/>
  <c r="N48" i="103"/>
  <c r="N43" i="103"/>
  <c r="N31" i="103"/>
  <c r="N25" i="103"/>
  <c r="M20" i="103"/>
  <c r="L20" i="103"/>
  <c r="K20" i="103"/>
  <c r="K26" i="103"/>
  <c r="K27" i="103"/>
  <c r="K32" i="103"/>
  <c r="J20" i="103"/>
  <c r="I20" i="103"/>
  <c r="H20" i="103"/>
  <c r="G20" i="103"/>
  <c r="F20" i="103"/>
  <c r="E20" i="103"/>
  <c r="D20" i="103"/>
  <c r="C20" i="103"/>
  <c r="N19" i="103"/>
  <c r="N18" i="103"/>
  <c r="N17" i="103"/>
  <c r="D45" i="113"/>
  <c r="D44" i="113"/>
  <c r="D61" i="113"/>
  <c r="C44" i="113"/>
  <c r="C61" i="113"/>
  <c r="D25" i="107"/>
  <c r="X5" i="52"/>
  <c r="E5" i="107"/>
  <c r="N54" i="103"/>
  <c r="N52" i="103"/>
  <c r="L50" i="103"/>
  <c r="J50" i="103"/>
  <c r="H50" i="103"/>
  <c r="B50" i="103"/>
  <c r="B51" i="103"/>
  <c r="B53" i="103"/>
  <c r="N49" i="103"/>
  <c r="M50" i="103"/>
  <c r="K50" i="103"/>
  <c r="I50" i="103"/>
  <c r="G50" i="103"/>
  <c r="F50" i="103"/>
  <c r="E50" i="103"/>
  <c r="D50" i="103"/>
  <c r="C50" i="103"/>
  <c r="N47" i="103"/>
  <c r="N46" i="103"/>
  <c r="L45" i="103"/>
  <c r="L51" i="103"/>
  <c r="L53" i="103"/>
  <c r="K45" i="103"/>
  <c r="J45" i="103"/>
  <c r="I45" i="103"/>
  <c r="H45" i="103"/>
  <c r="G45" i="103"/>
  <c r="F45" i="103"/>
  <c r="E45" i="103"/>
  <c r="E51" i="103"/>
  <c r="E53" i="103"/>
  <c r="D45" i="103"/>
  <c r="C45" i="103"/>
  <c r="N42" i="103"/>
  <c r="N40" i="103"/>
  <c r="N39" i="103"/>
  <c r="N33" i="103"/>
  <c r="N30" i="103"/>
  <c r="N29" i="103"/>
  <c r="N28" i="103"/>
  <c r="M26" i="103"/>
  <c r="L26" i="103"/>
  <c r="J26" i="103"/>
  <c r="I26" i="103"/>
  <c r="H26" i="103"/>
  <c r="G26" i="103"/>
  <c r="G27" i="103"/>
  <c r="G32" i="103"/>
  <c r="F26" i="103"/>
  <c r="E26" i="103"/>
  <c r="D26" i="103"/>
  <c r="C26" i="103"/>
  <c r="B26" i="103"/>
  <c r="N24" i="103"/>
  <c r="N23" i="103"/>
  <c r="N22" i="103"/>
  <c r="N21" i="103"/>
  <c r="N16" i="103"/>
  <c r="N15" i="103"/>
  <c r="N14" i="103"/>
  <c r="N13" i="103"/>
  <c r="N12" i="103"/>
  <c r="N11" i="103"/>
  <c r="N10" i="103"/>
  <c r="N9" i="103"/>
  <c r="N26" i="103"/>
  <c r="C27" i="103"/>
  <c r="C32" i="103"/>
  <c r="H39" i="113"/>
  <c r="D33" i="50"/>
  <c r="E33" i="50"/>
  <c r="B39" i="42"/>
  <c r="B32" i="42"/>
  <c r="B7" i="41"/>
  <c r="D7" i="41"/>
  <c r="C43" i="97"/>
  <c r="C60" i="97"/>
  <c r="M31" i="44"/>
  <c r="M32" i="44"/>
  <c r="M19" i="44"/>
  <c r="M20" i="44"/>
  <c r="M14" i="44"/>
  <c r="M81" i="41"/>
  <c r="M82" i="41"/>
  <c r="L84" i="41"/>
  <c r="M84" i="41"/>
  <c r="L85" i="41"/>
  <c r="M85" i="41"/>
  <c r="L86" i="41"/>
  <c r="M86" i="41"/>
  <c r="L87" i="41"/>
  <c r="M87" i="41"/>
  <c r="M88" i="41"/>
  <c r="M89" i="41"/>
  <c r="J69" i="41"/>
  <c r="G69" i="41"/>
  <c r="M60" i="41"/>
  <c r="M61" i="41"/>
  <c r="M62" i="41"/>
  <c r="L46" i="41"/>
  <c r="M46" i="41"/>
  <c r="L48" i="41"/>
  <c r="M48" i="41"/>
  <c r="L49" i="41"/>
  <c r="M49" i="41"/>
  <c r="L52" i="41"/>
  <c r="L53" i="41"/>
  <c r="M53" i="41"/>
  <c r="L54" i="41"/>
  <c r="M54" i="41"/>
  <c r="L55" i="41"/>
  <c r="M55" i="41"/>
  <c r="L23" i="41"/>
  <c r="M23" i="41"/>
  <c r="L24" i="41"/>
  <c r="M24" i="41"/>
  <c r="L25" i="41"/>
  <c r="M25" i="41"/>
  <c r="L26" i="41"/>
  <c r="M26" i="41"/>
  <c r="B21" i="41"/>
  <c r="D21" i="41"/>
  <c r="D42" i="41"/>
  <c r="D29" i="41"/>
  <c r="B6" i="41"/>
  <c r="D6" i="41"/>
  <c r="D73" i="41"/>
  <c r="D33" i="113"/>
  <c r="D16" i="42"/>
  <c r="G41" i="97"/>
  <c r="C21" i="97"/>
  <c r="C59" i="97"/>
  <c r="G19" i="97"/>
  <c r="G56" i="97"/>
  <c r="L43" i="41"/>
  <c r="M43" i="41"/>
  <c r="L22" i="41"/>
  <c r="M22" i="41"/>
  <c r="M14" i="41"/>
  <c r="D91" i="50"/>
  <c r="D86" i="50"/>
  <c r="P59" i="44"/>
  <c r="Q59" i="44"/>
  <c r="L47" i="41"/>
  <c r="M56" i="44"/>
  <c r="M58" i="44"/>
  <c r="D98" i="50"/>
  <c r="H38" i="113"/>
  <c r="M55" i="44"/>
  <c r="M80" i="41"/>
  <c r="M72" i="41"/>
  <c r="M70" i="41"/>
  <c r="M71" i="41"/>
  <c r="J83" i="41"/>
  <c r="I79" i="41"/>
  <c r="J79" i="41"/>
  <c r="F83" i="41"/>
  <c r="G83" i="41"/>
  <c r="F79" i="41"/>
  <c r="G79" i="41"/>
  <c r="F75" i="41"/>
  <c r="M83" i="41"/>
  <c r="M68" i="41"/>
  <c r="M67" i="41"/>
  <c r="M66" i="41"/>
  <c r="M59" i="41"/>
  <c r="L41" i="41"/>
  <c r="M41" i="41"/>
  <c r="L40" i="41"/>
  <c r="M40" i="41"/>
  <c r="L39" i="41"/>
  <c r="M39" i="41"/>
  <c r="L38" i="41"/>
  <c r="M38" i="41"/>
  <c r="L37" i="41"/>
  <c r="M37" i="41"/>
  <c r="L36" i="41"/>
  <c r="M36" i="41"/>
  <c r="L35" i="41"/>
  <c r="M35" i="41"/>
  <c r="L34" i="41"/>
  <c r="M34" i="41"/>
  <c r="L32" i="41"/>
  <c r="M32" i="41"/>
  <c r="L31" i="41"/>
  <c r="M31" i="41"/>
  <c r="L30" i="41"/>
  <c r="M30" i="41"/>
  <c r="G65" i="41"/>
  <c r="D11" i="113"/>
  <c r="J65" i="41"/>
  <c r="J57" i="41"/>
  <c r="F29" i="41"/>
  <c r="G57" i="41"/>
  <c r="M13" i="41"/>
  <c r="M12" i="41"/>
  <c r="M11" i="41"/>
  <c r="M10" i="41"/>
  <c r="M9" i="41"/>
  <c r="M8" i="41"/>
  <c r="M16" i="41"/>
  <c r="M17" i="41"/>
  <c r="M18" i="41"/>
  <c r="L20" i="41"/>
  <c r="C21" i="40"/>
  <c r="P67" i="44"/>
  <c r="Q67" i="44"/>
  <c r="P66" i="44"/>
  <c r="Q66" i="44"/>
  <c r="I12" i="45"/>
  <c r="P46" i="44"/>
  <c r="Q42" i="44"/>
  <c r="Q40" i="44"/>
  <c r="Q34" i="44"/>
  <c r="Q21" i="44"/>
  <c r="Q17" i="44"/>
  <c r="Q15" i="44"/>
  <c r="Q12" i="44"/>
  <c r="P64" i="44"/>
  <c r="Q64" i="44"/>
  <c r="M54" i="44"/>
  <c r="M22" i="44"/>
  <c r="M18" i="44"/>
  <c r="M17" i="44"/>
  <c r="M16" i="44"/>
  <c r="M49" i="44"/>
  <c r="M43" i="44"/>
  <c r="M39" i="44"/>
  <c r="M38" i="44"/>
  <c r="M37" i="44"/>
  <c r="M36" i="44"/>
  <c r="M35" i="44"/>
  <c r="M30" i="44"/>
  <c r="M29" i="44"/>
  <c r="M26" i="44"/>
  <c r="M25" i="44"/>
  <c r="C42" i="44"/>
  <c r="C40" i="44"/>
  <c r="D40" i="44"/>
  <c r="C34" i="44"/>
  <c r="D34" i="44"/>
  <c r="C15" i="44"/>
  <c r="C50" i="44"/>
  <c r="D46" i="44"/>
  <c r="C21" i="44"/>
  <c r="D21" i="44"/>
  <c r="C12" i="44"/>
  <c r="D12" i="44"/>
  <c r="I59" i="44"/>
  <c r="L59" i="44"/>
  <c r="I92" i="41"/>
  <c r="I15" i="44"/>
  <c r="J15" i="44"/>
  <c r="I12" i="44"/>
  <c r="J12" i="44"/>
  <c r="F10" i="45"/>
  <c r="I10" i="45"/>
  <c r="J46" i="44"/>
  <c r="I42" i="44"/>
  <c r="J42" i="44"/>
  <c r="I40" i="44"/>
  <c r="J40" i="44"/>
  <c r="I34" i="44"/>
  <c r="J34" i="44"/>
  <c r="I21" i="44"/>
  <c r="J21" i="44"/>
  <c r="F9" i="45"/>
  <c r="F46" i="44"/>
  <c r="G46" i="44"/>
  <c r="G42" i="44"/>
  <c r="G40" i="44"/>
  <c r="G34" i="44"/>
  <c r="G21" i="44"/>
  <c r="G15" i="44"/>
  <c r="G12" i="44"/>
  <c r="T8" i="45"/>
  <c r="N62" i="44"/>
  <c r="N60" i="44"/>
  <c r="N18" i="44"/>
  <c r="N17" i="44"/>
  <c r="O63" i="44"/>
  <c r="N57" i="44"/>
  <c r="N56" i="44"/>
  <c r="N30" i="44"/>
  <c r="N29" i="44"/>
  <c r="N26" i="44"/>
  <c r="N25" i="44"/>
  <c r="H20" i="41"/>
  <c r="K20" i="41"/>
  <c r="M20" i="41"/>
  <c r="N50" i="44"/>
  <c r="N45" i="44"/>
  <c r="N15" i="44"/>
  <c r="N12" i="44"/>
  <c r="P73" i="41"/>
  <c r="D15" i="44"/>
  <c r="L15" i="44"/>
  <c r="Q46" i="44"/>
  <c r="O30" i="103"/>
  <c r="O12" i="45"/>
  <c r="P12" i="45"/>
  <c r="D50" i="44"/>
  <c r="F8" i="45"/>
  <c r="D42" i="44"/>
  <c r="L42" i="44"/>
  <c r="M42" i="44"/>
  <c r="AC9" i="52"/>
  <c r="AD7" i="52"/>
  <c r="AG9" i="52"/>
  <c r="AH7" i="52"/>
  <c r="M7" i="52"/>
  <c r="AJ9" i="52"/>
  <c r="AK9" i="52"/>
  <c r="AK7" i="52"/>
  <c r="R13" i="45"/>
  <c r="S11" i="45"/>
  <c r="J59" i="44"/>
  <c r="M23" i="44"/>
  <c r="M28" i="44"/>
  <c r="M24" i="44"/>
  <c r="M27" i="44"/>
  <c r="L56" i="41"/>
  <c r="M33" i="44"/>
  <c r="M40" i="44"/>
  <c r="O19" i="103"/>
  <c r="M41" i="44"/>
  <c r="J77" i="41"/>
  <c r="M48" i="44"/>
  <c r="H19" i="41"/>
  <c r="N23" i="44"/>
  <c r="H44" i="41"/>
  <c r="N27" i="44"/>
  <c r="H50" i="41"/>
  <c r="J20" i="41"/>
  <c r="N24" i="44"/>
  <c r="H45" i="41"/>
  <c r="N28" i="44"/>
  <c r="H51" i="41"/>
  <c r="N33" i="44"/>
  <c r="H56" i="41"/>
  <c r="N42" i="44"/>
  <c r="P68" i="44"/>
  <c r="Q68" i="44"/>
  <c r="C45" i="44"/>
  <c r="M15" i="44"/>
  <c r="I78" i="41"/>
  <c r="J78" i="41"/>
  <c r="L21" i="41"/>
  <c r="M7" i="41"/>
  <c r="N40" i="44"/>
  <c r="N58" i="44"/>
  <c r="AA7" i="52"/>
  <c r="M69" i="41"/>
  <c r="M79" i="41"/>
  <c r="N7" i="52"/>
  <c r="N9" i="52"/>
  <c r="N11" i="52"/>
  <c r="N22" i="44"/>
  <c r="U7" i="52"/>
  <c r="G44" i="44"/>
  <c r="R21" i="44"/>
  <c r="N55" i="44"/>
  <c r="C44" i="44"/>
  <c r="C53" i="44"/>
  <c r="C24" i="40"/>
  <c r="F78" i="41"/>
  <c r="G78" i="41"/>
  <c r="D7" i="52"/>
  <c r="D44" i="44"/>
  <c r="D45" i="44"/>
  <c r="I8" i="45"/>
  <c r="AD9" i="52"/>
  <c r="U9" i="52"/>
  <c r="AH9" i="52"/>
  <c r="S13" i="45"/>
  <c r="L44" i="41"/>
  <c r="N21" i="44"/>
  <c r="K56" i="41"/>
  <c r="J56" i="41"/>
  <c r="K45" i="41"/>
  <c r="H42" i="41"/>
  <c r="K42" i="41"/>
  <c r="K50" i="41"/>
  <c r="J19" i="41"/>
  <c r="H6" i="41"/>
  <c r="K51" i="41"/>
  <c r="J51" i="41"/>
  <c r="K44" i="41"/>
  <c r="H76" i="41"/>
  <c r="R44" i="44"/>
  <c r="S21" i="44"/>
  <c r="N34" i="44"/>
  <c r="Z9" i="52"/>
  <c r="AA9" i="52"/>
  <c r="T9" i="52"/>
  <c r="M78" i="41"/>
  <c r="O7" i="52"/>
  <c r="O9" i="52"/>
  <c r="O11" i="52"/>
  <c r="F74" i="41"/>
  <c r="N44" i="44"/>
  <c r="N53" i="44"/>
  <c r="N59" i="44"/>
  <c r="H73" i="41"/>
  <c r="H75" i="41"/>
  <c r="H90" i="41"/>
  <c r="H91" i="41"/>
  <c r="Q7" i="52"/>
  <c r="Q9" i="52"/>
  <c r="Q11" i="52"/>
  <c r="P7" i="52"/>
  <c r="P9" i="52"/>
  <c r="P11" i="52"/>
  <c r="H74" i="41"/>
  <c r="C30" i="42"/>
  <c r="D31" i="42"/>
  <c r="H51" i="103"/>
  <c r="H53" i="103"/>
  <c r="M44" i="103"/>
  <c r="G16" i="97"/>
  <c r="G17" i="113"/>
  <c r="I18" i="122"/>
  <c r="G42" i="41"/>
  <c r="O15" i="103"/>
  <c r="E74" i="41"/>
  <c r="G74" i="41"/>
  <c r="E90" i="41"/>
  <c r="K75" i="41"/>
  <c r="B9" i="97"/>
  <c r="B9" i="42"/>
  <c r="O17" i="103"/>
  <c r="G29" i="41"/>
  <c r="B9" i="113"/>
  <c r="O14" i="103"/>
  <c r="G75" i="41"/>
  <c r="K76" i="41"/>
  <c r="B20" i="97"/>
  <c r="B19" i="97"/>
  <c r="F90" i="41"/>
  <c r="G90" i="41"/>
  <c r="J6" i="41"/>
  <c r="M44" i="41"/>
  <c r="K19" i="41"/>
  <c r="M56" i="41"/>
  <c r="L51" i="41"/>
  <c r="M51" i="41"/>
  <c r="J44" i="41"/>
  <c r="M52" i="41"/>
  <c r="E73" i="41"/>
  <c r="G76" i="41"/>
  <c r="B43" i="113"/>
  <c r="D43" i="113"/>
  <c r="D42" i="113"/>
  <c r="D58" i="113"/>
  <c r="G13" i="97"/>
  <c r="C121" i="115"/>
  <c r="B121" i="115"/>
  <c r="D74" i="115"/>
  <c r="D110" i="115"/>
  <c r="F42" i="120"/>
  <c r="F85" i="120"/>
  <c r="E53" i="120"/>
  <c r="G54" i="120"/>
  <c r="E30" i="120"/>
  <c r="G38" i="120"/>
  <c r="G30" i="120"/>
  <c r="G58" i="120"/>
  <c r="G57" i="120"/>
  <c r="E57" i="120"/>
  <c r="E7" i="120"/>
  <c r="E6" i="120"/>
  <c r="E5" i="120"/>
  <c r="G8" i="120"/>
  <c r="G7" i="120"/>
  <c r="J8" i="45"/>
  <c r="G8" i="45"/>
  <c r="G52" i="44"/>
  <c r="E50" i="44"/>
  <c r="AM5" i="52"/>
  <c r="AN5" i="52"/>
  <c r="K51" i="103"/>
  <c r="K53" i="103"/>
  <c r="C51" i="103"/>
  <c r="C53" i="103"/>
  <c r="I51" i="103"/>
  <c r="I53" i="103"/>
  <c r="N50" i="103"/>
  <c r="J51" i="103"/>
  <c r="J53" i="103"/>
  <c r="D51" i="103"/>
  <c r="D53" i="103"/>
  <c r="F51" i="103"/>
  <c r="F53" i="103"/>
  <c r="N20" i="103"/>
  <c r="M27" i="103"/>
  <c r="M32" i="103"/>
  <c r="I27" i="103"/>
  <c r="I32" i="103"/>
  <c r="E27" i="103"/>
  <c r="E32" i="103"/>
  <c r="N27" i="103"/>
  <c r="N32" i="103"/>
  <c r="M21" i="41"/>
  <c r="C30" i="97"/>
  <c r="C39" i="97"/>
  <c r="C7" i="42"/>
  <c r="D7" i="42"/>
  <c r="C7" i="97"/>
  <c r="C6" i="42"/>
  <c r="C37" i="42"/>
  <c r="D145" i="50"/>
  <c r="D106" i="50"/>
  <c r="H36" i="113"/>
  <c r="D166" i="50"/>
  <c r="D34" i="42"/>
  <c r="G20" i="113"/>
  <c r="H44" i="113"/>
  <c r="H42" i="113"/>
  <c r="H58" i="113"/>
  <c r="Y10" i="52"/>
  <c r="Y11" i="52"/>
  <c r="B37" i="42"/>
  <c r="D35" i="42"/>
  <c r="D111" i="50"/>
  <c r="H35" i="113"/>
  <c r="H43" i="97"/>
  <c r="B94" i="50"/>
  <c r="B95" i="50"/>
  <c r="V10" i="52"/>
  <c r="H41" i="97"/>
  <c r="AG10" i="52"/>
  <c r="D52" i="115"/>
  <c r="D69" i="115"/>
  <c r="D78" i="115"/>
  <c r="D113" i="115"/>
  <c r="D122" i="115"/>
  <c r="D125" i="115"/>
  <c r="B28" i="42"/>
  <c r="C85" i="49"/>
  <c r="D4" i="49"/>
  <c r="D12" i="49"/>
  <c r="C113" i="40"/>
  <c r="D106" i="40"/>
  <c r="D17" i="40"/>
  <c r="D8" i="52"/>
  <c r="K8" i="52"/>
  <c r="K9" i="52"/>
  <c r="K11" i="52"/>
  <c r="F10" i="97"/>
  <c r="D42" i="40"/>
  <c r="I8" i="52"/>
  <c r="I9" i="52"/>
  <c r="F10" i="113"/>
  <c r="O37" i="103"/>
  <c r="L10" i="52"/>
  <c r="O40" i="103"/>
  <c r="F10" i="52"/>
  <c r="G10" i="52"/>
  <c r="O36" i="103"/>
  <c r="I10" i="52"/>
  <c r="J10" i="52"/>
  <c r="O38" i="103"/>
  <c r="D21" i="40"/>
  <c r="W8" i="52"/>
  <c r="D56" i="40"/>
  <c r="D15" i="40"/>
  <c r="O39" i="103"/>
  <c r="Q52" i="44"/>
  <c r="O50" i="44"/>
  <c r="E12" i="45"/>
  <c r="H12" i="45"/>
  <c r="E9" i="52"/>
  <c r="E11" i="52"/>
  <c r="F8" i="97"/>
  <c r="M10" i="52"/>
  <c r="X8" i="52"/>
  <c r="O45" i="44"/>
  <c r="O53" i="44"/>
  <c r="B9" i="52"/>
  <c r="B11" i="52"/>
  <c r="F7" i="97"/>
  <c r="C10" i="52"/>
  <c r="D10" i="52"/>
  <c r="O34" i="103"/>
  <c r="D28" i="40"/>
  <c r="C59" i="113"/>
  <c r="R14" i="45"/>
  <c r="R15" i="45"/>
  <c r="O14" i="45"/>
  <c r="P14" i="45"/>
  <c r="O29" i="103"/>
  <c r="M57" i="41"/>
  <c r="D32" i="113"/>
  <c r="D39" i="42"/>
  <c r="O44" i="103"/>
  <c r="G6" i="120"/>
  <c r="G5" i="120"/>
  <c r="X6" i="52"/>
  <c r="AM6" i="52"/>
  <c r="P45" i="44"/>
  <c r="Q45" i="44"/>
  <c r="F92" i="41"/>
  <c r="L92" i="41"/>
  <c r="M92" i="41"/>
  <c r="G92" i="41"/>
  <c r="P53" i="44"/>
  <c r="F73" i="41"/>
  <c r="Q44" i="44"/>
  <c r="G51" i="103"/>
  <c r="G53" i="103"/>
  <c r="B27" i="103"/>
  <c r="B55" i="103"/>
  <c r="C6" i="103"/>
  <c r="F27" i="103"/>
  <c r="F32" i="103"/>
  <c r="J27" i="103"/>
  <c r="J32" i="103"/>
  <c r="D27" i="103"/>
  <c r="D32" i="103"/>
  <c r="H27" i="103"/>
  <c r="H32" i="103"/>
  <c r="L27" i="103"/>
  <c r="L32" i="103"/>
  <c r="O9" i="45"/>
  <c r="P9" i="45"/>
  <c r="P69" i="44"/>
  <c r="Q69" i="44"/>
  <c r="P65" i="44"/>
  <c r="Q65" i="44"/>
  <c r="J92" i="41"/>
  <c r="I9" i="45"/>
  <c r="G50" i="44"/>
  <c r="F45" i="44"/>
  <c r="J45" i="41"/>
  <c r="L45" i="41"/>
  <c r="M45" i="41"/>
  <c r="L9" i="45"/>
  <c r="F53" i="44"/>
  <c r="L12" i="44"/>
  <c r="M12" i="44"/>
  <c r="G7" i="52"/>
  <c r="L77" i="41"/>
  <c r="J93" i="41"/>
  <c r="L93" i="41"/>
  <c r="M93" i="41"/>
  <c r="P63" i="44"/>
  <c r="Q63" i="44"/>
  <c r="M59" i="44"/>
  <c r="P8" i="45"/>
  <c r="M46" i="44"/>
  <c r="B21" i="113"/>
  <c r="O10" i="45"/>
  <c r="P10" i="45"/>
  <c r="M47" i="44"/>
  <c r="L50" i="44"/>
  <c r="I44" i="44"/>
  <c r="I53" i="44"/>
  <c r="L53" i="44"/>
  <c r="F11" i="45"/>
  <c r="F13" i="45"/>
  <c r="L10" i="45"/>
  <c r="L44" i="44"/>
  <c r="B56" i="97"/>
  <c r="U12" i="45"/>
  <c r="B42" i="113"/>
  <c r="B58" i="113"/>
  <c r="D53" i="44"/>
  <c r="M10" i="45"/>
  <c r="K6" i="41"/>
  <c r="M19" i="41"/>
  <c r="G34" i="113"/>
  <c r="H34" i="113"/>
  <c r="B40" i="113"/>
  <c r="D32" i="42"/>
  <c r="D30" i="42"/>
  <c r="B30" i="42"/>
  <c r="AJ10" i="52"/>
  <c r="L8" i="45"/>
  <c r="C58" i="97"/>
  <c r="D59" i="113"/>
  <c r="D92" i="40"/>
  <c r="G57" i="97"/>
  <c r="E14" i="107"/>
  <c r="E21" i="107"/>
  <c r="E25" i="107"/>
  <c r="K9" i="45"/>
  <c r="K44" i="44"/>
  <c r="B8" i="42"/>
  <c r="B8" i="97"/>
  <c r="Q14" i="45"/>
  <c r="Q15" i="45"/>
  <c r="B90" i="41"/>
  <c r="K90" i="41"/>
  <c r="L8" i="52"/>
  <c r="D29" i="107"/>
  <c r="D90" i="41"/>
  <c r="B10" i="42"/>
  <c r="D10" i="42"/>
  <c r="B31" i="97"/>
  <c r="D31" i="97"/>
  <c r="S14" i="45"/>
  <c r="K47" i="41"/>
  <c r="M47" i="41"/>
  <c r="B73" i="41"/>
  <c r="B91" i="41"/>
  <c r="D44" i="97"/>
  <c r="B43" i="97"/>
  <c r="B60" i="97"/>
  <c r="D60" i="97"/>
  <c r="B12" i="42"/>
  <c r="D12" i="42"/>
  <c r="B32" i="97"/>
  <c r="D32" i="97"/>
  <c r="B21" i="97"/>
  <c r="D24" i="97"/>
  <c r="H52" i="44"/>
  <c r="AL6" i="52"/>
  <c r="AN6" i="52"/>
  <c r="V7" i="52"/>
  <c r="V9" i="52"/>
  <c r="D78" i="41"/>
  <c r="B30" i="97"/>
  <c r="B74" i="41"/>
  <c r="D74" i="41"/>
  <c r="K65" i="41"/>
  <c r="N11" i="45"/>
  <c r="K10" i="119"/>
  <c r="M10" i="119"/>
  <c r="J5" i="52"/>
  <c r="B9" i="40"/>
  <c r="B85" i="49"/>
  <c r="B160" i="50"/>
  <c r="B113" i="40"/>
  <c r="B101" i="40"/>
  <c r="L34" i="44"/>
  <c r="M34" i="44"/>
  <c r="F13" i="97"/>
  <c r="F34" i="97"/>
  <c r="F19" i="97"/>
  <c r="H20" i="97"/>
  <c r="I114" i="119"/>
  <c r="AC10" i="52"/>
  <c r="AC11" i="52"/>
  <c r="O49" i="103"/>
  <c r="I19" i="122"/>
  <c r="J18" i="122"/>
  <c r="J19" i="122"/>
  <c r="J21" i="122"/>
  <c r="J34" i="122"/>
  <c r="N44" i="103"/>
  <c r="N45" i="103"/>
  <c r="M45" i="103"/>
  <c r="M51" i="103"/>
  <c r="M53" i="103"/>
  <c r="K12" i="45"/>
  <c r="M12" i="45"/>
  <c r="E91" i="41"/>
  <c r="B15" i="42"/>
  <c r="K74" i="41"/>
  <c r="T12" i="45"/>
  <c r="V12" i="45"/>
  <c r="M77" i="41"/>
  <c r="C42" i="97"/>
  <c r="F32" i="113"/>
  <c r="O48" i="103"/>
  <c r="C27" i="42"/>
  <c r="C101" i="40"/>
  <c r="O42" i="103"/>
  <c r="G15" i="113"/>
  <c r="G14" i="97"/>
  <c r="H14" i="113"/>
  <c r="G11" i="97"/>
  <c r="C28" i="42"/>
  <c r="D28" i="42"/>
  <c r="G33" i="113"/>
  <c r="E46" i="120"/>
  <c r="E42" i="120"/>
  <c r="E85" i="120"/>
  <c r="I85" i="120"/>
  <c r="G53" i="120"/>
  <c r="G46" i="120"/>
  <c r="G42" i="120"/>
  <c r="AL7" i="52"/>
  <c r="E45" i="44"/>
  <c r="G45" i="44"/>
  <c r="E53" i="44"/>
  <c r="E9" i="45"/>
  <c r="C55" i="103"/>
  <c r="D6" i="103"/>
  <c r="N51" i="103"/>
  <c r="N55" i="103"/>
  <c r="N53" i="103"/>
  <c r="C52" i="97"/>
  <c r="D37" i="42"/>
  <c r="H20" i="113"/>
  <c r="H57" i="113"/>
  <c r="H56" i="113"/>
  <c r="G57" i="113"/>
  <c r="G56" i="113"/>
  <c r="F30" i="97"/>
  <c r="D94" i="50"/>
  <c r="AH10" i="52"/>
  <c r="AG11" i="52"/>
  <c r="AH11" i="52"/>
  <c r="D121" i="115"/>
  <c r="C123" i="115"/>
  <c r="O47" i="103"/>
  <c r="D85" i="49"/>
  <c r="C115" i="40"/>
  <c r="C21" i="42"/>
  <c r="I10" i="113"/>
  <c r="F11" i="52"/>
  <c r="G9" i="52"/>
  <c r="H9" i="113"/>
  <c r="Q53" i="44"/>
  <c r="I11" i="52"/>
  <c r="G9" i="97"/>
  <c r="J12" i="45"/>
  <c r="G12" i="45"/>
  <c r="Q50" i="44"/>
  <c r="D9" i="52"/>
  <c r="H8" i="113"/>
  <c r="C11" i="52"/>
  <c r="S15" i="45"/>
  <c r="D33" i="41"/>
  <c r="L33" i="41"/>
  <c r="M33" i="41"/>
  <c r="G73" i="41"/>
  <c r="F91" i="41"/>
  <c r="G91" i="41"/>
  <c r="B32" i="103"/>
  <c r="D55" i="103"/>
  <c r="E6" i="103"/>
  <c r="E55" i="103"/>
  <c r="F6" i="103"/>
  <c r="F55" i="103"/>
  <c r="G6" i="103"/>
  <c r="G55" i="103"/>
  <c r="H6" i="103"/>
  <c r="H55" i="103"/>
  <c r="I6" i="103"/>
  <c r="I55" i="103"/>
  <c r="J6" i="103"/>
  <c r="J55" i="103"/>
  <c r="K6" i="103"/>
  <c r="K55" i="103"/>
  <c r="L6" i="103"/>
  <c r="L55" i="103"/>
  <c r="M6" i="103"/>
  <c r="M55" i="103"/>
  <c r="I11" i="45"/>
  <c r="I13" i="45"/>
  <c r="I15" i="45"/>
  <c r="U9" i="45"/>
  <c r="E29" i="107"/>
  <c r="U10" i="45"/>
  <c r="O11" i="45"/>
  <c r="O13" i="45"/>
  <c r="O15" i="45"/>
  <c r="J76" i="41"/>
  <c r="L76" i="41"/>
  <c r="I75" i="41"/>
  <c r="O31" i="103"/>
  <c r="L45" i="44"/>
  <c r="F14" i="45"/>
  <c r="J50" i="41"/>
  <c r="L50" i="41"/>
  <c r="M50" i="41"/>
  <c r="M44" i="44"/>
  <c r="J44" i="44"/>
  <c r="B115" i="40"/>
  <c r="S10" i="52"/>
  <c r="I42" i="120"/>
  <c r="B23" i="42"/>
  <c r="L29" i="41"/>
  <c r="D11" i="45"/>
  <c r="F56" i="97"/>
  <c r="H19" i="97"/>
  <c r="H13" i="97"/>
  <c r="F14" i="97"/>
  <c r="D113" i="40"/>
  <c r="N13" i="45"/>
  <c r="B11" i="42"/>
  <c r="D11" i="42"/>
  <c r="B10" i="97"/>
  <c r="D10" i="97"/>
  <c r="K73" i="41"/>
  <c r="B39" i="97"/>
  <c r="D30" i="97"/>
  <c r="G85" i="120"/>
  <c r="B59" i="97"/>
  <c r="D21" i="97"/>
  <c r="X4" i="52"/>
  <c r="AM4" i="52"/>
  <c r="K11" i="45"/>
  <c r="K13" i="45"/>
  <c r="D43" i="97"/>
  <c r="AJ11" i="52"/>
  <c r="AI10" i="52"/>
  <c r="AI11" i="52"/>
  <c r="F16" i="97"/>
  <c r="H16" i="97"/>
  <c r="M9" i="45"/>
  <c r="H34" i="97"/>
  <c r="F33" i="97"/>
  <c r="H33" i="97"/>
  <c r="B161" i="50"/>
  <c r="AB10" i="52"/>
  <c r="H8" i="52"/>
  <c r="B20" i="40"/>
  <c r="C73" i="41"/>
  <c r="L42" i="41"/>
  <c r="F31" i="97"/>
  <c r="B27" i="42"/>
  <c r="D27" i="42"/>
  <c r="V11" i="52"/>
  <c r="J52" i="44"/>
  <c r="K52" i="44"/>
  <c r="H50" i="44"/>
  <c r="H10" i="45"/>
  <c r="K14" i="45"/>
  <c r="K91" i="41"/>
  <c r="M8" i="52"/>
  <c r="AM8" i="52"/>
  <c r="L9" i="52"/>
  <c r="F11" i="113"/>
  <c r="G53" i="44"/>
  <c r="C40" i="113"/>
  <c r="D31" i="113"/>
  <c r="D40" i="113"/>
  <c r="H57" i="97"/>
  <c r="G55" i="97"/>
  <c r="D9" i="40"/>
  <c r="M8" i="45"/>
  <c r="U8" i="45"/>
  <c r="L11" i="45"/>
  <c r="D160" i="50"/>
  <c r="B53" i="113"/>
  <c r="B47" i="113"/>
  <c r="M65" i="41"/>
  <c r="B6" i="42"/>
  <c r="M6" i="41"/>
  <c r="B7" i="97"/>
  <c r="B55" i="97"/>
  <c r="M49" i="122"/>
  <c r="I21" i="122"/>
  <c r="G31" i="113"/>
  <c r="O46" i="103"/>
  <c r="G30" i="97"/>
  <c r="H30" i="97"/>
  <c r="H14" i="97"/>
  <c r="C9" i="97"/>
  <c r="D9" i="97"/>
  <c r="C9" i="42"/>
  <c r="D9" i="42"/>
  <c r="D42" i="97"/>
  <c r="C41" i="97"/>
  <c r="M29" i="41"/>
  <c r="C8" i="97"/>
  <c r="C8" i="42"/>
  <c r="O18" i="103"/>
  <c r="O20" i="103"/>
  <c r="O27" i="103"/>
  <c r="B10" i="113"/>
  <c r="M76" i="41"/>
  <c r="C20" i="97"/>
  <c r="B17" i="42"/>
  <c r="D101" i="40"/>
  <c r="T10" i="52"/>
  <c r="T11" i="52"/>
  <c r="AM7" i="52"/>
  <c r="C23" i="42"/>
  <c r="D23" i="42"/>
  <c r="D11" i="52"/>
  <c r="G7" i="97"/>
  <c r="G11" i="52"/>
  <c r="G8" i="97"/>
  <c r="H8" i="97"/>
  <c r="H9" i="45"/>
  <c r="G9" i="45"/>
  <c r="C169" i="50"/>
  <c r="C125" i="115"/>
  <c r="W10" i="52"/>
  <c r="X10" i="52"/>
  <c r="D95" i="50"/>
  <c r="D161" i="50"/>
  <c r="F15" i="45"/>
  <c r="F40" i="113"/>
  <c r="P11" i="45"/>
  <c r="I83" i="120"/>
  <c r="J75" i="41"/>
  <c r="I74" i="41"/>
  <c r="J74" i="41"/>
  <c r="L75" i="41"/>
  <c r="C15" i="42"/>
  <c r="C17" i="42"/>
  <c r="I90" i="41"/>
  <c r="J42" i="41"/>
  <c r="I73" i="41"/>
  <c r="U11" i="45"/>
  <c r="V8" i="45"/>
  <c r="D53" i="113"/>
  <c r="D47" i="113"/>
  <c r="E10" i="45"/>
  <c r="H45" i="44"/>
  <c r="J50" i="44"/>
  <c r="L73" i="41"/>
  <c r="M73" i="41"/>
  <c r="M42" i="41"/>
  <c r="AL8" i="52"/>
  <c r="AL9" i="52"/>
  <c r="J8" i="52"/>
  <c r="H9" i="52"/>
  <c r="B26" i="42"/>
  <c r="B172" i="50"/>
  <c r="AK11" i="52"/>
  <c r="O50" i="103"/>
  <c r="K15" i="45"/>
  <c r="C20" i="42"/>
  <c r="AN4" i="52"/>
  <c r="W9" i="52"/>
  <c r="G31" i="97"/>
  <c r="H31" i="97"/>
  <c r="X7" i="52"/>
  <c r="B58" i="97"/>
  <c r="D58" i="97"/>
  <c r="D59" i="97"/>
  <c r="N15" i="45"/>
  <c r="P15" i="45"/>
  <c r="P13" i="45"/>
  <c r="F11" i="97"/>
  <c r="H11" i="97"/>
  <c r="B21" i="42"/>
  <c r="D115" i="40"/>
  <c r="B17" i="97"/>
  <c r="D7" i="97"/>
  <c r="D6" i="42"/>
  <c r="B13" i="42"/>
  <c r="B18" i="42"/>
  <c r="L13" i="45"/>
  <c r="M11" i="45"/>
  <c r="C47" i="113"/>
  <c r="C53" i="113"/>
  <c r="M9" i="52"/>
  <c r="H11" i="113"/>
  <c r="L11" i="52"/>
  <c r="K50" i="44"/>
  <c r="M52" i="44"/>
  <c r="C91" i="41"/>
  <c r="L14" i="45"/>
  <c r="M14" i="45"/>
  <c r="B22" i="42"/>
  <c r="D22" i="42"/>
  <c r="B24" i="40"/>
  <c r="D24" i="40"/>
  <c r="D20" i="40"/>
  <c r="AB11" i="52"/>
  <c r="AD11" i="52"/>
  <c r="AL10" i="52"/>
  <c r="AD10" i="52"/>
  <c r="J38" i="97"/>
  <c r="H17" i="113"/>
  <c r="AK10" i="52"/>
  <c r="H31" i="113"/>
  <c r="F39" i="97"/>
  <c r="B52" i="97"/>
  <c r="D52" i="97"/>
  <c r="B46" i="97"/>
  <c r="D39" i="97"/>
  <c r="G12" i="113"/>
  <c r="H15" i="113"/>
  <c r="F55" i="97"/>
  <c r="H55" i="97"/>
  <c r="H56" i="97"/>
  <c r="B14" i="45"/>
  <c r="D13" i="45"/>
  <c r="O32" i="103"/>
  <c r="D9" i="113"/>
  <c r="S11" i="52"/>
  <c r="U10" i="52"/>
  <c r="I94" i="122"/>
  <c r="I34" i="122"/>
  <c r="U11" i="52"/>
  <c r="D15" i="42"/>
  <c r="D17" i="42"/>
  <c r="C19" i="97"/>
  <c r="D20" i="97"/>
  <c r="D8" i="42"/>
  <c r="C13" i="42"/>
  <c r="C18" i="42"/>
  <c r="D13" i="42"/>
  <c r="D18" i="42"/>
  <c r="D8" i="97"/>
  <c r="C17" i="97"/>
  <c r="D41" i="97"/>
  <c r="C57" i="97"/>
  <c r="D57" i="97"/>
  <c r="C46" i="97"/>
  <c r="T9" i="45"/>
  <c r="V9" i="45"/>
  <c r="J9" i="45"/>
  <c r="H7" i="97"/>
  <c r="M11" i="52"/>
  <c r="G10" i="97"/>
  <c r="H10" i="97"/>
  <c r="D169" i="50"/>
  <c r="C171" i="50"/>
  <c r="C172" i="50"/>
  <c r="D172" i="50"/>
  <c r="C25" i="42"/>
  <c r="C33" i="42"/>
  <c r="C38" i="42"/>
  <c r="C18" i="113"/>
  <c r="C26" i="113"/>
  <c r="B15" i="45"/>
  <c r="H32" i="113"/>
  <c r="L74" i="41"/>
  <c r="M74" i="41"/>
  <c r="M75" i="41"/>
  <c r="B20" i="113"/>
  <c r="D21" i="113"/>
  <c r="J90" i="41"/>
  <c r="L90" i="41"/>
  <c r="M90" i="41"/>
  <c r="N91" i="41"/>
  <c r="J73" i="41"/>
  <c r="N73" i="41"/>
  <c r="I91" i="41"/>
  <c r="J91" i="41"/>
  <c r="D10" i="113"/>
  <c r="K45" i="44"/>
  <c r="M45" i="44"/>
  <c r="H53" i="44"/>
  <c r="J45" i="44"/>
  <c r="E11" i="45"/>
  <c r="G10" i="45"/>
  <c r="U13" i="45"/>
  <c r="D46" i="97"/>
  <c r="F52" i="97"/>
  <c r="F46" i="97"/>
  <c r="M50" i="44"/>
  <c r="R53" i="44"/>
  <c r="B18" i="113"/>
  <c r="D8" i="113"/>
  <c r="W11" i="52"/>
  <c r="X11" i="52"/>
  <c r="X9" i="52"/>
  <c r="AM9" i="52"/>
  <c r="AN7" i="52"/>
  <c r="O45" i="103"/>
  <c r="B25" i="42"/>
  <c r="D26" i="42"/>
  <c r="D25" i="42"/>
  <c r="H12" i="113"/>
  <c r="G18" i="113"/>
  <c r="F40" i="97"/>
  <c r="D91" i="41"/>
  <c r="M13" i="45"/>
  <c r="L15" i="45"/>
  <c r="M15" i="45"/>
  <c r="D17" i="97"/>
  <c r="B51" i="97"/>
  <c r="B25" i="97"/>
  <c r="F47" i="113"/>
  <c r="F53" i="113"/>
  <c r="F41" i="113"/>
  <c r="D21" i="42"/>
  <c r="D20" i="42"/>
  <c r="B20" i="42"/>
  <c r="H11" i="52"/>
  <c r="J9" i="52"/>
  <c r="AL11" i="52"/>
  <c r="H11" i="45"/>
  <c r="J10" i="45"/>
  <c r="T10" i="45"/>
  <c r="AN8" i="52"/>
  <c r="J94" i="122"/>
  <c r="E95" i="122"/>
  <c r="D95" i="122"/>
  <c r="C51" i="97"/>
  <c r="C53" i="97"/>
  <c r="C25" i="97"/>
  <c r="C56" i="97"/>
  <c r="D19" i="97"/>
  <c r="D18" i="113"/>
  <c r="G17" i="97"/>
  <c r="G25" i="97"/>
  <c r="G26" i="97"/>
  <c r="O53" i="103"/>
  <c r="O51" i="103"/>
  <c r="Z10" i="52"/>
  <c r="G32" i="97"/>
  <c r="D171" i="50"/>
  <c r="C19" i="113"/>
  <c r="C52" i="113"/>
  <c r="C54" i="113"/>
  <c r="C62" i="113"/>
  <c r="F47" i="97"/>
  <c r="L91" i="41"/>
  <c r="M91" i="41"/>
  <c r="D20" i="113"/>
  <c r="D57" i="113"/>
  <c r="D56" i="113"/>
  <c r="B57" i="113"/>
  <c r="B56" i="113"/>
  <c r="B26" i="113"/>
  <c r="B52" i="113"/>
  <c r="B54" i="113"/>
  <c r="E13" i="45"/>
  <c r="G11" i="45"/>
  <c r="J53" i="44"/>
  <c r="K53" i="44"/>
  <c r="M53" i="44"/>
  <c r="T11" i="45"/>
  <c r="V10" i="45"/>
  <c r="H13" i="45"/>
  <c r="J11" i="45"/>
  <c r="H10" i="113"/>
  <c r="H18" i="113"/>
  <c r="D19" i="113"/>
  <c r="F18" i="113"/>
  <c r="D51" i="97"/>
  <c r="B53" i="97"/>
  <c r="B33" i="42"/>
  <c r="B38" i="42"/>
  <c r="F9" i="97"/>
  <c r="J11" i="52"/>
  <c r="D25" i="97"/>
  <c r="G52" i="113"/>
  <c r="G26" i="113"/>
  <c r="D33" i="42"/>
  <c r="D38" i="42"/>
  <c r="AN9" i="52"/>
  <c r="D52" i="113"/>
  <c r="D54" i="113"/>
  <c r="G51" i="97"/>
  <c r="C55" i="97"/>
  <c r="D55" i="97"/>
  <c r="D56" i="97"/>
  <c r="C61" i="97"/>
  <c r="C18" i="97"/>
  <c r="G39" i="97"/>
  <c r="H32" i="97"/>
  <c r="H33" i="113"/>
  <c r="H40" i="113"/>
  <c r="G40" i="113"/>
  <c r="Z11" i="52"/>
  <c r="AA11" i="52"/>
  <c r="AA10" i="52"/>
  <c r="AM10" i="52"/>
  <c r="B62" i="113"/>
  <c r="D26" i="113"/>
  <c r="D62" i="113"/>
  <c r="B61" i="97"/>
  <c r="D53" i="97"/>
  <c r="F52" i="113"/>
  <c r="F54" i="113"/>
  <c r="F62" i="113"/>
  <c r="F26" i="113"/>
  <c r="B19" i="113"/>
  <c r="H9" i="97"/>
  <c r="F17" i="97"/>
  <c r="H26" i="113"/>
  <c r="H52" i="113"/>
  <c r="H15" i="45"/>
  <c r="J15" i="45"/>
  <c r="J13" i="45"/>
  <c r="T13" i="45"/>
  <c r="V11" i="45"/>
  <c r="G13" i="45"/>
  <c r="E14" i="45"/>
  <c r="E15" i="45"/>
  <c r="G15" i="45"/>
  <c r="AN10" i="52"/>
  <c r="AM11" i="52"/>
  <c r="AN11" i="52"/>
  <c r="H47" i="113"/>
  <c r="H41" i="113"/>
  <c r="H53" i="113"/>
  <c r="H54" i="113"/>
  <c r="G52" i="97"/>
  <c r="G46" i="97"/>
  <c r="G40" i="97"/>
  <c r="H40" i="97"/>
  <c r="H39" i="97"/>
  <c r="G47" i="113"/>
  <c r="G53" i="113"/>
  <c r="G54" i="113"/>
  <c r="G41" i="113"/>
  <c r="B63" i="113"/>
  <c r="F55" i="113"/>
  <c r="G14" i="45"/>
  <c r="T14" i="45"/>
  <c r="V13" i="45"/>
  <c r="F51" i="97"/>
  <c r="H17" i="97"/>
  <c r="F25" i="97"/>
  <c r="B18" i="97"/>
  <c r="D18" i="97"/>
  <c r="D61" i="97"/>
  <c r="H62" i="113"/>
  <c r="D63" i="113"/>
  <c r="H55" i="113"/>
  <c r="G53" i="97"/>
  <c r="H52" i="97"/>
  <c r="G62" i="113"/>
  <c r="C63" i="113"/>
  <c r="G55" i="113"/>
  <c r="G47" i="97"/>
  <c r="H47" i="97"/>
  <c r="H46" i="97"/>
  <c r="T15" i="45"/>
  <c r="H25" i="97"/>
  <c r="H26" i="97"/>
  <c r="F26" i="97"/>
  <c r="F53" i="97"/>
  <c r="H51" i="97"/>
  <c r="G54" i="97"/>
  <c r="G61" i="97"/>
  <c r="F61" i="97"/>
  <c r="H53" i="97"/>
  <c r="F54" i="97"/>
  <c r="H54" i="97"/>
  <c r="H61" i="97"/>
  <c r="H62" i="97"/>
  <c r="F62" i="97"/>
  <c r="H50" i="119"/>
  <c r="H120" i="119"/>
  <c r="I120" i="119"/>
  <c r="C17" i="45"/>
  <c r="C14" i="45"/>
  <c r="C15" i="45"/>
  <c r="D15" i="45"/>
  <c r="U14" i="45"/>
  <c r="D14" i="45"/>
  <c r="J50" i="119"/>
  <c r="V14" i="45"/>
  <c r="U15" i="45"/>
  <c r="V15" i="45"/>
  <c r="V16" i="45"/>
</calcChain>
</file>

<file path=xl/sharedStrings.xml><?xml version="1.0" encoding="utf-8"?>
<sst xmlns="http://schemas.openxmlformats.org/spreadsheetml/2006/main" count="2229" uniqueCount="1235">
  <si>
    <t xml:space="preserve">     házi segítségnyújtás - személyi gondozás - társuál által történő feladatellátás</t>
  </si>
  <si>
    <t>III.3. da</t>
  </si>
  <si>
    <t>III.3. db</t>
  </si>
  <si>
    <t>III.3. g(2)</t>
  </si>
  <si>
    <t>III.3. g (4)</t>
  </si>
  <si>
    <t>III.3. g (6)</t>
  </si>
  <si>
    <t xml:space="preserve"> Az Önkormányzat  működési bevételei és kiadásai  2017. év</t>
  </si>
  <si>
    <t xml:space="preserve"> Az Önkormányzat felhalmozási bevételei és kiadásai  2017. év</t>
  </si>
  <si>
    <t>3. Egyéb közhatalmi bevételek  (bírság, pótlék, településrendezési szerz.)</t>
  </si>
  <si>
    <t xml:space="preserve">  BISZ december havi bér</t>
  </si>
  <si>
    <t>Zsinagóga felújítási alap</t>
  </si>
  <si>
    <t xml:space="preserve">      óvodákban évközben jelentkező SNI többletktg.</t>
  </si>
  <si>
    <t>Gyermekétkeztetés iskolákban</t>
  </si>
  <si>
    <t>BISZ 2016. évről áthúzódó kiadások</t>
  </si>
  <si>
    <t xml:space="preserve"> Advent fényei </t>
  </si>
  <si>
    <t>Állami Szívkórház (54/2016. (III.17.))</t>
  </si>
  <si>
    <t>Szent Benedek Gimnázium</t>
  </si>
  <si>
    <t>FINA parkolófejlesztés Borsos M. u. támogatás</t>
  </si>
  <si>
    <t>Zsinagóga építés</t>
  </si>
  <si>
    <t>Vizes VB 1116/2016. Korm. határozat alapján létesítményfejlesztés</t>
  </si>
  <si>
    <t>072 hrsz-ú ingatlan megvásárlása 2016. évi ütem</t>
  </si>
  <si>
    <t>1542hrsz-ú ingatlan vásárlás Kossuth. L. u. 22.</t>
  </si>
  <si>
    <t>358/1 hrsz-ú ingatlan Eszterházy Kastély vásárlása csere útján (6/2017.(I.20.))</t>
  </si>
  <si>
    <t>GINOP-7.1.6-16 Világörökségi helyszínek fejlesztése pályázathoz előkészítési ktg.-ek (3/2017.(I.20.))</t>
  </si>
  <si>
    <t>Balatontourist vizisí tervezés hozzájárulás</t>
  </si>
  <si>
    <t>359/2016. (XII.15.) új gépkocsi vásárlás</t>
  </si>
  <si>
    <t>377/2016.(XII.15.) településtervezési ktg</t>
  </si>
  <si>
    <t>Kamerarendszer fejlesztése</t>
  </si>
  <si>
    <t xml:space="preserve"> -Iglói Eszter Bfüred Major u. 6. helyi védett épüle felújítása tám. 387/2016.(XII.15.)</t>
  </si>
  <si>
    <t xml:space="preserve"> -Gács Béla Bfüred Kossuth u. 2/A. helyi védett épüle felújítása tám. 388/2016.(XII.15.)</t>
  </si>
  <si>
    <t xml:space="preserve"> -Ján Miklós Bfüred Csokonai u. 8. helyi védett épüle felújítása tám. 389/2016.(XII.15.)</t>
  </si>
  <si>
    <t>Intézményi felújítások 2016. évi kötváll.</t>
  </si>
  <si>
    <t>4. Pénzforgalom nélküli kiadások (tartalék)</t>
  </si>
  <si>
    <t>Költségvetési hiány / többlet:</t>
  </si>
  <si>
    <t>Finanszírozási célú műveletek után hiány/ többlet</t>
  </si>
  <si>
    <t>1818/2016.(XII.22.) Korm. határozat alapján támogatás fejlesztések</t>
  </si>
  <si>
    <t>Január</t>
  </si>
  <si>
    <t>Február</t>
  </si>
  <si>
    <t>Március</t>
  </si>
  <si>
    <t>Április</t>
  </si>
  <si>
    <t>Május</t>
  </si>
  <si>
    <t>Június</t>
  </si>
  <si>
    <t>Július</t>
  </si>
  <si>
    <t>Augusztus</t>
  </si>
  <si>
    <t>Szeptember</t>
  </si>
  <si>
    <t>Október</t>
  </si>
  <si>
    <t>November</t>
  </si>
  <si>
    <t>December</t>
  </si>
  <si>
    <t>Nyitó pénzkészlet</t>
  </si>
  <si>
    <t>Működési célú támogatások áh-n belülről</t>
  </si>
  <si>
    <t>Közhatalmi bevételek</t>
  </si>
  <si>
    <t>Működési bevételek</t>
  </si>
  <si>
    <t xml:space="preserve">Működési célú átvett pénzeszközök </t>
  </si>
  <si>
    <t>Közös Önkormányzati Hivatal</t>
  </si>
  <si>
    <t>Működési célú átvett pénzeszközök</t>
  </si>
  <si>
    <t>Működési bevételek összesen:</t>
  </si>
  <si>
    <t>Felhalmozási célú támogatások áh-n belülről</t>
  </si>
  <si>
    <t>Felhalmozási  bevételek</t>
  </si>
  <si>
    <t>Felhalmozási célú átvett pénzeszközök</t>
  </si>
  <si>
    <t>Közös Önkormányzati Hivatal felhalm.bev.</t>
  </si>
  <si>
    <t>Intézményi felhalmozási bevételek</t>
  </si>
  <si>
    <t>Felhalmozási bevételek összesen</t>
  </si>
  <si>
    <t>Finanszírozási bevételek (hitel, kötvény, értékpapír, betét, állami támogatás megelőlegezés)</t>
  </si>
  <si>
    <t>Pénzforgalom nélküli bevételek Önkormányzat</t>
  </si>
  <si>
    <t>Pénzforgalom nélküli bevételek Hivatal</t>
  </si>
  <si>
    <t>Pénzforgalom nélküli bevételek Intézmények</t>
  </si>
  <si>
    <t>Tartalék</t>
  </si>
  <si>
    <t>Működési kiadások összesen:</t>
  </si>
  <si>
    <t>Beruházások</t>
  </si>
  <si>
    <t>Felújítások</t>
  </si>
  <si>
    <t>Saját hatáskörű intézményi fejl.</t>
  </si>
  <si>
    <t>Egyéb felhalmozási célú kiadások</t>
  </si>
  <si>
    <t>Felhalmozási célú kiadások összesen</t>
  </si>
  <si>
    <t>Finanszírozási kiadások (hitel törlesztés, értékpapír visszavásárlás)</t>
  </si>
  <si>
    <t>Záró pénzkészlet</t>
  </si>
  <si>
    <t>2017. évi eredeti ei.</t>
  </si>
  <si>
    <t>Intézmény / munkanemek</t>
  </si>
  <si>
    <t>1. Park u-i óvoda I/a.</t>
  </si>
  <si>
    <t>Hátsó nagy kapu javítása(2015. évi kötváll.)</t>
  </si>
  <si>
    <t>2. Arácsi óvoda - Iskolalépcső u. I/c.</t>
  </si>
  <si>
    <t>3. Hunyadi u. óvoda I/b.</t>
  </si>
  <si>
    <t>4. Noszlopy G. u. óvoda III.</t>
  </si>
  <si>
    <t>5. Bölcsőde</t>
  </si>
  <si>
    <t>udvar füvesítés</t>
  </si>
  <si>
    <t>6. Kossuth u. Óvoda</t>
  </si>
  <si>
    <t>7. Mogyoró u. Óvoda</t>
  </si>
  <si>
    <t>8. Általános Iskola Eötvös Lóránd</t>
  </si>
  <si>
    <t xml:space="preserve">9. Református Általános Iskola </t>
  </si>
  <si>
    <t>10. Általános Iskola Radnóti M.</t>
  </si>
  <si>
    <t>Sportpálya vonal festése (aszf) (2015. évi kötváll.)</t>
  </si>
  <si>
    <t>11. Általános Iskola Fekete I.</t>
  </si>
  <si>
    <t>Alsó két teremben táblák áthelyezése</t>
  </si>
  <si>
    <t>12. Ferencsik János Zeneiskola</t>
  </si>
  <si>
    <t>Beázott falfelület javítása (2015. évi kötváll.)</t>
  </si>
  <si>
    <t xml:space="preserve"> Összesen</t>
  </si>
  <si>
    <t>14. Lóczy L. Gimnázium</t>
  </si>
  <si>
    <t>Linóleum padló felújítás</t>
  </si>
  <si>
    <t>15. Közösségi Ház</t>
  </si>
  <si>
    <t>16. BSZAK</t>
  </si>
  <si>
    <t>17. Szakorvosi Rendelő Intézet</t>
  </si>
  <si>
    <t>18. Városi Könyvtár</t>
  </si>
  <si>
    <t>22. Hivatali épület</t>
  </si>
  <si>
    <t>Irodák felújítása</t>
  </si>
  <si>
    <t>2013. évi kötelezettségvállalás</t>
  </si>
  <si>
    <t>23. Vaszary villa, Jókai Múzeum állagmegóvás</t>
  </si>
  <si>
    <t>24. Konferencia Központ</t>
  </si>
  <si>
    <t>25. Tartalék</t>
  </si>
  <si>
    <t>Udvari fajátékok felújítása, festése 2016. évről</t>
  </si>
  <si>
    <t>Posta épület helyének tereprendezése, öntözési lehetőséggel 2016. évről</t>
  </si>
  <si>
    <t>Konyhai mosogatók cseréje (nagyüzemi) 2016. évről</t>
  </si>
  <si>
    <t>Udvar rendezése, füvesítés 2016. évről</t>
  </si>
  <si>
    <t>4. vizesblokk felújítása 2016. évről</t>
  </si>
  <si>
    <t>Terasz lapozás, járda; terasz kerítés 2016. évi</t>
  </si>
  <si>
    <t>Terasz lapozás, járda; terasz kerítés  2016. évi</t>
  </si>
  <si>
    <t>A csúszdák védőburkolatának szélesítése 2016. évről</t>
  </si>
  <si>
    <t>öntözési mellékmérő 2016. évről</t>
  </si>
  <si>
    <t>udvar fakerítés eleminek cseréje a Könyvtár felöl 2016. évről</t>
  </si>
  <si>
    <t>Alsós lépcsőház festése 2016. évről</t>
  </si>
  <si>
    <t>Tantermek világítás korszerűsítése 2016. évről</t>
  </si>
  <si>
    <t>Tantermek és folyosók festése 2016. évről</t>
  </si>
  <si>
    <t>Konyha falfelújítás és festés 2016. évről</t>
  </si>
  <si>
    <t>Sportpálya lejáró és kerítés  2016. évről</t>
  </si>
  <si>
    <t>Folyosói burkolatcsere folytatása 2016. évről</t>
  </si>
  <si>
    <t>1 db alsós tt. parketta+festés  2016. évi</t>
  </si>
  <si>
    <t>2 db alsós terem világítása 2016. évről</t>
  </si>
  <si>
    <t>műfüves pálya levezető út burkolás , vízelvezetés 2016. évről</t>
  </si>
  <si>
    <t>Vihar rongált előtetők javítása 2016. évről</t>
  </si>
  <si>
    <t>Épület lábazat javítása 2016. évről</t>
  </si>
  <si>
    <t>Belső udvar eresz javítás 2016. évről</t>
  </si>
  <si>
    <t xml:space="preserve">26. Lakásfelújítás2017 évi </t>
  </si>
  <si>
    <t>emeleti tanári WC-k felújítása 2016. évről</t>
  </si>
  <si>
    <t>Intézmény</t>
  </si>
  <si>
    <t>Bútor</t>
  </si>
  <si>
    <t>Függöny</t>
  </si>
  <si>
    <t>KÖNYVTÁR</t>
  </si>
  <si>
    <t>Dokumentumbeszerzés</t>
  </si>
  <si>
    <t>Informatikai eszközök</t>
  </si>
  <si>
    <t>Kamera, kameraállvány</t>
  </si>
  <si>
    <t>Könyvtári felirat</t>
  </si>
  <si>
    <t>egyéb kisértékű eszközök</t>
  </si>
  <si>
    <t>BÖLCSÖDE</t>
  </si>
  <si>
    <t>játékok</t>
  </si>
  <si>
    <t>RENDELŐINTÉZET</t>
  </si>
  <si>
    <t>informatikai eszközök</t>
  </si>
  <si>
    <t>Orvosi műszerek</t>
  </si>
  <si>
    <t>Számítástechnikai eszközök</t>
  </si>
  <si>
    <t>ÖSSZESEN:</t>
  </si>
  <si>
    <t>2016. évről áthúzódó bérkompenzáció támogatása</t>
  </si>
  <si>
    <t>2017. évi lakosssági víz- és csatornatámogatás</t>
  </si>
  <si>
    <t>Útfelújítások 2017. I. ütem</t>
  </si>
  <si>
    <t>Útfelújítások 2017. II. ütem</t>
  </si>
  <si>
    <t>Kisfaludy üzletház előtti közterület rendezése</t>
  </si>
  <si>
    <t>Úttervek készítése 2017.</t>
  </si>
  <si>
    <t>1818/2016. (XII.22.) Korm.határozat alapján megítélt támogatásból Hivatal B épület felújítás</t>
  </si>
  <si>
    <t>1818/2016. (XII.22.) Korm.határozat alapján megítélt támogatásból Arácsi Óvoda felújítás</t>
  </si>
  <si>
    <t>Keretösszeg fejlesztésekre</t>
  </si>
  <si>
    <t>71-es út forgalmi rend felülvizsgálat</t>
  </si>
  <si>
    <t>Autóbusz várók telepítése 2017.</t>
  </si>
  <si>
    <t>Információs táblarendszer</t>
  </si>
  <si>
    <t>Radnóti csarnok járulékos munkái + kert</t>
  </si>
  <si>
    <t xml:space="preserve">Eötvös csarnok járulékos munkái kert + konyha </t>
  </si>
  <si>
    <t>Kéki u. - Major u. közterület rendezés (parkoló + zöldterület)</t>
  </si>
  <si>
    <t>játszóterek felújítása, bővítése 2017.</t>
  </si>
  <si>
    <t>Közterületi berendezések</t>
  </si>
  <si>
    <t>Közvilágítás ellátatlan területeken</t>
  </si>
  <si>
    <t>Utcai zöldterületek fejlesztése</t>
  </si>
  <si>
    <t>Kisfaludy színpad nézőtér ülőpadjainak felújítása</t>
  </si>
  <si>
    <t>Vitorlástér előtti szökőkút felújítása</t>
  </si>
  <si>
    <t>Tibor Fürdő előtti szökőkút felújítása</t>
  </si>
  <si>
    <t>Stabilizált gyöngykavics burkolatok készítése</t>
  </si>
  <si>
    <t>Infromatikai fejlesztés, fénymásolók besz. Hivatalban</t>
  </si>
  <si>
    <t xml:space="preserve"> - Balatonfüred Sportjáért Közhasznú Alapítvány Radnóti sportcsarnok I-II. ütem</t>
  </si>
  <si>
    <t xml:space="preserve"> - Arácsi Református Egyház fejlesztési támogatás (temető térkövezés)</t>
  </si>
  <si>
    <t xml:space="preserve"> - Balatonfüred Kézilabda Egyesület Kézilabda öltöző felújítás (Konferencia Kp.)</t>
  </si>
  <si>
    <t xml:space="preserve"> - Balatonfüredi Utánpótlás Sport Club (Arácsi focipályák lelátó, zöldfelület, pálya)</t>
  </si>
  <si>
    <t xml:space="preserve"> - Balatonfüredi Légimentő Nonprofit Kft. Hangárkapu cseréhez hozzájár.</t>
  </si>
  <si>
    <t xml:space="preserve"> - Konferencia Központ Kft. fejlesztési támogatása (Uszoda indítás II. ütem)</t>
  </si>
  <si>
    <t>Balatonfüred - Szőlősi Hegyközség viharkár támogatása 2016., 2017. évi</t>
  </si>
  <si>
    <t>BEVÉTELEK ÉS KIADÁSOK ELŐIRÁNYZATÁNAK HAVI ÜTEMEZÉSE 2017. ÉV</t>
  </si>
  <si>
    <t>HU07-0037-A1-2013</t>
  </si>
  <si>
    <t xml:space="preserve">EU Projekt megnevezése: </t>
  </si>
  <si>
    <t>Bevételek</t>
  </si>
  <si>
    <t>Következő évek</t>
  </si>
  <si>
    <t>EU forrás</t>
  </si>
  <si>
    <t>Egyéb forrás</t>
  </si>
  <si>
    <t>Saját forrás</t>
  </si>
  <si>
    <t>Kiadások</t>
  </si>
  <si>
    <t>személyi juttatások</t>
  </si>
  <si>
    <t>személyi juttatások járulékai</t>
  </si>
  <si>
    <t>dologi kiadások</t>
  </si>
  <si>
    <t>felújítások</t>
  </si>
  <si>
    <t>beruházások</t>
  </si>
  <si>
    <t>átadott pénzeszközök</t>
  </si>
  <si>
    <t>Üvegtábla cseréje a Tagore sétányon</t>
  </si>
  <si>
    <t>Közös Önkormányzati Hivatal működési kiadásai személyi juttatás</t>
  </si>
  <si>
    <t>Önkormányzat személyi juttatás</t>
  </si>
  <si>
    <t>Közös Önkormányzati Hivatal működési kiadásai munkaadót terhelő járulék</t>
  </si>
  <si>
    <t>Önkormányzat munkaadót terhelő járulék</t>
  </si>
  <si>
    <t>Közös Önkormányzati Hivatal működési kiadásai dologi kiadás</t>
  </si>
  <si>
    <t>Önkormányzat dologi kiadás</t>
  </si>
  <si>
    <t>Közös Önkormányzati Hivatal működési kiadásai ellátottak juttatásai</t>
  </si>
  <si>
    <t>Önkormányzat ellátottak pénzbeli juttatásai</t>
  </si>
  <si>
    <t>Önkormányzat egyéb működési célú kiadások</t>
  </si>
  <si>
    <t>Intézmények működési kiadásai (személyi, jár, dologi)</t>
  </si>
  <si>
    <t>Költségve-tési szervek</t>
  </si>
  <si>
    <t>3.4. Felhalmozási célú visszatérítendő támogatások, kölcsönök nyújtása áh-n kívülre</t>
  </si>
  <si>
    <t>Költségvetési hiány:</t>
  </si>
  <si>
    <t>Intézményfinanszírozás</t>
  </si>
  <si>
    <t>Bevétele és kiadások mérlege 2017. év</t>
  </si>
  <si>
    <t>Önkormányzat összesen</t>
  </si>
  <si>
    <t>AZ ÖNKORMÁNYZAT MŰKÖDÉSI ÉS FELHALMOZÁSI MÉRLEGE KÖLTSÉGVETÉSI SZERVEK ÉS ÖNKORMÁNYZAT BONTÁSBAN 2017. ÉV</t>
  </si>
  <si>
    <t>Udvari betonfelület eltakarása</t>
  </si>
  <si>
    <t>Terasz árnyékoló berendezés csere 2016. évről</t>
  </si>
  <si>
    <t>Villamos elosztó szekrény felújítása</t>
  </si>
  <si>
    <t>udvar füvesítése</t>
  </si>
  <si>
    <t>Keverőszelepek cseréje</t>
  </si>
  <si>
    <t>Solar rendszer beüzemelése</t>
  </si>
  <si>
    <t>Hőközponti vez. beüzemelése</t>
  </si>
  <si>
    <t>2 db tátszóeszköz szabvány szerinti esési felület kialakítása</t>
  </si>
  <si>
    <t>Bejárati ajtóportál felújítása</t>
  </si>
  <si>
    <t>Labdafogó háló felszerelése</t>
  </si>
  <si>
    <t>Hőközpont kering. sziv. csere</t>
  </si>
  <si>
    <t>Folyadékhűtő berendezés csere</t>
  </si>
  <si>
    <t>Velux roló csere, felújítása</t>
  </si>
  <si>
    <t>Kötelezettségek</t>
  </si>
  <si>
    <t>2017. évi ei.</t>
  </si>
  <si>
    <t>lakásfelújítás</t>
  </si>
  <si>
    <t>ÖSSZESEN: (a tábla vége)</t>
  </si>
  <si>
    <t>2017. évi módosított ei. I.</t>
  </si>
  <si>
    <t>Eltérés</t>
  </si>
  <si>
    <t>I. MÓDOSÍTÁS</t>
  </si>
  <si>
    <t>MÓDOSÍTOTT EI.</t>
  </si>
  <si>
    <t>Gyermeklétszám (8 hó)</t>
  </si>
  <si>
    <t>Gyermeklétszám (4 hó)</t>
  </si>
  <si>
    <t>Bölcsödei pótlék (középfokú végzettségű kisgyermeknevelő)</t>
  </si>
  <si>
    <t>Kulturális pótlék</t>
  </si>
  <si>
    <t>III. 6.</t>
  </si>
  <si>
    <t>2016. évről áthúzódó bérkompenzáció támogatása (int.ellátó)</t>
  </si>
  <si>
    <t>2017.évi bérkompenzáció (ELŐLEG)</t>
  </si>
  <si>
    <t>MÁK ell.</t>
  </si>
  <si>
    <t>Beszámoló</t>
  </si>
  <si>
    <t>Megkaptuk</t>
  </si>
  <si>
    <t>Még nem kapruk meg</t>
  </si>
  <si>
    <t>I.MÓDOSÍ-TÁS</t>
  </si>
  <si>
    <t>Összevont ágazati pótlék</t>
  </si>
  <si>
    <t>Bölcsödei pótlék</t>
  </si>
  <si>
    <t>2017. évi bérkompenzáció</t>
  </si>
  <si>
    <t>előleg</t>
  </si>
  <si>
    <t>1818/2016. Korm. határozat alapján támogatás fejlesztések</t>
  </si>
  <si>
    <t>1. Működési célú garancia- és kezességvállalásból származó megtérülések áh-n kívülről</t>
  </si>
  <si>
    <t xml:space="preserve"> 2. Működési célú visszatérítendő támogatások, kölcsönök visszatérülése államháztartáson kívülről</t>
  </si>
  <si>
    <t>3. Egyéb működési célú átvett pénzeszközök</t>
  </si>
  <si>
    <t>1. Felhalmozási célú garancia- és kezességvállalásból származó megtérülések áh-n kívülről</t>
  </si>
  <si>
    <t xml:space="preserve"> 2. Felhalmozási célú visszatérítendő támogatások, kölcsönök visszatérülése államháztartáson kívülről</t>
  </si>
  <si>
    <t>3. Egyéb felhalmozási célú átvett pénzeszközök</t>
  </si>
  <si>
    <t xml:space="preserve"> 1. Költségvetési hiány belső finanszírozására szolgáló bevételek</t>
  </si>
  <si>
    <t xml:space="preserve">    1.2. Előző év költségvetési maradványának igénybevétele felhalmozási célra</t>
  </si>
  <si>
    <t xml:space="preserve">  2. Költségvetési hiány külső finanszírozására szolgáló finanszírozási bevételek</t>
  </si>
  <si>
    <t>1. Hitel, kölcsön felvétele áh-n kívülről</t>
  </si>
  <si>
    <t>1.1. Hosszú lejáratú hitelek, kölcsönök felvétele</t>
  </si>
  <si>
    <t>1.2. Likviditási célú hitelek, kölcsönök felvétele pénzügyi vállalkozástól</t>
  </si>
  <si>
    <t>1.3. Rövid lejáratú hitelek, kölcsönök felvétele</t>
  </si>
  <si>
    <t>2. Belföldi értékpapírok bevételei</t>
  </si>
  <si>
    <t xml:space="preserve">   2.1. Forgatási célú értékpapírok beváltása, értékesítéseű</t>
  </si>
  <si>
    <t xml:space="preserve">  2.2. Forgatási célú értékpapírok kibocsátása</t>
  </si>
  <si>
    <t xml:space="preserve"> 2.3. Befektetési célú belföldi értékpapírok beváltása, értékesítése</t>
  </si>
  <si>
    <t xml:space="preserve"> 2.4. Befektetési célú belföldi értékpapírok kibocsátása</t>
  </si>
  <si>
    <t>Finanszírozási bevételek összesen:</t>
  </si>
  <si>
    <t>Összes bevétel:</t>
  </si>
  <si>
    <t xml:space="preserve">  ebből közfoglalkoztatott</t>
  </si>
  <si>
    <t>VÁROSI KÖNYVTÁR</t>
  </si>
  <si>
    <t>VÁROSI RENDELŐINTÉZET</t>
  </si>
  <si>
    <t>VÁROSI BÖLCSŐDE</t>
  </si>
  <si>
    <t>KÖLTSÉGVETÉSI SZERVEK ÖSSZESEN</t>
  </si>
  <si>
    <t>I. Működési célú támogatások államházatartáson belülről</t>
  </si>
  <si>
    <t>II. Közhatalmi bevételek</t>
  </si>
  <si>
    <t>3. Irányító szervi támogatások</t>
  </si>
  <si>
    <t>1. Irányító szervtől kapott működési célú támogatás</t>
  </si>
  <si>
    <t>2. Irányító szervtől kapott felhalmozási célú támogatás</t>
  </si>
  <si>
    <t>Létszámadatok intézményenként</t>
  </si>
  <si>
    <t>technikai állomány (fő)</t>
  </si>
  <si>
    <t>szakmai állomány (fő)</t>
  </si>
  <si>
    <t>határozott idejű (fő</t>
  </si>
  <si>
    <t>közfoglalkoztatott (fő)</t>
  </si>
  <si>
    <t>Összesen (fő):</t>
  </si>
  <si>
    <t>Önkormányzat engedélyezett létszám</t>
  </si>
  <si>
    <t xml:space="preserve">  ebből: TÁMOP pályázatok</t>
  </si>
  <si>
    <t>Önkormányzat közfoglalkoztatott (fő)</t>
  </si>
  <si>
    <t>LÉTSZÁM</t>
  </si>
  <si>
    <t>MUTATÓ</t>
  </si>
  <si>
    <t>FAJLAGOS</t>
  </si>
  <si>
    <t>Önkormányzati hivatal működtetésének támogatás (beszámítás után)</t>
  </si>
  <si>
    <t>Önkormányzati hivatal működtetésének támogatás elismert hivatali létsz.</t>
  </si>
  <si>
    <t>Zöldterület-gazdálk-al kapcsolatos feladatok ellátásának támog.</t>
  </si>
  <si>
    <t>Beszámítás összege</t>
  </si>
  <si>
    <t>Közvilágítás fenntartásának támogatás</t>
  </si>
  <si>
    <t>Köztemető fenntartással kapcsolatos feladatok támog.</t>
  </si>
  <si>
    <t>Közutak fenntartásának támogatás</t>
  </si>
  <si>
    <t xml:space="preserve">Pénzbeli szociális juttatások </t>
  </si>
  <si>
    <t>Egyes szoc.és gyermekjólétii felad.támog.</t>
  </si>
  <si>
    <t xml:space="preserve">     Családi iroda</t>
  </si>
  <si>
    <t xml:space="preserve">     Közösségi Ház</t>
  </si>
  <si>
    <t xml:space="preserve">     Befizetendő áfa</t>
  </si>
  <si>
    <t xml:space="preserve">    Kisértékű tárgyi eszközök</t>
  </si>
  <si>
    <t xml:space="preserve">  Nyári diákmunka</t>
  </si>
  <si>
    <t xml:space="preserve">     szociális étkeztetés</t>
  </si>
  <si>
    <t xml:space="preserve">     házi segítségnyújtás</t>
  </si>
  <si>
    <t xml:space="preserve">     időskorúak nappali intézényi ellátása</t>
  </si>
  <si>
    <t xml:space="preserve">  Fogyatékos és demens személyek nappali intézményi ellátása</t>
  </si>
  <si>
    <t xml:space="preserve">     fogyatékos személyek nappali intézményi ellátása</t>
  </si>
  <si>
    <t xml:space="preserve">     foglalkoztatási támog-ban részesülő fogyatékos nappali intézményben ellátottak</t>
  </si>
  <si>
    <t xml:space="preserve">  Gyermekek napközbeni ellátása</t>
  </si>
  <si>
    <t xml:space="preserve">    bölcsödei ellátás</t>
  </si>
  <si>
    <t>Gyermekétkeztetés támogatása</t>
  </si>
  <si>
    <t xml:space="preserve">   Finanszírozás szempontjábol elismert dolgozók bértámogatása</t>
  </si>
  <si>
    <t xml:space="preserve">  Gyermekétkeztetés üzemeltetési  támogatása</t>
  </si>
  <si>
    <t>Óvodapedagógusok elismert létszáma (8 hó)</t>
  </si>
  <si>
    <t>Óvodapedagógusok munkáját kvetlenül segítők (8 hó)</t>
  </si>
  <si>
    <t>Óvodapedagógusok elismert létszáma (4 hó)</t>
  </si>
  <si>
    <t>Óvodapedagógusok elismert létszáma (4 hó) (pótlólagos összeg)</t>
  </si>
  <si>
    <t>Óvodapedagógusok munkáját kvetlenül segítők (4 hó)</t>
  </si>
  <si>
    <t>Kulturális feladatok támogatása</t>
  </si>
  <si>
    <t>Nyilvános könyvtári és közművelődési feladatok támogatása</t>
  </si>
  <si>
    <t>Üdülőhelyi feladatok támogatása</t>
  </si>
  <si>
    <t>Lakott külterületekkel kapcsolatos feladatok támogatása</t>
  </si>
  <si>
    <t>Összesen</t>
  </si>
  <si>
    <t>Mell.</t>
  </si>
  <si>
    <t>Sorszám</t>
  </si>
  <si>
    <t>Megnevezés</t>
  </si>
  <si>
    <t>Létszám</t>
  </si>
  <si>
    <t>II.1.</t>
  </si>
  <si>
    <t>II.2.</t>
  </si>
  <si>
    <t>Óvodaműködtetési támogatás (8 hó)</t>
  </si>
  <si>
    <t>Óvodaműködtetési támogatás (4 hó)</t>
  </si>
  <si>
    <t>III. 5.a</t>
  </si>
  <si>
    <t>Gyermekétkeztetés támogatása (bértámogatás)</t>
  </si>
  <si>
    <t>III. 5.b</t>
  </si>
  <si>
    <t>Gyermekétkeztetés üzemeltetési  támogatása</t>
  </si>
  <si>
    <t>Kiserdei óvoda összesen:</t>
  </si>
  <si>
    <t>Óvárosi óvoda összesen:</t>
  </si>
  <si>
    <t>Tündérkert óvoda összesen:</t>
  </si>
  <si>
    <t>Kökörcsin óvoda összesen:</t>
  </si>
  <si>
    <t>Iskolai étkeztetés támogatása (bértámogatás)</t>
  </si>
  <si>
    <t>III.3. ja.</t>
  </si>
  <si>
    <t>Bölcsödei ellátás</t>
  </si>
  <si>
    <t>Bölcsödében elhelyezett gyermekek étkeztetése (bértámogatás)</t>
  </si>
  <si>
    <t>Bölcsöde összesen.</t>
  </si>
  <si>
    <t>III.3.</t>
  </si>
  <si>
    <t>Egyes szociális és gyermekjóléti feladatok támog.</t>
  </si>
  <si>
    <t>III.3. c.</t>
  </si>
  <si>
    <t>III.3. f.</t>
  </si>
  <si>
    <t>III.3. g.</t>
  </si>
  <si>
    <t>BSZAK összesen:</t>
  </si>
  <si>
    <t>I.a.</t>
  </si>
  <si>
    <t>Önkormányzati hivatal működtetésének támogatás</t>
  </si>
  <si>
    <t>Önkormányzati Hivatal összesen:</t>
  </si>
  <si>
    <t>IV. 1.d.</t>
  </si>
  <si>
    <t>Nyilvános könyvtári feladatok támogatása</t>
  </si>
  <si>
    <t>III.2.</t>
  </si>
  <si>
    <t>I.b.</t>
  </si>
  <si>
    <t>Település üz-hez kapcsolódó feladatellát.támog.</t>
  </si>
  <si>
    <t>I.ba.</t>
  </si>
  <si>
    <t>I.bb.</t>
  </si>
  <si>
    <t>I.bc.</t>
  </si>
  <si>
    <t>I.bd.</t>
  </si>
  <si>
    <t>I.d.</t>
  </si>
  <si>
    <t>Önkormányzat feladatok összesen:</t>
  </si>
  <si>
    <t>Támogatások összesen</t>
  </si>
  <si>
    <t>ÖNKORMÁNYZATI TÁMOGATÁS</t>
  </si>
  <si>
    <t>IRÁNYÍTÓ SZERVTŐL KAPOTT TÁMOGATÁS</t>
  </si>
  <si>
    <t>SAJÁT BEVÉTEL</t>
  </si>
  <si>
    <t>MARADVÁNY IGÉNYBEVÉTEL</t>
  </si>
  <si>
    <t>FINANSZÍROZÁSI CÉLÚ BEVÉTELEK</t>
  </si>
  <si>
    <t>BEVÉTELEK ÖSSZESEN</t>
  </si>
  <si>
    <t>Városi Könyvtár</t>
  </si>
  <si>
    <t>Városi Rendelőint.</t>
  </si>
  <si>
    <t>Városi Bölcsőde</t>
  </si>
  <si>
    <t>Költségvetési szervek összesen:</t>
  </si>
  <si>
    <t>Önkormányzati Hivatal</t>
  </si>
  <si>
    <t>Intézmények összesen:</t>
  </si>
  <si>
    <t>Mindösszesen:</t>
  </si>
  <si>
    <t>SZEMÉLYI JUTTATÁS</t>
  </si>
  <si>
    <t>MUNKAADÓKAT TERH. JÁRULÉKOK ÉS SZOCIÁLIS HOZZÁJÁRULÁSI ADÓ</t>
  </si>
  <si>
    <t>DOLOGI KIADÁSOK</t>
  </si>
  <si>
    <t xml:space="preserve">ELLÁTOTTAK  PÉNZBELI JUTTATÁSAI </t>
  </si>
  <si>
    <t>EGYÉB MŰKÖDÉSI CÉLÚ KIADÁSOK</t>
  </si>
  <si>
    <t xml:space="preserve"> BERUHÁZÁSOK</t>
  </si>
  <si>
    <t>FELÚJÍTÁSOK</t>
  </si>
  <si>
    <t>EGYÉB FELHALMOZÁSI KIADÁSOK</t>
  </si>
  <si>
    <t>FINANSZÍROZÁSI KIADÁSOK</t>
  </si>
  <si>
    <t>ÖSSZESEN</t>
  </si>
  <si>
    <t>Bölcsöde</t>
  </si>
  <si>
    <t>Összesen:</t>
  </si>
  <si>
    <t>I.   Közös Önkormányzati Hivatal költségvetése</t>
  </si>
  <si>
    <t>1. Személyi juttatás</t>
  </si>
  <si>
    <t>2. Munkaadót terhelő járulékok</t>
  </si>
  <si>
    <t>3. Dologi kiadások</t>
  </si>
  <si>
    <t xml:space="preserve">          Igazgatás dologi Balatonfüred</t>
  </si>
  <si>
    <t xml:space="preserve">          Telephelyek dologi</t>
  </si>
  <si>
    <t>4.1.  Ellátottak pénzbeli juttatásai Balatonfüred</t>
  </si>
  <si>
    <t xml:space="preserve">   Rendszeres gyermekvédelmi támogatás</t>
  </si>
  <si>
    <t>4.2. Ellátottak pénzbeli juttatásai  telephelyek</t>
  </si>
  <si>
    <t>5. Egyéb működési célú kiadások</t>
  </si>
  <si>
    <t>6. Saját hatáskörű fejlesztések</t>
  </si>
  <si>
    <t>I. Közös Önkormányzati Hivatal összesen:</t>
  </si>
  <si>
    <t>II.  Önkormányzat költségvetése</t>
  </si>
  <si>
    <t>1. Személyi juttatások</t>
  </si>
  <si>
    <t xml:space="preserve">  Képviselő-testület személyi juttatásai</t>
  </si>
  <si>
    <t xml:space="preserve">  Városi Kitüntetések</t>
  </si>
  <si>
    <t xml:space="preserve">  Megbízási díjak</t>
  </si>
  <si>
    <t xml:space="preserve">  Ösztöndíjak</t>
  </si>
  <si>
    <t xml:space="preserve">  Közfoglalkoztatás</t>
  </si>
  <si>
    <t>2. Munkaadót terhelő járulékok és szociális hozzájárulási adó</t>
  </si>
  <si>
    <t>Építés és településfejlesztés</t>
  </si>
  <si>
    <t>Városüzemeltetés</t>
  </si>
  <si>
    <t>Idegenforgalmi feladatok</t>
  </si>
  <si>
    <t>Oktatás, nevelés</t>
  </si>
  <si>
    <t>Közművelődés</t>
  </si>
  <si>
    <t>Sport</t>
  </si>
  <si>
    <t>TV és újság</t>
  </si>
  <si>
    <t>Lakásgazdálkodás</t>
  </si>
  <si>
    <t>Vagyonhasznosítás</t>
  </si>
  <si>
    <t>ÁFA befizetés</t>
  </si>
  <si>
    <t>Munkaegészségügyi ellát</t>
  </si>
  <si>
    <t>Házi segítségnyújtás</t>
  </si>
  <si>
    <t>Fejlesztési célú hitel kamata</t>
  </si>
  <si>
    <t>Autóbusz pályaudvar pályázat dologi kiadás</t>
  </si>
  <si>
    <t>4. Ellátottak pénzbeli juttatásai</t>
  </si>
  <si>
    <t>Nyári szociális gyermekétkeztetés</t>
  </si>
  <si>
    <t>Rendkívüli gyermekvédelmi támogatás</t>
  </si>
  <si>
    <t>Átm szociális segély (kölcsön)</t>
  </si>
  <si>
    <t>Temetési segély</t>
  </si>
  <si>
    <t>Köztemetés</t>
  </si>
  <si>
    <t>1. Elvonások, befizetések</t>
  </si>
  <si>
    <t>2. Működési célú garancia- és kezességvállalásból származó kifizetés államháztartáson belülre</t>
  </si>
  <si>
    <t>3. Működési célú visszatérítendő támogatások, kölcsönök nyújtása áh-n belülre</t>
  </si>
  <si>
    <t>4. Működési célú visszatérítendő támogatások, kölcsönök törlesztése áh-n belülre</t>
  </si>
  <si>
    <t>5. Egyéb működési célú támogatások áh-n belülre</t>
  </si>
  <si>
    <t>6. Működési célú garancia- és kezességvállalásból származó kifizetés államháztartáson kívülre</t>
  </si>
  <si>
    <t>8. Egyéb működési célú támogatások áh-n kívülre</t>
  </si>
  <si>
    <t>Önkormányzati működési kiadások  összesen:</t>
  </si>
  <si>
    <t>Országos Mentőszolgálat támogatás</t>
  </si>
  <si>
    <t xml:space="preserve">Veszprém Megyei Rendőr-főkapitányság </t>
  </si>
  <si>
    <t>Balatonfüredi Többcélú Társulás BSZAK</t>
  </si>
  <si>
    <t>Renaissance Festiváls Kft. Balaton-Ifjúság-Művészet Nemzetiközi Fesztivál</t>
  </si>
  <si>
    <t>Közösségi közlekedés támogatása</t>
  </si>
  <si>
    <t>I.5.</t>
  </si>
  <si>
    <t>I.1.</t>
  </si>
  <si>
    <t>Felhalmozási célú önormányzati támogatások</t>
  </si>
  <si>
    <t>Közművelődési támogatás Muzeális intézmények szakmai támogatása</t>
  </si>
  <si>
    <t>Intézményi elkülönített keret</t>
  </si>
  <si>
    <t xml:space="preserve">  Idősek napja ajándék</t>
  </si>
  <si>
    <t>TOP-3.2.2-15 -VE1-2016-00002 helyi adottságokhoz illeszkedő megújuló energiaforrások kiaknázására irányuló energiaellátás biztosítása pályázat előkészítés</t>
  </si>
  <si>
    <t>TOP-1.2.1-15 Széchenyi strand fejlesztése pályázat előkészítés</t>
  </si>
  <si>
    <t>TOP-2.1.1.-15  Barnamezős területek rehabilitációja pályázat előkészítés</t>
  </si>
  <si>
    <t>TOP-1.1.1.-15  Ipari parkok, iparterületek fejlesztése pályázat előkészítés</t>
  </si>
  <si>
    <t>GINOP-7.1.3-2015 Gyógyhely fejlesztés előkészítés</t>
  </si>
  <si>
    <t>TOP-4.2.1.-15  Szoc. Alapszolg. Fejlesztése pályázat előkészítés</t>
  </si>
  <si>
    <t>TOP-4.1.1.-15 VE Egészségügyi alapellátás infrastruktúrális fejlesztése pályázat előkészítés</t>
  </si>
  <si>
    <t>TOP-2.1.3.-15  Csapadékcsatorna hálózat fejlesztése pályázat előkészítés</t>
  </si>
  <si>
    <t>TOP-2.1.2-15 Zöld város kialakítása pályázat előkészítés</t>
  </si>
  <si>
    <t>HU07-0037-A1-2013  Zsinagóga pályázat dologi kiadások (nyilvánosság, könyvvizsgálat, projektmenedzsment)</t>
  </si>
  <si>
    <t xml:space="preserve">      Rendkívüli települési támogatás     </t>
  </si>
  <si>
    <t>MVM Sportegyesület Riói olimpia felkészülés</t>
  </si>
  <si>
    <t>DÓR Sporegyesület</t>
  </si>
  <si>
    <t>Ingatlan csere és telekalakítás 1249 hrsz-ú és 1248/26 hrsz-ú ingatlanok</t>
  </si>
  <si>
    <t>Arácsi úti ingatlanok vétel, csere 101-103 hrsz.</t>
  </si>
  <si>
    <t xml:space="preserve">  - Rendelőintézet műszerbeszerzés támogatása (orvos pályázati alap)</t>
  </si>
  <si>
    <t>Vis maior támogatás</t>
  </si>
  <si>
    <t>Közművelődési érdekeltségnövelő támogatás</t>
  </si>
  <si>
    <t>Közoktatási Intézményfenntartó Társulás Óvodák</t>
  </si>
  <si>
    <t>Önkéntes Tűzoltóság</t>
  </si>
  <si>
    <t>Vagyonvédelmi Alapítvány</t>
  </si>
  <si>
    <t>Váll. Fejl. Közalapítvány</t>
  </si>
  <si>
    <t>Városért Közalapítvány</t>
  </si>
  <si>
    <t>Balatonfüred Város Közalapítvány Tempevölgy</t>
  </si>
  <si>
    <t>Kovászna Testvérvárosi Egyesület</t>
  </si>
  <si>
    <t>Opatija Testvérvárosi Egyesület</t>
  </si>
  <si>
    <t>Kouvala Testvérvárosi Egyesület</t>
  </si>
  <si>
    <t>Germering Testvérvárosi Egyesület</t>
  </si>
  <si>
    <t>QUASIMODO Alapítvány</t>
  </si>
  <si>
    <t>Fordítóház Alapítvány</t>
  </si>
  <si>
    <t>Sportegyesületek</t>
  </si>
  <si>
    <t>SOS Alapítvány Vállalkozásfejlesztő Aliroda</t>
  </si>
  <si>
    <t>Balatonfüred Református Egyházközség</t>
  </si>
  <si>
    <t>Balatonfüred-Arács Református Egyházközség</t>
  </si>
  <si>
    <t>Balatonfüred-Dörgicse Evangélikus Egyházközség</t>
  </si>
  <si>
    <t>Római Katolikus Plébánia</t>
  </si>
  <si>
    <t>Civil pályázati alap</t>
  </si>
  <si>
    <t>Polgármesteri keret</t>
  </si>
  <si>
    <t>Alpolgármesteri keret</t>
  </si>
  <si>
    <t>Képviselői keret</t>
  </si>
  <si>
    <t>Érzékeny Gyermekeinkét Alapít. (liszt és szűróvizsgálat is)</t>
  </si>
  <si>
    <t xml:space="preserve">Idegenforgalmi támogatás </t>
  </si>
  <si>
    <t>MEDNA</t>
  </si>
  <si>
    <t>Gitár fesztivál-Balatonfüredi Nemzetközi Gitárfesztivál Alapítvány</t>
  </si>
  <si>
    <t>Művészeti együttesek nemzetközi kapcsolattartás</t>
  </si>
  <si>
    <t>Reformkori Hagyományőrzők Egyesülete</t>
  </si>
  <si>
    <t>Művészeti együttesek formaruha pályázat</t>
  </si>
  <si>
    <t>"S.O.S. és Könyvelő" Szociálisan Rászorultakat Segítő Kft</t>
  </si>
  <si>
    <t>Balaton Mozi</t>
  </si>
  <si>
    <t>Probió Zrt.  Virágos Füred</t>
  </si>
  <si>
    <t xml:space="preserve">Sportesemények támogatása: Magyar Vitorlás Szövetség Kékszalag Fesztivál </t>
  </si>
  <si>
    <t xml:space="preserve">Sportesemények támogatása: Nemzetközi ultramaraton </t>
  </si>
  <si>
    <t>Balatonfüred Kulturális Nonprofit Kft.</t>
  </si>
  <si>
    <t>Múzsák Egyesülete Sirály táncfesztivál</t>
  </si>
  <si>
    <t>Balatonfüredi Néptánc Egyesület</t>
  </si>
  <si>
    <t>Rákóczy Szövetség</t>
  </si>
  <si>
    <t>Füred Studió Kft.</t>
  </si>
  <si>
    <t>Balatonfüredi Református Egyház (Református Iskola)</t>
  </si>
  <si>
    <t>Siloam Református Otthon támogatása</t>
  </si>
  <si>
    <t>Konferencia Központ Kft.</t>
  </si>
  <si>
    <t>Balatonfüredi Katolikus Egyház</t>
  </si>
  <si>
    <t>Balaton Best Nonprofit Kft.</t>
  </si>
  <si>
    <t>I. Kötelezettséggel terhelt fejlesztések</t>
  </si>
  <si>
    <t>Savanyúvizes kutak védterület kijelőlése (340/2007 sz. hat.) hidrogeológiai geodéziai anyag készítése</t>
  </si>
  <si>
    <t xml:space="preserve"> - Orvosok pályázati alap (műszer beszerzés)</t>
  </si>
  <si>
    <t>Forgatási célú értékpapír vásárlás</t>
  </si>
  <si>
    <t xml:space="preserve"> - Lakásépítés, -vásárlás kölcsön (dolgozói + lakáshoz jutás tám.)</t>
  </si>
  <si>
    <t xml:space="preserve">   - Krutz Károly helyi védettség alatt álló épület felújítása (300/2010.és 39/2013.(II.07.))</t>
  </si>
  <si>
    <t>Tervek, megvalósítási tanulmányok, pályázatok</t>
  </si>
  <si>
    <t xml:space="preserve">KDOP-2.1.1/D-12 Turisztikai attrakciók és szolgáltatások fejlesztése </t>
  </si>
  <si>
    <t>I. összesen:</t>
  </si>
  <si>
    <t>Beruházás előkészítő kiadások (tervezés, önrészek)</t>
  </si>
  <si>
    <t>Ebből: bérleti díj</t>
  </si>
  <si>
    <t>3. Betét bevonás</t>
  </si>
  <si>
    <t>Beruházásokhoz kapcsolódó dologi kiadások</t>
  </si>
  <si>
    <t xml:space="preserve">  -Többcélú Társulás (BSZAK fejlesztési tám.)</t>
  </si>
  <si>
    <t xml:space="preserve">  - Közoktatási Társulás (óvodák fejlesztési tám.)</t>
  </si>
  <si>
    <t>Meglévő részesedések növeléséhez kapcsolódó kiadások: törzstőke emelés</t>
  </si>
  <si>
    <t xml:space="preserve">      Konferencia Központ</t>
  </si>
  <si>
    <t xml:space="preserve">       Füredkult Kft.</t>
  </si>
  <si>
    <t>Részesedések beszerzése:</t>
  </si>
  <si>
    <t xml:space="preserve">Üzletrész vásálás részletek </t>
  </si>
  <si>
    <t>II. összesen:</t>
  </si>
  <si>
    <t>I+II. összesen:</t>
  </si>
  <si>
    <t xml:space="preserve">    Informatikai fejlesztések (kisértékű, nagyértékű)</t>
  </si>
  <si>
    <t>BAHART idegenforgalmi támogatása</t>
  </si>
  <si>
    <t>Felhalmozási célú visszatérítendő támogatások, kölcsönök nyújtása áh-n kívülre</t>
  </si>
  <si>
    <t>Egyéb felhalmozási célú támogatások áh-n belülre</t>
  </si>
  <si>
    <t>Egyéb felhalmozási célú támogatások áh-n kívülre</t>
  </si>
  <si>
    <t xml:space="preserve">  - Panelprogram támogatás</t>
  </si>
  <si>
    <t xml:space="preserve">      - Köztársaság u. 3. (panelprogram, 351/2005 sz. hat.)</t>
  </si>
  <si>
    <t xml:space="preserve">      - Köztársaság u. 5. (panelprogram, 352/2005 sz. hat.)</t>
  </si>
  <si>
    <t xml:space="preserve">      - Noszlopy u. 16. (panelprogram, 353/2005 sz. hat.)</t>
  </si>
  <si>
    <t xml:space="preserve">      - Kéki u. 2. (panelprogram, 289/2006 sz. hat.)</t>
  </si>
  <si>
    <t xml:space="preserve">      - Csárda u. 2. (panelprogram, 290/2006 sz. hat.)</t>
  </si>
  <si>
    <t>Ebből: bérleti díjak</t>
  </si>
  <si>
    <t xml:space="preserve">      - Köztársaság u. 13. (panelprogram, 291/2006 sz. hat.)</t>
  </si>
  <si>
    <t xml:space="preserve">      - Kéki u. 5. (panelprogram, 292/2006 sz. hat.)</t>
  </si>
  <si>
    <t xml:space="preserve">      - Köztársaság u. 7. (panelprogram, 293/2006 sz. hat.)</t>
  </si>
  <si>
    <t xml:space="preserve">      - Csárda u. 19. (panelprogram, 294/2006 sz. hat.)</t>
  </si>
  <si>
    <t xml:space="preserve">      - Köztársaság u. 19. (panelprogram 8/2009.)</t>
  </si>
  <si>
    <t xml:space="preserve">      - Köztársaság u. 17. (panelprogram 9/2009.)</t>
  </si>
  <si>
    <t xml:space="preserve">      - Köztársaság u. 15. (panelprogram 10/2009.)</t>
  </si>
  <si>
    <t xml:space="preserve">      - Köztársaság u. 11. (panelprogram 11/2009.)</t>
  </si>
  <si>
    <t xml:space="preserve">      - Köztársaság u. 1. (panelprogram 12/2009.)</t>
  </si>
  <si>
    <t>III. összesen:</t>
  </si>
  <si>
    <t>I+II+III. összesen:</t>
  </si>
  <si>
    <t>IV. Finanszírozási kiadások</t>
  </si>
  <si>
    <t>Hitel törlesztés</t>
  </si>
  <si>
    <t>IV. Finanszírozási kiadások összesen:</t>
  </si>
  <si>
    <t>V. Felújítások</t>
  </si>
  <si>
    <t>Intézményi felújítások</t>
  </si>
  <si>
    <t>Lakásfelújítás</t>
  </si>
  <si>
    <t>IV. összesen:</t>
  </si>
  <si>
    <t>Felhalmozási kiadások összesen:</t>
  </si>
  <si>
    <t xml:space="preserve">1. Működési bevételek </t>
  </si>
  <si>
    <t>2. Működési kiadások</t>
  </si>
  <si>
    <t>1. Működési célú támogatások államháztartáson belülről</t>
  </si>
  <si>
    <t>2. Közhatalmi bevételek</t>
  </si>
  <si>
    <t>2. Munkaadót terhelő járulékok és szoc.hj. Adó</t>
  </si>
  <si>
    <t xml:space="preserve">3. Működési bevételek </t>
  </si>
  <si>
    <t>Működési célú támogatások áh-n belülre:</t>
  </si>
  <si>
    <t>Működési célú támogatások áh-n kívülre:</t>
  </si>
  <si>
    <t>3. Dologi  kiadások</t>
  </si>
  <si>
    <t>4. Működési célú átvett pénzeszközök államháztartáson kivülről</t>
  </si>
  <si>
    <t xml:space="preserve"> Összes költségvetési működési bevétel:</t>
  </si>
  <si>
    <t xml:space="preserve"> Összes költségvetési működési kiadás: </t>
  </si>
  <si>
    <t xml:space="preserve"> Működési többlet: </t>
  </si>
  <si>
    <t xml:space="preserve"> Működési hiány: </t>
  </si>
  <si>
    <t>Költségvetési hiány belső finanszírozása működési célú</t>
  </si>
  <si>
    <t>Finanszírozási célú műveletek kiadásai működési célú</t>
  </si>
  <si>
    <t>5. Költségvetési Maradvány</t>
  </si>
  <si>
    <t>Költségvetési hiány külső finanszírozása működési célú</t>
  </si>
  <si>
    <t>6. Értékpapír kibocsátás, értékesítés</t>
  </si>
  <si>
    <t>7. Hitelfelvétel</t>
  </si>
  <si>
    <t>Összes működési bevétel:</t>
  </si>
  <si>
    <t>Összes működési kiadás</t>
  </si>
  <si>
    <t xml:space="preserve">1. Felhalmozási bevételek </t>
  </si>
  <si>
    <t xml:space="preserve">2. Felhalmozási kiadások </t>
  </si>
  <si>
    <t>1. Felhalmozási célú támogatások államháztartáson belülről</t>
  </si>
  <si>
    <t xml:space="preserve">1.1. Beruházások </t>
  </si>
  <si>
    <t xml:space="preserve">2. Felhalmozási bev.  </t>
  </si>
  <si>
    <t>1.2. Int.saját hatáskörű fejlesztések</t>
  </si>
  <si>
    <t>3. Felhalmozási célú átvett pénzeszközök</t>
  </si>
  <si>
    <t>2. Felújítások</t>
  </si>
  <si>
    <t>3. Egyéb felhalmozási kiadások</t>
  </si>
  <si>
    <t>3.1. Egyéb felhalmozási célú támogatások áh-n kívülre</t>
  </si>
  <si>
    <t>3.2. Egyéb felhalmozási célú támogatások áh-n belülre</t>
  </si>
  <si>
    <t>3.3. Felhalmozási célú visszatérítendő támogatások, kölcsönök nyújtása áh-n kívülre</t>
  </si>
  <si>
    <t xml:space="preserve"> Összes költségvetési felhalmozási bevétel: </t>
  </si>
  <si>
    <t xml:space="preserve"> Összes költségvetési felhalmozási kiadás: </t>
  </si>
  <si>
    <t xml:space="preserve"> Felhalmozási többlet: </t>
  </si>
  <si>
    <t>Könyvtár összesen:</t>
  </si>
  <si>
    <t>ELŐIRÁNYZAT</t>
  </si>
  <si>
    <t xml:space="preserve"> Felhalmozási hiány: </t>
  </si>
  <si>
    <t>Költségvetési hiány belső finanszírozása felhalmozási célú</t>
  </si>
  <si>
    <t>Finanszírozási célú műveletek kiadásai felhalmozási célú</t>
  </si>
  <si>
    <t>4.Költségvetési maradvány</t>
  </si>
  <si>
    <t>4. Értékpapírok visszavásárlása</t>
  </si>
  <si>
    <t>Költségvetési hiány külső finanszírozása felhalmozási célú</t>
  </si>
  <si>
    <t>5. Hitelek törlesztése</t>
  </si>
  <si>
    <t>5. Értékpapír kibocsátás, értékesítés</t>
  </si>
  <si>
    <t>6. Hitelfelvétel</t>
  </si>
  <si>
    <t>Összes felhalmozási bevétel:</t>
  </si>
  <si>
    <t>Összes felhalmozási kiadás</t>
  </si>
  <si>
    <t>BEVÉTELEK</t>
  </si>
  <si>
    <t>KIADÁSOK</t>
  </si>
  <si>
    <t>Költségvetési működési bevételek</t>
  </si>
  <si>
    <t>Költségvetési működési kiadások</t>
  </si>
  <si>
    <t>Költségvetési felhalmozási bevételek</t>
  </si>
  <si>
    <t>Költségvetési felhalmozási kiadások</t>
  </si>
  <si>
    <t>Költségvetési többlet:</t>
  </si>
  <si>
    <t>Költségvetési hiány belső finanszírozása:</t>
  </si>
  <si>
    <t>Finanszírozási célú műveletek kiadásai összesen:</t>
  </si>
  <si>
    <t>Finanszírozási célú műveletek működési kiadásai</t>
  </si>
  <si>
    <t>Finanszírozási célú műveletek felhalmozási kiadásai</t>
  </si>
  <si>
    <t>Költségvetési hiány külső finanszírozása:</t>
  </si>
  <si>
    <t>Összes kiadás:</t>
  </si>
  <si>
    <t>TÖBBLET</t>
  </si>
  <si>
    <t>MEGNEVEZÉS</t>
  </si>
  <si>
    <t xml:space="preserve">ÁLLAMI TÁMOGATÁS </t>
  </si>
  <si>
    <t>P.Horváth Á. U.  járda tervezési ktg.</t>
  </si>
  <si>
    <t xml:space="preserve">      2.3.3. Települési adó</t>
  </si>
  <si>
    <t>I.e.</t>
  </si>
  <si>
    <t>Egyéb önkormányzati feladatok támogatása</t>
  </si>
  <si>
    <t>I.c.</t>
  </si>
  <si>
    <t>Települési önkormányzatok szociális feladatainak egyéb támogatása</t>
  </si>
  <si>
    <t>Pénzbeli szociális ellátások kiegészítése</t>
  </si>
  <si>
    <t>demens személyek nappali int-i ellát - társulás által történő feladatellátás</t>
  </si>
  <si>
    <t>Pedagógus II. kategóriába sorolt óvodapedagógusok kieg. támog.</t>
  </si>
  <si>
    <t>Települési ápolási támogatás</t>
  </si>
  <si>
    <t>Települési gyógyszertámogatás</t>
  </si>
  <si>
    <t>Települési lakhatási támogatás</t>
  </si>
  <si>
    <t>Sportesemények támogatása: Úszó Világkupa</t>
  </si>
  <si>
    <t>1. Költségvetési hiány belső finanszírozására szolgáló finanszírozási  bevételek</t>
  </si>
  <si>
    <t>I. HELYI ÖNKORMÁNYZATOK MŰKÖDÉSÉNEK ÁLT.TÁMOGATÁSA</t>
  </si>
  <si>
    <t>III. SZOCIÁLIS, GYERMEKJÓLÉTI  ÉS GYERMEKÉTKEZTETÉSI FELADATAI</t>
  </si>
  <si>
    <t xml:space="preserve">     fogyatékos személyek nappali intézményi ellátása társulás általi feladatellátás</t>
  </si>
  <si>
    <t>demens személyek nappali intézményi ellátása - társulás által történő feladatellátás</t>
  </si>
  <si>
    <t>6. Pénzforgalom nélküli kiadások (tartalék)</t>
  </si>
  <si>
    <t xml:space="preserve">  Megbízási díjak </t>
  </si>
  <si>
    <t xml:space="preserve">2. Elvonások, befizetések </t>
  </si>
  <si>
    <t>5. Egyéb felhalmozási célú támogatások államháztartáson belülről</t>
  </si>
  <si>
    <t>Intézményi létszámok:</t>
  </si>
  <si>
    <t xml:space="preserve"> - Infrastruktúrális fejlesztések</t>
  </si>
  <si>
    <t>TARTALÉKOK</t>
  </si>
  <si>
    <t>Egyéb sporttámogatás</t>
  </si>
  <si>
    <t>Balatoni Sellők szoborcsoport áthelyezés</t>
  </si>
  <si>
    <t>Játszóterek bővítése</t>
  </si>
  <si>
    <t>autóbusz várók telepítése</t>
  </si>
  <si>
    <t>közvilágítási hálózat bővítése</t>
  </si>
  <si>
    <t>Önkormányzati Hivatal belső építészeti megújítása (házasságkötő teremmel)</t>
  </si>
  <si>
    <t>Állami támogatás megelőlegezés visszafizetés</t>
  </si>
  <si>
    <t>5.1. Elvonások, befizetések</t>
  </si>
  <si>
    <t>5.2. Egyéb működési célú támogatások áh-n belülre</t>
  </si>
  <si>
    <t>5.4. Egyéb működési célú támogatások áh-n kívülre</t>
  </si>
  <si>
    <t>5.5. Működési célú visszatérítendő támogatások, kölcsönök nyújtása áh-n kívülre</t>
  </si>
  <si>
    <t>6. Állami támogatás megelőlegezés visszafizetése</t>
  </si>
  <si>
    <t>7. Állami támogatás megelőlegezés visszafizetése</t>
  </si>
  <si>
    <t>8. Hitelek törlesztése</t>
  </si>
  <si>
    <t>ÉNYKK (Balaton Volán jogutódja)</t>
  </si>
  <si>
    <t>4. Államháztartáson belüli megelőlegezések</t>
  </si>
  <si>
    <t xml:space="preserve">  Rendezvényekhez kapcsolódó személyi</t>
  </si>
  <si>
    <t xml:space="preserve">  Rendezvényekhez kapcsolódó járulék és kifizetői adó</t>
  </si>
  <si>
    <t xml:space="preserve">  Diákmunka</t>
  </si>
  <si>
    <t>Acro Dance Sporttánc Egyesület</t>
  </si>
  <si>
    <t xml:space="preserve">EREDETI EI. </t>
  </si>
  <si>
    <t>Bérkompenzáció</t>
  </si>
  <si>
    <t>Ágazati pótlék, kiegészítő ágazati pótlék</t>
  </si>
  <si>
    <t>Könyvtári érdekeltségnövelő</t>
  </si>
  <si>
    <t>Rendelőintézet</t>
  </si>
  <si>
    <t>Elszámolásból származó bevételek</t>
  </si>
  <si>
    <t>IV.1.i.</t>
  </si>
  <si>
    <t>Helyi Önkormányzatok kiegészítő támogatásai (működési)</t>
  </si>
  <si>
    <t>DRV Zrt. 2016. évi víz- és csatornaszolgáltatás támogatása</t>
  </si>
  <si>
    <t>SZL-Bau Balaton Vívóklub</t>
  </si>
  <si>
    <t xml:space="preserve">Almási László Borok háza </t>
  </si>
  <si>
    <t>Kemping  vizesblokk tervezés + gépészeti felújítás</t>
  </si>
  <si>
    <t>TOP CLLD pályázat közösségi fejlesztések megvalósítására irányuló helyi akciócsoportok megalakítására és azok regisztrációjára vonatkozó felhívás</t>
  </si>
  <si>
    <t>Konferencia Központ Kft. Szabadtéri színpad felújítása</t>
  </si>
  <si>
    <t>Morvai J. u. ivóvíz házlózat tervezése</t>
  </si>
  <si>
    <t xml:space="preserve">       BVSZK Balatonfüredi Vizisport és Szabadidő Központ Nonprofit Kft.</t>
  </si>
  <si>
    <t xml:space="preserve"> - Probio Zrt. fejlesztési támogatása </t>
  </si>
  <si>
    <t xml:space="preserve"> - tagi hitel Probio Zrt.</t>
  </si>
  <si>
    <t xml:space="preserve"> - Füredkult. Kft. fejlesztési támogatás</t>
  </si>
  <si>
    <t>Forgatási célú értékpapír vásárlása</t>
  </si>
  <si>
    <t>10. Forgatási célú értékpapír vásárlás</t>
  </si>
  <si>
    <t>8. Állami támogatás megelőlegezés visszafizetése</t>
  </si>
  <si>
    <t>9. Betét vásárlás</t>
  </si>
  <si>
    <t>Társulásoknak átadott intézmények kv-i maradványa</t>
  </si>
  <si>
    <t>Kisértékű eszközök (városüzemeltetés, egyéb)</t>
  </si>
  <si>
    <t>Aranyhíd Patika Bt. Részesedés</t>
  </si>
  <si>
    <t>Felhalmozási célú visszatérítendő támogatások, kölcsönök nyújtása áh-n belülre</t>
  </si>
  <si>
    <t>3.3. Felhalmozási célú visszatérítendő támogatások, kölcsönök nyújtása áh-n belülre</t>
  </si>
  <si>
    <t>2.</t>
  </si>
  <si>
    <t>3.</t>
  </si>
  <si>
    <t>Település üzemeltetéséhez kapcsolódó feladatellát.támog.(beszámítás után)</t>
  </si>
  <si>
    <t>Egyéb önkormányzati feladatok támogatása (beszámítás után)</t>
  </si>
  <si>
    <t>Lakott külterületekkel kapcsolatos feladatok támogatása(beszámítás után)</t>
  </si>
  <si>
    <t>Üdülőhelyi feladatok támogatása (beszámitás után)</t>
  </si>
  <si>
    <t xml:space="preserve">Üdülőhelyi feladatok támogatása </t>
  </si>
  <si>
    <t>II. EGYES KÖZNEVELÉSI FELADATOK TÁMOGATÁSA</t>
  </si>
  <si>
    <t xml:space="preserve">     család- és gyermekjóléti szolgálat</t>
  </si>
  <si>
    <t xml:space="preserve">     család- és gyermekjóléti központ</t>
  </si>
  <si>
    <t xml:space="preserve">     időskorúak nappali intézényi ellátása - társulás által történő feladatellátás</t>
  </si>
  <si>
    <t xml:space="preserve">  A rászoruló gyermekek intézményen kívüli szünidei étkeztetésének támogatása</t>
  </si>
  <si>
    <t>III.3. a.</t>
  </si>
  <si>
    <t>III.3. b.</t>
  </si>
  <si>
    <t xml:space="preserve">  A rászoruló gyermekek int. kívüli szünidei étk. támogatása</t>
  </si>
  <si>
    <t>Bevétele és kiadások mérlege 2016. év</t>
  </si>
  <si>
    <t>II.5.a</t>
  </si>
  <si>
    <t xml:space="preserve">    kiegészítő támogatás a bölcsődében foglalkoztatott felsőfokú végzettségű kisgyermeknevelők béréhez</t>
  </si>
  <si>
    <t>III.7.</t>
  </si>
  <si>
    <t>I.6.</t>
  </si>
  <si>
    <t>Védett szőlők támogatása</t>
  </si>
  <si>
    <t xml:space="preserve">5477. hrsz-ú ingatlan vásárlás 306/2015. (XII.17.) </t>
  </si>
  <si>
    <t>139 hrsz-ú ingatlan (szálloda) megvásárlása 210/2015. (VIII.26.)</t>
  </si>
  <si>
    <t xml:space="preserve">       Gótika Kft.</t>
  </si>
  <si>
    <t xml:space="preserve">    -Andrew John Prest Koloska u. 8. helyi védettség alatt álló épület felújítása 311/2015.(XII.17.)</t>
  </si>
  <si>
    <t xml:space="preserve">   -Hegyi Rita Dózsa György u. 1/a helyi védettség alatt álló épület felújítása 312/2015.(XII.17.) </t>
  </si>
  <si>
    <t xml:space="preserve"> -Pósvári Gábor Arácsi út 94. helyi védett épület felújítása tám. 314/2015. (XII.17.) </t>
  </si>
  <si>
    <t>4.1. Üzemeltetési díjak</t>
  </si>
  <si>
    <t xml:space="preserve"> 1.5. Működési célú költségvetési támogatások és kiegészítő támogatások</t>
  </si>
  <si>
    <t>1. Készletértékesítés bevétele</t>
  </si>
  <si>
    <t>2. Szolgáltatások ellenértéke</t>
  </si>
  <si>
    <t>10. Biztosító által fizetett kártérítés</t>
  </si>
  <si>
    <t xml:space="preserve">11. Egyéb működési bevételek </t>
  </si>
  <si>
    <t>9. Egyéb pénzügyi műveletek bevételei</t>
  </si>
  <si>
    <t xml:space="preserve"> - Balatonfüred Kézilabda Sportjáért Közhasznú Alapítvány Kézilabda Akadémia építés</t>
  </si>
  <si>
    <t xml:space="preserve"> - tagi hitel Gótika Kft.</t>
  </si>
  <si>
    <t>Balaton Best Nonprofit Kft. TDM pályázat önrész megelőlegezés</t>
  </si>
  <si>
    <t>Turisztikai Egyesület TDM pályázat önrész megelőlegezés</t>
  </si>
  <si>
    <t>Balatonfüredi Turisztikai Egyesület  (TDM)</t>
  </si>
  <si>
    <t>Balatonfüredi Turisztikai Egyesület  (TDM pályázat önrész 2016. évi)</t>
  </si>
  <si>
    <t>Balaton Best Nonprofit Kft. (TDM pályázati önrész 2016. évi)</t>
  </si>
  <si>
    <t>Útépítések 2016. évi I. ütem</t>
  </si>
  <si>
    <t>Utcai bútorok beszerzése (padok, szemetesek)</t>
  </si>
  <si>
    <t>Szelektív hulladékgyűjtő sziget II. ütem</t>
  </si>
  <si>
    <t>Információs táblarendszer bővítése</t>
  </si>
  <si>
    <t>Petőfi- Táncsics u., Öreghegyi u., Balaton u. kisajátítások</t>
  </si>
  <si>
    <t>Felhagyott temetők (Papsoka, Katolikus, Zsidó) felújítása</t>
  </si>
  <si>
    <t>Kisfaludy üzletház WC bővítés</t>
  </si>
  <si>
    <t>Lóczy Lajos Alapítvány</t>
  </si>
  <si>
    <t xml:space="preserve"> - Társasház, Balatonfüred, Noszlopy Gáspár u. 14.</t>
  </si>
  <si>
    <t xml:space="preserve"> - Társasház, Balatonfüred, Noszlopy Gáspár u. 12.</t>
  </si>
  <si>
    <t xml:space="preserve"> -Balatonfüredi Utánpótlás Sport Club infrastruktúrális fejlesztések</t>
  </si>
  <si>
    <t xml:space="preserve"> - Római Katolikus Plébánia fejlesztési támogatás (Piros templom I.)</t>
  </si>
  <si>
    <t xml:space="preserve"> - Balatonfüred Sportjáért Közhasznú Alapítvány látvány csapatsport támogatása (363/2011.(X.3.) ) (uszoda)</t>
  </si>
  <si>
    <t>Horváth Mihály u. közmű kiváltás</t>
  </si>
  <si>
    <t>II. Javasolt fejlesztések</t>
  </si>
  <si>
    <t>III. Egyéb felhalmozási kiadások</t>
  </si>
  <si>
    <t xml:space="preserve">    1.1. Előző év költségvetési maradványának  igénybevétele működési célra</t>
  </si>
  <si>
    <t>2015. évi útépítések: Árokszőlő u., Petőfi S. u. 49-69., Kelén köz, Kelén u., Pásztor J. u. járda (I. ütem), Arácsi út 1-3., Németh L. u. és járda, Ady E. u. járda (nyugati oldal), Szivárvány köz (zsák u. rész), Nagy Áron köz, Vasút u, Batsányi u., Erkel Ferenc u., Arácsi labdarúgó pályához vezető út, Temető köz (II. ütem), Horváth M. u. járda, Külterületi út, Petőfi S. u. 66-74., Hárs Köz parkoló, Castricum tér (lebontott épület helyén), Völgy u. középső szakasz, Száka dülő, BMX pálya, Arácsi út támfal,</t>
  </si>
  <si>
    <t xml:space="preserve"> 1.6. Elszámolásból származó bevételek</t>
  </si>
  <si>
    <t xml:space="preserve">4. Tulajdonosi bevételek </t>
  </si>
  <si>
    <t>1. Települési önkormányzatok működésének támogatása</t>
  </si>
  <si>
    <t>Könyvtári érdekeltségnövelő támogatás</t>
  </si>
  <si>
    <t>Hivatal működési kiadások összesen:</t>
  </si>
  <si>
    <t>Egyéb ktg. (bankktg, postai befiz. ktg., tagdíjak, késedelmi kamat, stb.)</t>
  </si>
  <si>
    <t>7. Működési célú visszatérítendő támogatások, kölcsönök nyújtása áh-n kívülre</t>
  </si>
  <si>
    <t xml:space="preserve">BURSA Hungarica ösztöndíj </t>
  </si>
  <si>
    <t>Magyar Judó Szövetség Veterán Judo Európa Bajnokság</t>
  </si>
  <si>
    <t xml:space="preserve"> - BYC infrastruktúrális fejlesztések</t>
  </si>
  <si>
    <t xml:space="preserve"> - Balatonfüredi Futball Club infrastruktúrális fejlesztések</t>
  </si>
  <si>
    <t xml:space="preserve">Anna-Grand Hotel támogatása </t>
  </si>
  <si>
    <t>I. Működési célú támogatások államháztartáson belülről</t>
  </si>
  <si>
    <t>II. Felhalmozási célú támogatások államháztartáson belülről</t>
  </si>
  <si>
    <t>III. Közhatalmi bevételek</t>
  </si>
  <si>
    <t>IV. Működési bevételek</t>
  </si>
  <si>
    <t>V. Felhalmozási bevételek</t>
  </si>
  <si>
    <t>VI. Működési célú átvett pénzeszközök</t>
  </si>
  <si>
    <t>VII. Felhalmozási célú átvett pénzeszközök</t>
  </si>
  <si>
    <t>Költségvetési bevételek összesen:</t>
  </si>
  <si>
    <t>VIII. Finanszírozási bevételek</t>
  </si>
  <si>
    <t>2. Költségvetési hiány külső finanszírozására szolgáló finanszírozási célú pénzügyi műveletek bevételei</t>
  </si>
  <si>
    <t>Finanszírozási  bevételek összesen:</t>
  </si>
  <si>
    <t>Bevételek összesen:</t>
  </si>
  <si>
    <t>Működési kiadások</t>
  </si>
  <si>
    <t>Önkormányzat</t>
  </si>
  <si>
    <t>Önkormányzati  Hivatal</t>
  </si>
  <si>
    <t>Intézmények</t>
  </si>
  <si>
    <t>Felhalmozási kiadások</t>
  </si>
  <si>
    <t>Fejlesztési kiadások</t>
  </si>
  <si>
    <t>Intézm saját hatásk fejl</t>
  </si>
  <si>
    <t>Felújítás</t>
  </si>
  <si>
    <t>Tartalékok</t>
  </si>
  <si>
    <t>Általános</t>
  </si>
  <si>
    <t>Cél</t>
  </si>
  <si>
    <t>Költségvetési kiadások összesen:</t>
  </si>
  <si>
    <t>Hiteltörlesztés</t>
  </si>
  <si>
    <t>Finanszírozási kiadások összesen:</t>
  </si>
  <si>
    <t>Kiadások összesen:</t>
  </si>
  <si>
    <t>Céltartalék:</t>
  </si>
  <si>
    <t>MÁK forgótőke</t>
  </si>
  <si>
    <t xml:space="preserve"> környezetvédelmi alap</t>
  </si>
  <si>
    <t>Polgármester saját hatáskörű keret</t>
  </si>
  <si>
    <t>Népház, posta pénzügyi alap</t>
  </si>
  <si>
    <t xml:space="preserve">Helyi védelem </t>
  </si>
  <si>
    <t xml:space="preserve">Közhasznú foglalkoztatás </t>
  </si>
  <si>
    <t>köznevelési feladatok támogatása pótlólagos összeg</t>
  </si>
  <si>
    <t>ÖNKORMÁNYZAT</t>
  </si>
  <si>
    <t>KÖZÖS ÖNKORMÁNYZATI HIVATAL</t>
  </si>
  <si>
    <t xml:space="preserve">KÖLTSÉGVETÉSI SZERVEK </t>
  </si>
  <si>
    <t>ÖNKORMÁNYZAT ÖSSZESEN</t>
  </si>
  <si>
    <t>1. Önkormányzat működési támogatásai</t>
  </si>
  <si>
    <t xml:space="preserve"> 1.1. Helyi önk. működésének ált. támogatása</t>
  </si>
  <si>
    <t xml:space="preserve"> 1.2. Települési önk. egyes köznev. feladatainak támogatása</t>
  </si>
  <si>
    <t xml:space="preserve"> 1.3. Települési önk. szoc. és gyermekjóléti feladatainak tám.</t>
  </si>
  <si>
    <t xml:space="preserve"> 1.4. Települési önk. kult. feladatainak támogatása</t>
  </si>
  <si>
    <t>3. Működési célú garancia- és kezességvállalásból származó megtérülések áh-n belülről</t>
  </si>
  <si>
    <t xml:space="preserve"> 4. Működési célú visszatérítendő támogatások, kölcsönök visszatérülése áh-n belülről</t>
  </si>
  <si>
    <t>5. Működési célú visszatérítendő támogatások, kölcsönök igénybevétele áh-n belülről</t>
  </si>
  <si>
    <t xml:space="preserve"> 6. Egyéb működési célú támogatások bevételei államháztartáson belülről</t>
  </si>
  <si>
    <t xml:space="preserve">    ebből működési célú támogatás társadalombiztosítási alapból</t>
  </si>
  <si>
    <t xml:space="preserve">  1. Felhalmozási célú önkormányzati támogatások</t>
  </si>
  <si>
    <t>2. Felhalmozási célú garancia- és kezességvállalásból származó megtérülések áh-n belülről</t>
  </si>
  <si>
    <t xml:space="preserve"> 3. Felhalmozási célú visszatérítendő támogatások, kölcsönök visszatérülése áh-n belülről</t>
  </si>
  <si>
    <t xml:space="preserve"> 4. Felhalmozási célú visszatérítendő támogatások, kölcsönök igénybevétele áh-n belülről</t>
  </si>
  <si>
    <t xml:space="preserve"> 4. Egyéb felhalmozási célú támogatások államháztartáson belülről</t>
  </si>
  <si>
    <t>1. Vagyoni típusú adók</t>
  </si>
  <si>
    <t xml:space="preserve">      1.1. Építményadó</t>
  </si>
  <si>
    <t xml:space="preserve">      1.2. Telekadó</t>
  </si>
  <si>
    <t>2. Termékek és szolgáltatások adói</t>
  </si>
  <si>
    <t>2.1.  Értékesítési és forgalmi adók</t>
  </si>
  <si>
    <t xml:space="preserve">      2.1. 1. Iparűzési adó</t>
  </si>
  <si>
    <t>2.2.  Gépjárműadók</t>
  </si>
  <si>
    <t>2.3. Egyéb áruhasználati és szolgáltatási adók</t>
  </si>
  <si>
    <t xml:space="preserve">      2.3.1. Ifa személyek u.</t>
  </si>
  <si>
    <t xml:space="preserve">      2.3.2. Talajterhelési díj</t>
  </si>
  <si>
    <t>3. Egyéb közhatalmi bevételek  (bírság, pótlék,)</t>
  </si>
  <si>
    <t>1V. Működési bevételek</t>
  </si>
  <si>
    <t>3. Közvetített szolgáltatások ellenértéke</t>
  </si>
  <si>
    <t>4. Tulajdonosi bevételek</t>
  </si>
  <si>
    <t>4.2. Részesedés után kapott osztalék</t>
  </si>
  <si>
    <t>5. Ellátási díjak</t>
  </si>
  <si>
    <t>6. Kiszámlázott Áfa</t>
  </si>
  <si>
    <t>7. Áfa visszatérítés</t>
  </si>
  <si>
    <t>8. Kamatbevétel</t>
  </si>
  <si>
    <t xml:space="preserve">  1. Immateriális javak  értékesítése</t>
  </si>
  <si>
    <t xml:space="preserve">  2. Ingatlanok értékesítése</t>
  </si>
  <si>
    <t xml:space="preserve">  3. Egyéb tárgyi eszközök értékesítése</t>
  </si>
  <si>
    <t xml:space="preserve">  4. Részesedések értékesítése</t>
  </si>
  <si>
    <t xml:space="preserve">  5. Részesedések megszűnéséhez kapcsolódó bevételek</t>
  </si>
  <si>
    <t>Emléktáblák</t>
  </si>
  <si>
    <t>Lóczy L. u. 52. ingatlan felújítás</t>
  </si>
  <si>
    <t>1552/1 hrsz-ú ingatlan vásárlás csere útján (Kossuth u. 26/B)</t>
  </si>
  <si>
    <t>Forgalomtechnikai feladatok tervezése</t>
  </si>
  <si>
    <t>Kossuth u. 24. lakás konyhabútor</t>
  </si>
  <si>
    <t>Vizes VB parkolófejlesztés Zákonyi mélygarázs</t>
  </si>
  <si>
    <t>Annagora Park ingatlan tulajdoni hányad megvásárlása</t>
  </si>
  <si>
    <t xml:space="preserve"> -Szollősi Lajosné Bajcsy-Zs. u. 8. helyi védett épület felújítása 319/2016.(X.27.)</t>
  </si>
  <si>
    <t xml:space="preserve"> - Kovács Szilárdné Németh L. u. 3. helyi védett épület felújítása 318/2016.(X.27.)</t>
  </si>
  <si>
    <t xml:space="preserve"> -Uniós támogatás visszafizetés</t>
  </si>
  <si>
    <t>1.7. Vis major</t>
  </si>
  <si>
    <t xml:space="preserve">Vizes VB parkolófejlesztés  </t>
  </si>
  <si>
    <t>Vizes VB létesítményfejlesztés</t>
  </si>
  <si>
    <t>Turisztikai Egyesület visszatérítendő tám.</t>
  </si>
  <si>
    <t>Uniós pályázat szabálytalanság miatti visszafizetés</t>
  </si>
  <si>
    <t>Balatoni Kajak- Kenu Evezős és Vitorlás SE</t>
  </si>
  <si>
    <t>Cimbora Alapítvány az Egészséges és Kulturált Gyermekekért</t>
  </si>
  <si>
    <t>Füred Stúdió Kft. működés megelőlegezés</t>
  </si>
  <si>
    <t>Zöldterület-gazdálk-al kapcsolatos feladatok ellátásának támog. (HA)</t>
  </si>
  <si>
    <t>Pedagógus II. kat. sorolt óvodapedag. kieg. támog.-minősítés 2015. dec.31-ig szerezték meg</t>
  </si>
  <si>
    <t xml:space="preserve">     házi segítségnyújtás - szociális segítés</t>
  </si>
  <si>
    <t>microhullámú</t>
  </si>
  <si>
    <t>hűtő</t>
  </si>
  <si>
    <t>fűnyíró</t>
  </si>
  <si>
    <t>Fénymásoló + nyomtató</t>
  </si>
  <si>
    <t xml:space="preserve">Közös Önkormányzati Hivatal egyéb működési célú kiadásai </t>
  </si>
  <si>
    <t>Közfoglalkoztatásra kapott előleg</t>
  </si>
  <si>
    <t xml:space="preserve">        KÖFOP-1.2.1. ASP központhoz való csatlakozás áthúzódó</t>
  </si>
  <si>
    <t xml:space="preserve">       TOP-1.2.1-15 Széchényi Strand turisztikai infrastruktúra fejlesztés áthúzódó</t>
  </si>
  <si>
    <t xml:space="preserve">       TOP-1.1.1-15 Ipari parkok, iparterületek fejlesztése</t>
  </si>
  <si>
    <t xml:space="preserve">       TOP-4.1.1-15 Egészségügyi alapellátás fejlesztése </t>
  </si>
  <si>
    <t xml:space="preserve">       TOP-1.1.2-15 Balatonfüred és Balatonalmádi közös helyi foglalkoztatási együttműködés</t>
  </si>
  <si>
    <t>AZ ÖNKORMÁNYZAT 2017. ÉVI KÖLTSÉGVETÉSÉNEK FŐÖSSZESÍTŐJE</t>
  </si>
  <si>
    <t xml:space="preserve">        KÖFOP-1.2.1. ASP központhoz való csatlakozás</t>
  </si>
  <si>
    <t xml:space="preserve">       TOP-1.2.1-15 Széchényi Strand turisztikai infrastruktúra fejlesztés </t>
  </si>
  <si>
    <t>Munkaügyi Központ BISZ előleg visszautalás</t>
  </si>
  <si>
    <t>Maros Megye Cserkészeiért Egyesület (Petőfi szobor állítása)</t>
  </si>
  <si>
    <t>Füred Dixiland Band támogatása</t>
  </si>
  <si>
    <t>sportcsarnok áramellátásának biztosítása érdekében kábel és álmennyezet elhelyezés</t>
  </si>
  <si>
    <t>27. Lakásfelújítás (2016. évi kötváll.</t>
  </si>
  <si>
    <t xml:space="preserve"> - Társasház, Balatonfüred, Tamási Áron u. 27. </t>
  </si>
  <si>
    <t>Köztársaság u. 1. támogatása (erkély festés) 175/2017. (V.25.)</t>
  </si>
  <si>
    <t>Köztársaság u. 11. támogatása (erkély festés) 175/2017. (V.25.)</t>
  </si>
  <si>
    <t>Noszlopy G. u. 16.  támogatása (erkély festés+ jégverés) 175/2017. (V.25.)</t>
  </si>
  <si>
    <t xml:space="preserve"> - Füred Stúdió Kft. Fejlesztési támogatás</t>
  </si>
  <si>
    <t xml:space="preserve"> - Petőfi Sport Kör lelátó építés támogatása</t>
  </si>
  <si>
    <t xml:space="preserve"> - Anna Grand Hotel fejlesztési célú idegenforgalmi támogatás</t>
  </si>
  <si>
    <t xml:space="preserve"> - Veszprém Kereszténységért Közhasznú Alapítvány Horváth Balázs broznz dombormű</t>
  </si>
  <si>
    <t>Ingatlan vásárlás (Spar lenti)</t>
  </si>
  <si>
    <t>KÖFOP -1.2.1. ASP központhoz való csatlakozás</t>
  </si>
  <si>
    <t>TOP-1.1.1.-15 Ipari parkok, iparterületek fejlesztése</t>
  </si>
  <si>
    <t>Arculati Kézikönyv</t>
  </si>
  <si>
    <t>4912 hrsz-ú ingatlanból vásárlás</t>
  </si>
  <si>
    <t>EFOP-4.1.8-16-2017 Konyvtári intézményrendszer infrastruktúláis pályázat</t>
  </si>
  <si>
    <t>Tündérkert Óvoda mosogatógép</t>
  </si>
  <si>
    <t>Emléktábla Yacht Club 150 éves évforduló</t>
  </si>
  <si>
    <t xml:space="preserve">Balatonfüred Bringapark </t>
  </si>
  <si>
    <t>Horgász Klubház előkészítés 403/16 hrsz-ú ingatlan</t>
  </si>
  <si>
    <t>Füred Kemping műszaki felújítási munkák áfa</t>
  </si>
  <si>
    <t>Zákonyi u. csapadékvíz elvezetés</t>
  </si>
  <si>
    <t>4. Értékpapírok vásárlása</t>
  </si>
  <si>
    <t>5. Egyéb működési célú kiadások áh-n belülre</t>
  </si>
  <si>
    <t>NÉBIH által jelzett hiányosságok rendezése</t>
  </si>
  <si>
    <t>Arácsi Óvoda költözése miatti munkálatok ( 3 fázisú mosogató, gázboyler beüzemelése, duguláselhárítás)</t>
  </si>
  <si>
    <t>Korrekció (egyéb sajátos)</t>
  </si>
  <si>
    <t>"A Zsidóság és a csúcstechnika Einsteintől napjainkig" (addicionális pályázattal együtt)</t>
  </si>
  <si>
    <t>2017 év</t>
  </si>
  <si>
    <t>2018 év</t>
  </si>
  <si>
    <t>2019 év</t>
  </si>
  <si>
    <t>TOP-1.2.1-15-VE1-2016-00029</t>
  </si>
  <si>
    <t>"Balatonfüred, Széchenyi strand turisztikai infrastruktúrájának fejlesztése"</t>
  </si>
  <si>
    <t>TOP-1.1.1-15-VE1-2016-00010</t>
  </si>
  <si>
    <t>"Térségi kihatással bíró ipartelepíítés infrastruktúrális feltételeinek megteremtése Balatonfüreden"</t>
  </si>
  <si>
    <t>TOP-4.1.1-15-VE1-2016-00019</t>
  </si>
  <si>
    <t>"Az egészségügyi alapellátás fejelesztése Balatonfüreden"</t>
  </si>
  <si>
    <t>KÖFOP-1.2.1-VEKOP-16-2017-01024</t>
  </si>
  <si>
    <t>"Balatonfüred Város Önkormányzata ASP központhoz való csatlakozása"</t>
  </si>
  <si>
    <t>TOP-5.1.2-15-VE1-2016-00001</t>
  </si>
  <si>
    <t>"Balatonfüred és Balatonalmádi közös helyi foglalkoztatási együttműködés"</t>
  </si>
  <si>
    <t>BEVÉTELEK ELŐIRÁNYZATA INTÉZMÉNYEK SZERINTI BONTÁSBAN 2017. ÉV</t>
  </si>
  <si>
    <t>AZ ÖNKORMÁNYZAT BEVÉTELEI INTÉZMÉNYEK SZERINTI BONTÁSBAN KIEMELT ELŐIRÁNYZATONKÉNT 2017. ÉV</t>
  </si>
  <si>
    <t>AZ ÖNKORMÁNYZAT KIADÁSAI INTÉZMÉNYEK SZERINTI BONTÁSBAN KIEMELT ELŐIRÁNYZATONKÉNT 2017. ÉV</t>
  </si>
  <si>
    <t>AZ ÖNKORMÁNYZAT MŰKÖDÉSI ÉS FELHALMOZÁSI MÉRLEGE 2017 ÉV</t>
  </si>
  <si>
    <t>FELHALMOZÁSI KIADÁSOK 2017. ÉV</t>
  </si>
  <si>
    <t>INTÉZMÉNYI FELÚJÍTÁSOK 2017. ÉV</t>
  </si>
  <si>
    <t>TÁMOGATÁSOK 2017. ÉV</t>
  </si>
  <si>
    <t>MŰKÖDÉSI KIADÁSOK ÖNKORMÁNYZAT, HIVATAL BONTÁSBAN 2017. ÉV</t>
  </si>
  <si>
    <t>INTÉZMÉNYI SAJÁTHATÁSKÖRŰ FEJLESZTÉSEK 2017. ÉV</t>
  </si>
  <si>
    <t>ÁLLAMI TÁMOGATÁSOK INTÉZMÉNYENKÉNT 2017. ÉV</t>
  </si>
  <si>
    <t>ÁLLAMI TÁMOGATÁSOK 2017. ÉV</t>
  </si>
  <si>
    <t>BEVÉTELEK ELŐIRÁNYZATA 2017. ÉV</t>
  </si>
  <si>
    <t>EURÓPAI UNIÓS TÁMOGATÁSSAL MEGVALÓSULÓ PROGRAMOK BEVÉTELEI ÉS KIADÁSAI 2017. ÉV</t>
  </si>
  <si>
    <t>Az önkormányzat működési bevételei és kiadásai, a felhalmozási bevételei és kiadásai kiemelt előirányzatok, 
és kötelező feladatok, önként vállalt feladatok és államigazgatási feladatok bontásban 2017. év</t>
  </si>
  <si>
    <t xml:space="preserve"> Az Önkormányzat  kötelező feladatok bevételei és kiadásai  2017. év</t>
  </si>
  <si>
    <t>1. Működési támogatások államháztartáson belülről</t>
  </si>
  <si>
    <t>Költségvetési működési  bevételek kötelező feladatok szerinti bontásban</t>
  </si>
  <si>
    <t>Költségvetési működési kiadások kötelező feladatok szerinti bontásban</t>
  </si>
  <si>
    <t>Finanszírozási bevételek</t>
  </si>
  <si>
    <t>Finanszírozási kiadások</t>
  </si>
  <si>
    <t>Működési bevételek kiemelt előirányzatonként kötelező feladatok szerinti bontásban</t>
  </si>
  <si>
    <t>Működési kiadások kiemelt előirányzatonként kötelező feladatok szerinti bontásban</t>
  </si>
  <si>
    <t>Felhalmozási bevételek</t>
  </si>
  <si>
    <t xml:space="preserve">2. Felhalmozási bevételek </t>
  </si>
  <si>
    <t>3. Felhalmozási célú átvett pénzeszközök áh-n kívülről</t>
  </si>
  <si>
    <t xml:space="preserve"> </t>
  </si>
  <si>
    <t>3. Egyéb felhalmozási célú kiadások</t>
  </si>
  <si>
    <t>3.1. Egyéb felhalmozási célú pénzeszköz átadás áh-n kívülre</t>
  </si>
  <si>
    <t>3.2. Egyéb felhalmozási célú pénzeszköz átadás áh-n belülre</t>
  </si>
  <si>
    <t>Költségvetési felhalmozási bevételek kötelező feladatok szerinti bontásban</t>
  </si>
  <si>
    <t>Költségvetési felhalmozási kiadások kötelező feladatok szerinti bontásban</t>
  </si>
  <si>
    <t>Felhalmozási bevételek kiemelt előirányzatonként kötelező feladatok szerinti bontásban</t>
  </si>
  <si>
    <t>Felhalmozási kiadások kiemelt előirányzatonként kötelező feladatok szerinti bontásban</t>
  </si>
  <si>
    <t xml:space="preserve"> Az Önkormányzat önként vállalt feladatok bevételei és kiadásai  2017. év</t>
  </si>
  <si>
    <t>rend</t>
  </si>
  <si>
    <t>Költségvetési működési  bevételek önként vállalt feladatok szerinti bontásban</t>
  </si>
  <si>
    <t>Költségvetési működési kiadások önként vállalt feladatok szerinti bontásban</t>
  </si>
  <si>
    <t>Működési bevételek kiemelt előirányzatonként önként vállalt feladatok szerinti bontásban</t>
  </si>
  <si>
    <t>Működési kiadások kiemelt előirányzatonként önként vállalt feladatok szerinti bontásban</t>
  </si>
  <si>
    <t>Költségvetési felhalmozási bevételek önként vállalt feladatok szerinti bontásban</t>
  </si>
  <si>
    <t>Költségvetési felhalmozási kiadások önként vállalt feladatok szerinti bontásban</t>
  </si>
  <si>
    <t>Felhalmozási bevételek kiemelt előirányzatonként önként vállalt feladatok szerinti bontásban</t>
  </si>
  <si>
    <t>Felhalmozási kiadások kiemelt előirányzatonként önként vállalt feladatok szerinti bontásban</t>
  </si>
  <si>
    <t xml:space="preserve"> Az Önkormányzat államigazgatási feladatok bevételei és kiadásai  2017. év</t>
  </si>
  <si>
    <t>Költségvetési működési  bevételek állami (államigazgatási) feladatok szerinti bontásban</t>
  </si>
  <si>
    <t>Költségvetési működési kiadások állami (államigazgatási) feladatok szerinti bontásban</t>
  </si>
  <si>
    <t>Működési bevételek kiemelt előirányzatonként állami (államigazgatási) feladatok szerinti bontásban</t>
  </si>
  <si>
    <t>Működési kiadások kiemelt előirányzatonként állami (államigazgatási)  feladatok szerinti bontásban</t>
  </si>
  <si>
    <t>Felhalmozási bevételek kiemelt előirányzatonként állami (államigazgatási)  feladatok szerinti bontásban</t>
  </si>
  <si>
    <t>Felhalmozási kiadások kiemelt előirányzatonként állami (államigazgatási)  feladatok szerinti bontásban</t>
  </si>
  <si>
    <t>Önkormányzati támogatás</t>
  </si>
  <si>
    <t>AZ ÖNKORMÁNYZAT 2017-2020. ÉVEK</t>
  </si>
  <si>
    <t xml:space="preserve"> TERVEZETT ELŐIRÁNYZATAINAK KERETSZÁMAI</t>
  </si>
  <si>
    <t>2018. évi várható előirányzatok</t>
  </si>
  <si>
    <t>2019. évi várható előirányzatok</t>
  </si>
  <si>
    <t>2020. évi várható előirányzatok</t>
  </si>
  <si>
    <t>I. Működési támogatások államháztartáson belülről</t>
  </si>
  <si>
    <t>II. Felhalmozási támogatások államháztartáson belülről</t>
  </si>
  <si>
    <t xml:space="preserve">VIII. Finanszírozási  bevételek </t>
  </si>
  <si>
    <t>1. Költségvetési hiány belső finanszírozására szolgáló finanszírozási bevételek</t>
  </si>
  <si>
    <t>2. Költségvetési hiány külső finanszírozására, vagy költségvetési többlet felhasználására szolgáló  finanszírozási bevételek</t>
  </si>
  <si>
    <t>I. Működési kiadások</t>
  </si>
  <si>
    <t>2.  Munkaadót terhelő járulék és szociális hozzájárulási adó</t>
  </si>
  <si>
    <t>II. Felhalmozási kiadások</t>
  </si>
  <si>
    <t>1. Beruházások</t>
  </si>
  <si>
    <t>2. Intézm saját hatásk fejl</t>
  </si>
  <si>
    <t>3. Felújítás</t>
  </si>
  <si>
    <t>4. Egyéb felhalmozási célú kiadások</t>
  </si>
  <si>
    <t>Állami támogatás megelőlegezés visszafiz.</t>
  </si>
  <si>
    <t>15. sz. melléklet</t>
  </si>
  <si>
    <t>PARKOLÓHELY MEGVÁLTÁS ALAKULÁSA 2017. ÉV</t>
  </si>
  <si>
    <t>Összeg (eFt)</t>
  </si>
  <si>
    <t>2011-2015. években befolyt parkolóhely megváltás bevétele</t>
  </si>
  <si>
    <t>2016. évben befolyt parkolóhely megváltás bevétele</t>
  </si>
  <si>
    <t>2017. évben tervezett parkolóhely megváltás bevétele</t>
  </si>
  <si>
    <t>Bevétel összesen:</t>
  </si>
  <si>
    <t>2011. évben a parkolóhely megváltás alap terhére elsz. kiadás</t>
  </si>
  <si>
    <t xml:space="preserve">2011. évben megelőlegezett kiadás a 2013. évi bevétel terhére </t>
  </si>
  <si>
    <t xml:space="preserve">2011. évben megelőlegezett kiadás a 2014. évi bevétel terhére </t>
  </si>
  <si>
    <t xml:space="preserve">2011. évben megelőlegezett kiadás a 2015. évi bevétel terhére </t>
  </si>
  <si>
    <t xml:space="preserve">2011. évben megelőlegezett kiadás a 2016. évi bevétel terhére </t>
  </si>
  <si>
    <t xml:space="preserve">2011. évben megelőlegezett kiadás a 2017. évi bevétel terhére </t>
  </si>
  <si>
    <t>Kiadás összesen:</t>
  </si>
  <si>
    <t>2017. évben céltartalékba helyezve</t>
  </si>
  <si>
    <t>16. sz. melléklet</t>
  </si>
  <si>
    <t>KÖRNYEZETVÉDELMI ALAP ALAKULÁSA 2017. ÉV</t>
  </si>
  <si>
    <t>2014. évi záró</t>
  </si>
  <si>
    <t>2015. év</t>
  </si>
  <si>
    <t>Környezetvédelmi bírság</t>
  </si>
  <si>
    <t>Talajterhelési díj</t>
  </si>
  <si>
    <t>2015. évi kiadás</t>
  </si>
  <si>
    <t>2015. évi záró</t>
  </si>
  <si>
    <t>2016. évi kiadás</t>
  </si>
  <si>
    <t>2016. évi  bevétel</t>
  </si>
  <si>
    <t>2016. évi záró</t>
  </si>
  <si>
    <t>2017. évi tervezetett kiadás</t>
  </si>
  <si>
    <t>2017. évi tervezett bevétel</t>
  </si>
  <si>
    <t>2017. évi várható záró</t>
  </si>
  <si>
    <t>Az önkormányzat adósságot keletkeztető ügyletből származó tárgyévi összes fizetési kötelezettsége az adósságot keletkeztető ügylet futamidejének végéig egyik évben sem haladja meg az önkormányzat adott évi saját bevételeinek 50%-át.</t>
  </si>
  <si>
    <t>megnevezés</t>
  </si>
  <si>
    <t>2017.</t>
  </si>
  <si>
    <t>2018.</t>
  </si>
  <si>
    <t>2019.</t>
  </si>
  <si>
    <t>2020.</t>
  </si>
  <si>
    <t>1. Helyi adó és települési adó bevétel</t>
  </si>
  <si>
    <t>2. Vagyon és vagyonértékű jog értékesítéséből származó bevétel</t>
  </si>
  <si>
    <t>3. Osztalék, koncessziós díj és hozambevétel,</t>
  </si>
  <si>
    <t>4. tárgyi eszköz és immateriális jószág, részvény, részesedés, vállalalat értékesítésből vagy privatizációból származó bevétel</t>
  </si>
  <si>
    <t>5. Bírság, pótlék- és díjbevétel</t>
  </si>
  <si>
    <t>6. Kezességvállalással kapcsolatos megtérülés</t>
  </si>
  <si>
    <t>az önkormányzat adott évi saját bevételeinek 50%-a (Eft)</t>
  </si>
  <si>
    <t xml:space="preserve">adósságot keletkeztető ügyletekből és kezességvállalásokból fennálló kötelezettségek </t>
  </si>
  <si>
    <t>futamidő kezdete</t>
  </si>
  <si>
    <t xml:space="preserve">Balatonfüred Kemping ingatlan vásárlás felvett hitel </t>
  </si>
  <si>
    <t>Balatonfüred Kemping ingatlan vásárlás hitel  kamata</t>
  </si>
  <si>
    <t>Balatoni Hajózási Zrt. részvények átvét. Tőkejuttatás</t>
  </si>
  <si>
    <t>2008.</t>
  </si>
  <si>
    <t>Konferencia Központ üzletrész megvásárlása</t>
  </si>
  <si>
    <t>2003.</t>
  </si>
  <si>
    <t>Panelprogram támogatás</t>
  </si>
  <si>
    <t>2005-2009.</t>
  </si>
  <si>
    <t>Összesen (Eft):</t>
  </si>
  <si>
    <t>Az önkormányzat által nyújtott közvetett támogatások jogcímenként</t>
  </si>
  <si>
    <t xml:space="preserve">                                (kedvezmények) 2017. év                       </t>
  </si>
  <si>
    <t xml:space="preserve">Bevételi jogcím </t>
  </si>
  <si>
    <t>Intézmények,</t>
  </si>
  <si>
    <t xml:space="preserve">Kedvezmény nélkül </t>
  </si>
  <si>
    <t xml:space="preserve">Kedvezmények </t>
  </si>
  <si>
    <t>adónemek</t>
  </si>
  <si>
    <t>elérhető</t>
  </si>
  <si>
    <t>összege</t>
  </si>
  <si>
    <t>bevétel  e/Ft</t>
  </si>
  <si>
    <t>e/Ft</t>
  </si>
  <si>
    <t>1.</t>
  </si>
  <si>
    <t>4.</t>
  </si>
  <si>
    <t>5.</t>
  </si>
  <si>
    <t>Ellátottak térítési díjának ill. kártérítésének méltányossági alapon történő elengedésének összege</t>
  </si>
  <si>
    <t>Bölcsőde</t>
  </si>
  <si>
    <t>Iskolák</t>
  </si>
  <si>
    <t>Lakosság részére nyújtott lakásépítéshez, lakásfelújításhoz nyújtott kölcsönök elengedésének összege</t>
  </si>
  <si>
    <t>Helyi adónál, gépjárműadónál biztosított kedvezmény, mentesség összege</t>
  </si>
  <si>
    <t>Építményadó</t>
  </si>
  <si>
    <t>Iparűzési adó</t>
  </si>
  <si>
    <t>IFA személyek után</t>
  </si>
  <si>
    <t>Telekadó</t>
  </si>
  <si>
    <t>Gépjárműadó</t>
  </si>
  <si>
    <t>Települési adó/termőföldadó</t>
  </si>
  <si>
    <t>Települési adó/külterületi</t>
  </si>
  <si>
    <t>Helyiségek, eszközök hasznosításából származó bevételből nyújtott kedvezmény, mentesség összege</t>
  </si>
  <si>
    <t>egyéb nyújtott kedvezmény vagy kölcsön elengedésének összege</t>
  </si>
  <si>
    <t>Összesen :</t>
  </si>
  <si>
    <t>Az Önkormányzat adósságállományának alakulása</t>
  </si>
  <si>
    <t>lejárat, eszközök bel- és külföldi hitelezők szerinti bontásban (e/Ft-ban)</t>
  </si>
  <si>
    <t>Felvétel</t>
  </si>
  <si>
    <t>Lejárat</t>
  </si>
  <si>
    <t>Állomány január 1-én (EFT)</t>
  </si>
  <si>
    <t>Hitel jellege</t>
  </si>
  <si>
    <t>éve</t>
  </si>
  <si>
    <t>2019. után</t>
  </si>
  <si>
    <t>6.</t>
  </si>
  <si>
    <t>7.</t>
  </si>
  <si>
    <t>8.</t>
  </si>
  <si>
    <t>BELFÖLDI HITELEZŐK</t>
  </si>
  <si>
    <t>Működési célú hitel állomány + kamat</t>
  </si>
  <si>
    <t>Hitel összesen</t>
  </si>
  <si>
    <t>Kamat összesen</t>
  </si>
  <si>
    <t>Felhalmozási célú hitel állomány+kamat</t>
  </si>
  <si>
    <t>Füred Kemping vásárlása hitel</t>
  </si>
  <si>
    <t>Hitel összesen (7-10)</t>
  </si>
  <si>
    <t>9.</t>
  </si>
  <si>
    <t>Füred Kemping vásárlása hitel kamat</t>
  </si>
  <si>
    <t>10.</t>
  </si>
  <si>
    <t>Kamat összesen (12-15)</t>
  </si>
  <si>
    <t>11.</t>
  </si>
  <si>
    <t>Összesen: (1+6)</t>
  </si>
  <si>
    <t>12.</t>
  </si>
  <si>
    <t xml:space="preserve"> a szerződésben kapott, legalább háromszázhatvanöt nap időtartamú halasztott fizetés, részletfizetés, és a még ki nem fizetett ellenérték,</t>
  </si>
  <si>
    <t>13.</t>
  </si>
  <si>
    <t>DRV környezetvédelmi beruházások megvalósítása</t>
  </si>
  <si>
    <t>2005.</t>
  </si>
  <si>
    <t>2015.</t>
  </si>
  <si>
    <t>14.</t>
  </si>
  <si>
    <t>15.</t>
  </si>
  <si>
    <t>16.</t>
  </si>
  <si>
    <t>2017-2019</t>
  </si>
  <si>
    <t>17.</t>
  </si>
  <si>
    <t>Összesen (13-16)</t>
  </si>
  <si>
    <t>18.</t>
  </si>
  <si>
    <t>KÜLFÖLDI HITELEZŐK</t>
  </si>
  <si>
    <t>19.</t>
  </si>
  <si>
    <t>20.</t>
  </si>
  <si>
    <t>21.</t>
  </si>
  <si>
    <t>22.</t>
  </si>
  <si>
    <t>23.</t>
  </si>
  <si>
    <t>24.</t>
  </si>
  <si>
    <t>25.</t>
  </si>
  <si>
    <t>26.</t>
  </si>
  <si>
    <t>27.</t>
  </si>
  <si>
    <t>28.</t>
  </si>
  <si>
    <t>29.</t>
  </si>
  <si>
    <t>Összesen: (19+24)</t>
  </si>
  <si>
    <t>30.</t>
  </si>
  <si>
    <t>Összesen: (11+17+29)</t>
  </si>
  <si>
    <t xml:space="preserve">Több éves kihatással járó döntésekből származó kötelezettségek célok szerint, </t>
  </si>
  <si>
    <t>évenkénti bontásban (eFt)</t>
  </si>
  <si>
    <t xml:space="preserve">Kötelezettség jogcíme </t>
  </si>
  <si>
    <t>Kötelezettség-</t>
  </si>
  <si>
    <t>2016.12.31-ig kifizetés</t>
  </si>
  <si>
    <t>2016. évi költségvetést terhelő</t>
  </si>
  <si>
    <t>2020. után</t>
  </si>
  <si>
    <t>Tárgyéven túli köt. Összesen (7+8+9+10)</t>
  </si>
  <si>
    <t>Összesen (4+5+6+11)</t>
  </si>
  <si>
    <t xml:space="preserve">vállalás </t>
  </si>
  <si>
    <t xml:space="preserve">éve </t>
  </si>
  <si>
    <t>(aktuális  kv-i év)</t>
  </si>
  <si>
    <t>Működési célú hitel-törlesztés</t>
  </si>
  <si>
    <t>(tőke + kamat )</t>
  </si>
  <si>
    <t>Felhalmozási célú hitel-törlesztés</t>
  </si>
  <si>
    <t xml:space="preserve">(tőke + kamat) </t>
  </si>
  <si>
    <t>Bérlakásépítés hitel</t>
  </si>
  <si>
    <t>Szennyvízcsatorna beruházás hitel</t>
  </si>
  <si>
    <t>Útépítés, intézményi beruházás hitel</t>
  </si>
  <si>
    <t>Zákonyi utca átépítése hitel</t>
  </si>
  <si>
    <t>hitel összesen</t>
  </si>
  <si>
    <t>Bérlakás hitel kamata</t>
  </si>
  <si>
    <t>Szennyvízcsatorna beruházás hitel kamata</t>
  </si>
  <si>
    <t>Útépítés, intézményi beruházás hitel kamata</t>
  </si>
  <si>
    <t>Zákonyi utca átépítése hitel kamata</t>
  </si>
  <si>
    <t>kamat összesen</t>
  </si>
  <si>
    <t>kezességvállalás: Orvosok hitelei</t>
  </si>
  <si>
    <t>kezességvállalás: hitelek összesen</t>
  </si>
  <si>
    <t>kezességvállalás: Orvosok hitelkamatai</t>
  </si>
  <si>
    <t>kezességvállalás: hitelkamatok össz.</t>
  </si>
  <si>
    <t>Fejlesztés feladatonként</t>
  </si>
  <si>
    <t>Panelprogram tám.: Köztársaság u. 3. (351/2005)</t>
  </si>
  <si>
    <t>Panelprogram tám.: Köztársaság u. 5. (352/2005)</t>
  </si>
  <si>
    <t>Panelprogram tám.: Noszlopy u. 16. (353/2005)</t>
  </si>
  <si>
    <t>Panelprogram tám.: Kéki u. 2. (289/2006)</t>
  </si>
  <si>
    <t>2006.</t>
  </si>
  <si>
    <t>Panelprogram tám.: Csárda u. 2. (290/2006)</t>
  </si>
  <si>
    <t>Panelprogram tám.: Köztársaság u. 13. (291/2006)</t>
  </si>
  <si>
    <t>Panelprogram tám.: Kéki u. 5. (292/2006)</t>
  </si>
  <si>
    <t>Panelprogram tám.: Köztársaság u. 7. (293/2006)</t>
  </si>
  <si>
    <t>Panelprogram tám.: Csárda u. 19. (294/2006)</t>
  </si>
  <si>
    <t>Népház és posta rekonstrukciója pályázathoz kapcsolódó ingatlan karbantartás és fenntartás költségeire pénzügyi alap (220/2008)</t>
  </si>
  <si>
    <t>Balatoni Hajózási Zrt részvénycsomagjának átvételével kapcsolatos kötváll (tőkeemelés és tőkejuttatás) (285/2008)</t>
  </si>
  <si>
    <t>Mederhasználati díjra megkötött szerződés (lejár 2067.09.17)</t>
  </si>
  <si>
    <t>Panelprogram Köztársaság u. 19. tám (8/2009)</t>
  </si>
  <si>
    <t>Panelpromram Köztársaság u. 17. tám (9/2009)</t>
  </si>
  <si>
    <t>Panelprogram Köztársaság u.15.tám. (10/2009)</t>
  </si>
  <si>
    <t>2009.</t>
  </si>
  <si>
    <t>Panelprogram Köztársaság u.11.tám. (11/2009)</t>
  </si>
  <si>
    <t>Panelprogram Köztársaság u.1. tám. (12/2009)</t>
  </si>
  <si>
    <t>TDM pályázat működési támogatás (2+5 évre) (194,201/2009)</t>
  </si>
  <si>
    <t>Autóbuszpályaudvar fejlesztése pályázat: elszámolható költségek önrész, pályázaton kívűli beruházás teljes összeg(86/2010)</t>
  </si>
  <si>
    <t>Autóbuszpályaudvar pm költség, közbeszerzés 339/2011 (IX.15)</t>
  </si>
  <si>
    <t>Balaton Mozi támogatása (53/2011)</t>
  </si>
  <si>
    <t>2 TDM projekt 2017-2018 évi támogatása (124/2011)</t>
  </si>
  <si>
    <t>Balatonfüred Vizilabda Sportjáért Közhasznú Alapítvány támogatás saját forrás biztosítására 341/2011 (IX.15.),  295/2013. (IX.30.)</t>
  </si>
  <si>
    <t xml:space="preserve">Annagóra Park Társasház tulajdonjog szerzés 339/2012. (XII.13.) </t>
  </si>
  <si>
    <t>Balatonfüred Kézilabda Sportjáért Közhasznú Alapítvány kézilabda sportakadémia önrész 151/2013. (IV.26.) /2014-2015./</t>
  </si>
  <si>
    <t>Balatonfüredi Yacht Club éves működési támogatásának biztosítása 10 éven keresztül 231/2013. (VII.05.)</t>
  </si>
  <si>
    <t>KMF Közép-magyarországi Fejlesztési Zrt. Konferencia Központ üzletrész részletek</t>
  </si>
  <si>
    <t>114/2014.(V.20.) Norvég Alap Városi épített örökség megőrzése című pályázat önrész</t>
  </si>
  <si>
    <t>300/2014.(XII.18.) intézményi felújítások közbeszerzési kiírásához fedezet biztosítása</t>
  </si>
  <si>
    <t>309/2014. (XII.18.) kisajátítást megelőző vétel, telekalakítás ingatlanok vételára, műszaki és zöldkár megtérítése P. Horváth Á. u.</t>
  </si>
  <si>
    <t>163/2015.(VI.25.) SOS Együtt Egymásért Alapítvánnyal együttműködési megállapodás városüzemeltetés szakfeladat terhére üzemanyagköltségekre</t>
  </si>
  <si>
    <t>210/2015.(VIII.26.) 139 hrsz-ú ingatlan megvásárlása</t>
  </si>
  <si>
    <t>241/2015. (X.13.) 2015. évi útépítések átütemezése</t>
  </si>
  <si>
    <t>306/2015.(XII.17.) 5477 hrsz-ú ingatlan megvásárlása</t>
  </si>
  <si>
    <t>18/2016. (II.04.) 1322. hrsz-ú ingatlan megvásárlása (Zsinagóga) két ütemben</t>
  </si>
  <si>
    <t>2016.</t>
  </si>
  <si>
    <t>30/2016.(II.25.) helyi TDM szervezet GINOP pályázathoz önerő</t>
  </si>
  <si>
    <t>30/2016.(II.25.) térségi TDM szervezet GINOP pályázathoz önerő</t>
  </si>
  <si>
    <t>47/2016.(III.17.) GINOP-7.1.3.-2015. Gyógyhelyek komplex turisztikai fejlesztése önrész 2016-2017. évek 350.324.200,-Ft</t>
  </si>
  <si>
    <t>54/2016.(III.17.) Állami Szívkórház ingatlan bérleti szerződés a 403/15 hrsz-ú ingatlanra 25 éves időtartamra 3 MFt/év</t>
  </si>
  <si>
    <t>54/2016.(III.17.) Állami Szívkórház éves támogatás biztosítása 2017-2021. évekre</t>
  </si>
  <si>
    <t>55/2016.(III.17.) Balatonfüredi Horgász Egyesület 403/16 hrsz-ú ingatlan bérleti szerződés 25 éves időtartamra 2 MFt/év</t>
  </si>
  <si>
    <t>55/2016.(III.17.) Balatonfüredi Horgász Egyesület csónak vételár</t>
  </si>
  <si>
    <t>61/2016.(III.24.) Balatontourist Füred Club Camping Kft. Által előfinanszírozott  keleti oldali vizesblokk felújítás megtérítése 2017. árpilis 30-ig</t>
  </si>
  <si>
    <t>146/2016.(V.06.) 072 hrsz-ú ingatlan megvásárlása</t>
  </si>
  <si>
    <t>188/2016.(VI.23.) Füredi Kézilabda Sport Egyesület 2016/2017. évi TAO pályázat öltöző felújítás önrész</t>
  </si>
  <si>
    <t>201/2016.(VI.23.) 139 hrsz-ú ingatlan megvásárlása ütemezés módosítása</t>
  </si>
  <si>
    <t>206/2016.(VI.23.) 1542 hrsz-ú ingatlan Kossuth u. 22. megvásárlása</t>
  </si>
  <si>
    <t>241/2016.(VIII.22.) TOP-2.1.2. Zöld város pályázat önrész</t>
  </si>
  <si>
    <t>243/2016.(VIII.22.) 1322 hrsz-ú ingatlan vásárlás ütemezés módosítás</t>
  </si>
  <si>
    <t>254/2016. (IX.22.) Balatonfüred - Szőlős Hegyközség támogatása jégverés kártalanítása miatt</t>
  </si>
  <si>
    <t>256/2016. (IX.22.) MEDNA radiológia támogatása</t>
  </si>
  <si>
    <t>271/2016.(IX.22.) 139 hrsz-ú ingatlan megvásárlása ütemezés módosítása</t>
  </si>
  <si>
    <t>282/2016.(X.07.) 1543/2 hrsz-ú Kossuth u. 24.ingatlan megvásárlása ütemezés módosítása</t>
  </si>
  <si>
    <t>299/2016.(X.27.) Annagóra Park Bevásárlóközpont Társasház 41,11 % tulajdoni hányad megvásárlása ütemezés módosítása</t>
  </si>
  <si>
    <t>316/2016.(X.27.) 0118/61 ingatlanra vonatkozó megállapodás megállapodásból eredő fiz. Köt.</t>
  </si>
  <si>
    <t>340/2016.(XI.24.) 1552/1 hrsz-ú ingatlan (Kossuth u. 26/B) csere a 679/1 hrsz-ú ingatlanra értékkülönbözet</t>
  </si>
  <si>
    <t>343/2016.(XI.24.) Zákonyi mélygarázs többletforrás (tartalékkeret nélkül)</t>
  </si>
  <si>
    <t>358/2016. (XII.15.) fejlesztési előirányzatok átütemezése 2017, évre</t>
  </si>
  <si>
    <t>359/2016.(XII.15.) Passat gépkocsi</t>
  </si>
  <si>
    <t>378/2016. (XII.15.) BFT és NFM Településfejlesztési beruházások támogatására kiírt pályázat önrész</t>
  </si>
  <si>
    <t>6/2017.(I.20.) Parkolóhelyek megvásárlása előszerződés</t>
  </si>
  <si>
    <t>17/2017. (II.10.) ÉNYKK Zrt. 2014. évi veszteség rendezés</t>
  </si>
  <si>
    <t>Összesen: (1+4+9)</t>
  </si>
  <si>
    <r>
      <t xml:space="preserve">    </t>
    </r>
    <r>
      <rPr>
        <sz val="10"/>
        <rFont val="Arial"/>
        <family val="2"/>
        <charset val="238"/>
      </rPr>
      <t>1.1. Előző év költségvetési maradványának  igénybevétele működési célra</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</si>
</sst>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F_t_-;\-* #,##0.00\ _F_t_-;_-* &quot;-&quot;??\ _F_t_-;_-@_-"/>
    <numFmt numFmtId="164" formatCode="mmm\ d/"/>
    <numFmt numFmtId="165" formatCode="#,##0.0"/>
    <numFmt numFmtId="166" formatCode="0.0"/>
    <numFmt numFmtId="167" formatCode="#,##0;[Red]#,##0"/>
    <numFmt numFmtId="168" formatCode="#\ ##0"/>
    <numFmt numFmtId="169" formatCode="#.0\ ##0"/>
  </numFmts>
  <fonts count="61" x14ac:knownFonts="1">
    <font>
      <sz val="10"/>
      <name val="Arial"/>
      <family val="2"/>
      <charset val="238"/>
    </font>
    <font>
      <sz val="11"/>
      <color theme="1"/>
      <name val="Calibri"/>
      <family val="2"/>
      <charset val="238"/>
      <scheme val="minor"/>
    </font>
    <font>
      <sz val="11"/>
      <color indexed="8"/>
      <name val="Calibri"/>
      <family val="2"/>
      <charset val="238"/>
    </font>
    <font>
      <sz val="11"/>
      <color indexed="9"/>
      <name val="Calibri"/>
      <family val="2"/>
      <charset val="238"/>
    </font>
    <font>
      <sz val="11"/>
      <color indexed="62"/>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10"/>
      <name val="Calibri"/>
      <family val="2"/>
      <charset val="238"/>
    </font>
    <font>
      <sz val="11"/>
      <color indexed="52"/>
      <name val="Calibri"/>
      <family val="2"/>
      <charset val="238"/>
    </font>
    <font>
      <sz val="11"/>
      <color indexed="17"/>
      <name val="Calibri"/>
      <family val="2"/>
      <charset val="238"/>
    </font>
    <font>
      <b/>
      <sz val="11"/>
      <color indexed="63"/>
      <name val="Calibri"/>
      <family val="2"/>
      <charset val="238"/>
    </font>
    <font>
      <i/>
      <sz val="11"/>
      <color indexed="23"/>
      <name val="Calibri"/>
      <family val="2"/>
      <charset val="238"/>
    </font>
    <font>
      <sz val="10"/>
      <name val="Arial CE"/>
      <family val="2"/>
      <charset val="238"/>
    </font>
    <font>
      <sz val="11"/>
      <color indexed="20"/>
      <name val="Calibri"/>
      <family val="2"/>
      <charset val="238"/>
    </font>
    <font>
      <sz val="11"/>
      <color indexed="60"/>
      <name val="Calibri"/>
      <family val="2"/>
      <charset val="238"/>
    </font>
    <font>
      <b/>
      <sz val="11"/>
      <color indexed="52"/>
      <name val="Calibri"/>
      <family val="2"/>
      <charset val="238"/>
    </font>
    <font>
      <b/>
      <sz val="11"/>
      <color indexed="8"/>
      <name val="Calibri"/>
      <family val="2"/>
      <charset val="238"/>
    </font>
    <font>
      <sz val="11"/>
      <name val="Arial"/>
      <family val="2"/>
      <charset val="238"/>
    </font>
    <font>
      <b/>
      <sz val="11"/>
      <name val="Arial"/>
      <family val="2"/>
      <charset val="238"/>
    </font>
    <font>
      <b/>
      <sz val="10"/>
      <name val="Arial"/>
      <family val="2"/>
      <charset val="238"/>
    </font>
    <font>
      <i/>
      <sz val="11"/>
      <name val="Arial"/>
      <family val="2"/>
      <charset val="238"/>
    </font>
    <font>
      <b/>
      <i/>
      <sz val="11"/>
      <name val="Arial"/>
      <family val="2"/>
      <charset val="238"/>
    </font>
    <font>
      <b/>
      <sz val="12"/>
      <name val="Arial"/>
      <family val="2"/>
      <charset val="238"/>
    </font>
    <font>
      <sz val="12"/>
      <name val="Arial"/>
      <family val="2"/>
      <charset val="238"/>
    </font>
    <font>
      <i/>
      <sz val="12"/>
      <name val="Arial"/>
      <family val="2"/>
      <charset val="238"/>
    </font>
    <font>
      <sz val="8"/>
      <name val="Arial"/>
      <family val="2"/>
      <charset val="238"/>
    </font>
    <font>
      <sz val="10"/>
      <name val="Arial"/>
      <family val="2"/>
      <charset val="238"/>
    </font>
    <font>
      <sz val="9"/>
      <name val="Arial"/>
      <family val="2"/>
      <charset val="238"/>
    </font>
    <font>
      <b/>
      <sz val="9"/>
      <name val="Arial"/>
      <family val="2"/>
      <charset val="238"/>
    </font>
    <font>
      <i/>
      <sz val="9"/>
      <name val="Arial"/>
      <family val="2"/>
      <charset val="238"/>
    </font>
    <font>
      <b/>
      <i/>
      <sz val="9"/>
      <name val="Arial"/>
      <family val="2"/>
      <charset val="238"/>
    </font>
    <font>
      <i/>
      <sz val="10"/>
      <name val="Arial"/>
      <family val="2"/>
      <charset val="238"/>
    </font>
    <font>
      <b/>
      <sz val="11"/>
      <name val="Times New Roman"/>
      <family val="1"/>
      <charset val="238"/>
    </font>
    <font>
      <sz val="10"/>
      <name val="Arial"/>
      <family val="2"/>
      <charset val="238"/>
    </font>
    <font>
      <sz val="10"/>
      <name val="Times New Roman CE"/>
      <family val="1"/>
      <charset val="238"/>
    </font>
    <font>
      <i/>
      <sz val="14"/>
      <name val="Arial"/>
      <family val="2"/>
      <charset val="238"/>
    </font>
    <font>
      <b/>
      <sz val="12"/>
      <name val="Times New Roman"/>
      <family val="1"/>
      <charset val="238"/>
    </font>
    <font>
      <sz val="12"/>
      <name val="Arial CE"/>
      <family val="2"/>
      <charset val="238"/>
    </font>
    <font>
      <b/>
      <sz val="10"/>
      <color indexed="8"/>
      <name val="Arial"/>
      <family val="2"/>
      <charset val="238"/>
    </font>
    <font>
      <sz val="10"/>
      <color indexed="8"/>
      <name val="Arial"/>
      <family val="2"/>
      <charset val="238"/>
    </font>
    <font>
      <b/>
      <i/>
      <u/>
      <sz val="11"/>
      <name val="Arial"/>
      <family val="2"/>
      <charset val="238"/>
    </font>
    <font>
      <sz val="12"/>
      <color indexed="10"/>
      <name val="Arial"/>
      <family val="2"/>
      <charset val="238"/>
    </font>
    <font>
      <b/>
      <i/>
      <sz val="10"/>
      <name val="Arial"/>
      <family val="2"/>
      <charset val="238"/>
    </font>
    <font>
      <sz val="11"/>
      <color theme="1"/>
      <name val="Calibri"/>
      <family val="2"/>
      <scheme val="minor"/>
    </font>
    <font>
      <b/>
      <sz val="10"/>
      <name val="Times New Roman"/>
      <family val="1"/>
      <charset val="238"/>
    </font>
    <font>
      <sz val="12"/>
      <name val="Times New Roman"/>
      <family val="1"/>
      <charset val="238"/>
    </font>
    <font>
      <sz val="10"/>
      <name val="Arial CE"/>
      <charset val="238"/>
    </font>
    <font>
      <b/>
      <sz val="10"/>
      <name val="Arial CE"/>
      <family val="2"/>
      <charset val="238"/>
    </font>
    <font>
      <sz val="11"/>
      <name val="Arial CE"/>
      <family val="2"/>
      <charset val="238"/>
    </font>
    <font>
      <sz val="10"/>
      <name val="Times New Roman CE"/>
      <charset val="238"/>
    </font>
    <font>
      <b/>
      <sz val="9"/>
      <name val="Arial CE"/>
      <family val="2"/>
      <charset val="238"/>
    </font>
    <font>
      <sz val="9"/>
      <name val="Arial CE"/>
      <family val="2"/>
      <charset val="238"/>
    </font>
    <font>
      <b/>
      <sz val="9"/>
      <name val="Arial CE"/>
      <charset val="238"/>
    </font>
    <font>
      <b/>
      <sz val="10"/>
      <name val="Arial CE"/>
      <charset val="238"/>
    </font>
    <font>
      <sz val="9"/>
      <name val="Times New Roman"/>
      <family val="1"/>
      <charset val="238"/>
    </font>
    <font>
      <b/>
      <sz val="11"/>
      <name val="Arial CE"/>
      <family val="2"/>
      <charset val="238"/>
    </font>
    <font>
      <sz val="11"/>
      <name val="Arial CE"/>
      <charset val="238"/>
    </font>
    <font>
      <sz val="11"/>
      <color indexed="8"/>
      <name val="Arial"/>
      <family val="2"/>
      <charset val="23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5"/>
        <bgColor indexed="29"/>
      </patternFill>
    </fill>
    <fill>
      <patternFill patternType="solid">
        <fgColor indexed="22"/>
        <bgColor indexed="31"/>
      </patternFill>
    </fill>
    <fill>
      <patternFill patternType="solid">
        <fgColor indexed="55"/>
        <bgColor indexed="23"/>
      </patternFill>
    </fill>
    <fill>
      <patternFill patternType="solid">
        <fgColor indexed="42"/>
        <bgColor indexed="27"/>
      </patternFill>
    </fill>
    <fill>
      <patternFill patternType="solid">
        <fgColor indexed="26"/>
      </patternFill>
    </fill>
    <fill>
      <patternFill patternType="solid">
        <fgColor indexed="22"/>
      </patternFill>
    </fill>
    <fill>
      <patternFill patternType="solid">
        <fgColor indexed="43"/>
        <bgColor indexed="26"/>
      </patternFill>
    </fill>
    <fill>
      <patternFill patternType="solid">
        <fgColor indexed="9"/>
        <bgColor indexed="26"/>
      </patternFill>
    </fill>
    <fill>
      <patternFill patternType="solid">
        <fgColor indexed="9"/>
        <bgColor indexed="64"/>
      </patternFill>
    </fill>
    <fill>
      <patternFill patternType="solid">
        <fgColor indexed="9"/>
        <bgColor indexed="34"/>
      </patternFill>
    </fill>
    <fill>
      <patternFill patternType="solid">
        <fgColor indexed="47"/>
        <bgColor indexed="22"/>
      </patternFill>
    </fill>
    <fill>
      <patternFill patternType="solid">
        <fgColor indexed="9"/>
        <bgColor indexed="22"/>
      </patternFill>
    </fill>
    <fill>
      <patternFill patternType="solid">
        <fgColor theme="0"/>
        <bgColor indexed="64"/>
      </patternFill>
    </fill>
  </fills>
  <borders count="16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
      <left/>
      <right/>
      <top style="thin">
        <color indexed="8"/>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bottom/>
      <diagonal/>
    </border>
    <border>
      <left style="thin">
        <color indexed="8"/>
      </left>
      <right/>
      <top style="thin">
        <color indexed="8"/>
      </top>
      <bottom/>
      <diagonal/>
    </border>
    <border>
      <left style="medium">
        <color indexed="64"/>
      </left>
      <right/>
      <top style="thin">
        <color indexed="8"/>
      </top>
      <bottom style="thin">
        <color indexed="8"/>
      </bottom>
      <diagonal/>
    </border>
    <border>
      <left style="medium">
        <color indexed="64"/>
      </left>
      <right/>
      <top/>
      <bottom/>
      <diagonal/>
    </border>
    <border>
      <left style="medium">
        <color indexed="64"/>
      </left>
      <right style="thin">
        <color indexed="8"/>
      </right>
      <top/>
      <bottom style="thin">
        <color indexed="8"/>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8"/>
      </bottom>
      <diagonal/>
    </border>
    <border>
      <left style="medium">
        <color indexed="64"/>
      </left>
      <right/>
      <top style="thin">
        <color indexed="8"/>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8"/>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8"/>
      </right>
      <top style="thin">
        <color indexed="8"/>
      </top>
      <bottom style="medium">
        <color indexed="64"/>
      </bottom>
      <diagonal/>
    </border>
    <border>
      <left style="medium">
        <color indexed="64"/>
      </left>
      <right/>
      <top style="medium">
        <color indexed="64"/>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8"/>
      </top>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8"/>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diagonal/>
    </border>
    <border>
      <left/>
      <right/>
      <top style="medium">
        <color indexed="64"/>
      </top>
      <bottom style="medium">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8"/>
      </left>
      <right style="thin">
        <color indexed="8"/>
      </right>
      <top/>
      <bottom style="thin">
        <color indexed="8"/>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8"/>
      </right>
      <top/>
      <bottom style="thin">
        <color indexed="8"/>
      </bottom>
      <diagonal/>
    </border>
    <border>
      <left/>
      <right/>
      <top style="thin">
        <color indexed="8"/>
      </top>
      <bottom style="thin">
        <color indexed="8"/>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diagonal/>
    </border>
    <border>
      <left style="medium">
        <color indexed="64"/>
      </left>
      <right style="medium">
        <color indexed="64"/>
      </right>
      <top style="thin">
        <color indexed="8"/>
      </top>
      <bottom style="medium">
        <color indexed="64"/>
      </bottom>
      <diagonal/>
    </border>
    <border>
      <left style="medium">
        <color indexed="64"/>
      </left>
      <right style="thin">
        <color indexed="8"/>
      </right>
      <top/>
      <bottom style="medium">
        <color indexed="64"/>
      </bottom>
      <diagonal/>
    </border>
    <border>
      <left style="thin">
        <color indexed="64"/>
      </left>
      <right style="medium">
        <color indexed="64"/>
      </right>
      <top/>
      <bottom style="thin">
        <color indexed="64"/>
      </bottom>
      <diagonal/>
    </border>
    <border>
      <left style="thin">
        <color indexed="8"/>
      </left>
      <right/>
      <top/>
      <bottom style="thin">
        <color indexed="8"/>
      </bottom>
      <diagonal/>
    </border>
    <border>
      <left style="medium">
        <color indexed="64"/>
      </left>
      <right style="thin">
        <color indexed="8"/>
      </right>
      <top style="thin">
        <color indexed="8"/>
      </top>
      <bottom style="thin">
        <color indexed="8"/>
      </bottom>
      <diagonal/>
    </border>
    <border>
      <left/>
      <right/>
      <top/>
      <bottom style="thin">
        <color indexed="8"/>
      </bottom>
      <diagonal/>
    </border>
    <border>
      <left style="medium">
        <color indexed="64"/>
      </left>
      <right style="thin">
        <color indexed="8"/>
      </right>
      <top style="thin">
        <color indexed="8"/>
      </top>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medium">
        <color indexed="64"/>
      </top>
      <bottom style="medium">
        <color indexed="64"/>
      </bottom>
      <diagonal/>
    </border>
    <border>
      <left style="thin">
        <color indexed="8"/>
      </left>
      <right style="medium">
        <color indexed="64"/>
      </right>
      <top/>
      <bottom style="thin">
        <color indexed="8"/>
      </bottom>
      <diagonal/>
    </border>
    <border>
      <left style="thin">
        <color indexed="8"/>
      </left>
      <right style="medium">
        <color indexed="64"/>
      </right>
      <top style="thin">
        <color indexed="8"/>
      </top>
      <bottom/>
      <diagonal/>
    </border>
    <border>
      <left style="thin">
        <color indexed="8"/>
      </left>
      <right/>
      <top style="thin">
        <color indexed="8"/>
      </top>
      <bottom style="thin">
        <color indexed="64"/>
      </bottom>
      <diagonal/>
    </border>
    <border>
      <left style="thin">
        <color indexed="8"/>
      </left>
      <right style="medium">
        <color indexed="64"/>
      </right>
      <top style="thin">
        <color indexed="8"/>
      </top>
      <bottom style="thin">
        <color indexed="64"/>
      </bottom>
      <diagonal/>
    </border>
    <border>
      <left style="thin">
        <color indexed="8"/>
      </left>
      <right style="medium">
        <color indexed="64"/>
      </right>
      <top/>
      <bottom/>
      <diagonal/>
    </border>
    <border>
      <left style="thin">
        <color indexed="8"/>
      </left>
      <right style="thin">
        <color indexed="64"/>
      </right>
      <top style="thin">
        <color indexed="8"/>
      </top>
      <bottom style="thin">
        <color indexed="64"/>
      </bottom>
      <diagonal/>
    </border>
    <border>
      <left style="thin">
        <color indexed="64"/>
      </left>
      <right/>
      <top style="thin">
        <color indexed="64"/>
      </top>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8"/>
      </left>
      <right style="medium">
        <color indexed="64"/>
      </right>
      <top/>
      <bottom style="medium">
        <color indexed="64"/>
      </bottom>
      <diagonal/>
    </border>
    <border>
      <left style="medium">
        <color indexed="64"/>
      </left>
      <right style="thin">
        <color indexed="8"/>
      </right>
      <top style="medium">
        <color indexed="64"/>
      </top>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8"/>
      </top>
      <bottom style="medium">
        <color indexed="64"/>
      </bottom>
      <diagonal/>
    </border>
    <border>
      <left style="medium">
        <color indexed="64"/>
      </left>
      <right/>
      <top style="thin">
        <color indexed="64"/>
      </top>
      <bottom/>
      <diagonal/>
    </border>
    <border>
      <left style="medium">
        <color indexed="64"/>
      </left>
      <right/>
      <top style="thin">
        <color indexed="64"/>
      </top>
      <bottom style="thin">
        <color indexed="8"/>
      </bottom>
      <diagonal/>
    </border>
    <border>
      <left style="thin">
        <color indexed="8"/>
      </left>
      <right style="medium">
        <color indexed="8"/>
      </right>
      <top style="thin">
        <color indexed="8"/>
      </top>
      <bottom/>
      <diagonal/>
    </border>
    <border>
      <left style="thin">
        <color indexed="64"/>
      </left>
      <right style="medium">
        <color indexed="64"/>
      </right>
      <top style="thin">
        <color indexed="64"/>
      </top>
      <bottom style="thin">
        <color indexed="8"/>
      </bottom>
      <diagonal/>
    </border>
    <border>
      <left style="thin">
        <color indexed="64"/>
      </left>
      <right style="medium">
        <color indexed="64"/>
      </right>
      <top style="thin">
        <color indexed="8"/>
      </top>
      <bottom style="medium">
        <color indexed="64"/>
      </bottom>
      <diagonal/>
    </border>
    <border>
      <left style="thin">
        <color indexed="64"/>
      </left>
      <right/>
      <top/>
      <bottom style="medium">
        <color indexed="64"/>
      </bottom>
      <diagonal/>
    </border>
    <border>
      <left/>
      <right/>
      <top style="thin">
        <color indexed="64"/>
      </top>
      <bottom/>
      <diagonal/>
    </border>
    <border>
      <left style="medium">
        <color indexed="8"/>
      </left>
      <right/>
      <top style="thin">
        <color indexed="8"/>
      </top>
      <bottom style="thin">
        <color indexed="8"/>
      </bottom>
      <diagonal/>
    </border>
    <border>
      <left style="thin">
        <color indexed="64"/>
      </left>
      <right style="thin">
        <color indexed="8"/>
      </right>
      <top style="thin">
        <color indexed="8"/>
      </top>
      <bottom style="thin">
        <color indexed="8"/>
      </bottom>
      <diagonal/>
    </border>
    <border>
      <left style="medium">
        <color indexed="64"/>
      </left>
      <right style="thin">
        <color indexed="8"/>
      </right>
      <top/>
      <bottom/>
      <diagonal/>
    </border>
    <border>
      <left/>
      <right style="thin">
        <color indexed="8"/>
      </right>
      <top style="medium">
        <color indexed="64"/>
      </top>
      <bottom/>
      <diagonal/>
    </border>
    <border>
      <left style="thin">
        <color indexed="8"/>
      </left>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style="thin">
        <color indexed="64"/>
      </left>
      <right/>
      <top style="medium">
        <color indexed="64"/>
      </top>
      <bottom style="thin">
        <color indexed="64"/>
      </bottom>
      <diagonal/>
    </border>
    <border>
      <left style="thin">
        <color indexed="8"/>
      </left>
      <right style="medium">
        <color indexed="64"/>
      </right>
      <top style="medium">
        <color indexed="8"/>
      </top>
      <bottom style="thin">
        <color indexed="8"/>
      </bottom>
      <diagonal/>
    </border>
    <border>
      <left style="medium">
        <color indexed="8"/>
      </left>
      <right style="thin">
        <color indexed="8"/>
      </right>
      <top style="thin">
        <color indexed="8"/>
      </top>
      <bottom style="medium">
        <color indexed="64"/>
      </bottom>
      <diagonal/>
    </border>
    <border>
      <left style="thin">
        <color indexed="8"/>
      </left>
      <right style="medium">
        <color indexed="8"/>
      </right>
      <top style="thin">
        <color indexed="8"/>
      </top>
      <bottom style="medium">
        <color indexed="64"/>
      </bottom>
      <diagonal/>
    </border>
    <border>
      <left style="medium">
        <color indexed="64"/>
      </left>
      <right style="medium">
        <color indexed="64"/>
      </right>
      <top style="thin">
        <color indexed="8"/>
      </top>
      <bottom style="thin">
        <color indexed="64"/>
      </bottom>
      <diagonal/>
    </border>
    <border>
      <left style="medium">
        <color indexed="8"/>
      </left>
      <right style="thin">
        <color indexed="8"/>
      </right>
      <top/>
      <bottom style="thin">
        <color indexed="8"/>
      </bottom>
      <diagonal/>
    </border>
    <border>
      <left style="thin">
        <color indexed="8"/>
      </left>
      <right style="medium">
        <color indexed="8"/>
      </right>
      <top/>
      <bottom style="thin">
        <color indexed="64"/>
      </bottom>
      <diagonal/>
    </border>
    <border>
      <left style="medium">
        <color indexed="8"/>
      </left>
      <right/>
      <top style="medium">
        <color indexed="8"/>
      </top>
      <bottom style="thin">
        <color indexed="8"/>
      </bottom>
      <diagonal/>
    </border>
    <border>
      <left style="medium">
        <color indexed="8"/>
      </left>
      <right/>
      <top style="thin">
        <color indexed="8"/>
      </top>
      <bottom/>
      <diagonal/>
    </border>
    <border>
      <left style="thin">
        <color indexed="64"/>
      </left>
      <right style="thin">
        <color indexed="8"/>
      </right>
      <top style="medium">
        <color indexed="8"/>
      </top>
      <bottom style="thin">
        <color indexed="8"/>
      </bottom>
      <diagonal/>
    </border>
    <border>
      <left style="thin">
        <color indexed="64"/>
      </left>
      <right/>
      <top style="thin">
        <color indexed="8"/>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style="thin">
        <color indexed="8"/>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8"/>
      </right>
      <top/>
      <bottom style="thin">
        <color indexed="64"/>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medium">
        <color indexed="64"/>
      </left>
      <right style="thin">
        <color indexed="64"/>
      </right>
      <top/>
      <bottom/>
      <diagonal/>
    </border>
    <border>
      <left/>
      <right style="thin">
        <color indexed="64"/>
      </right>
      <top/>
      <bottom/>
      <diagonal/>
    </border>
    <border>
      <left/>
      <right style="thin">
        <color indexed="64"/>
      </right>
      <top/>
      <bottom style="medium">
        <color indexed="64"/>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indexed="8"/>
      </right>
      <top/>
      <bottom style="thin">
        <color indexed="64"/>
      </bottom>
      <diagonal/>
    </border>
    <border>
      <left/>
      <right style="thin">
        <color indexed="64"/>
      </right>
      <top/>
      <bottom style="thin">
        <color indexed="64"/>
      </bottom>
      <diagonal/>
    </border>
  </borders>
  <cellStyleXfs count="133">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6" fillId="22" borderId="0" applyNumberFormat="0" applyBorder="0" applyAlignment="0" applyProtection="0"/>
    <xf numFmtId="0" fontId="4" fillId="7" borderId="1" applyNumberFormat="0" applyAlignment="0" applyProtection="0"/>
    <xf numFmtId="0" fontId="18" fillId="23" borderId="1" applyNumberFormat="0" applyAlignment="0" applyProtection="0"/>
    <xf numFmtId="0" fontId="9" fillId="24" borderId="2" applyNumberFormat="0" applyAlignment="0" applyProtection="0"/>
    <xf numFmtId="0" fontId="5" fillId="0" borderId="0" applyNumberFormat="0" applyFill="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29" fillId="0" borderId="0"/>
    <xf numFmtId="0" fontId="14" fillId="0" borderId="0" applyNumberFormat="0" applyFill="0" applyBorder="0" applyAlignment="0" applyProtection="0"/>
    <xf numFmtId="43" fontId="29" fillId="0" borderId="0" applyFont="0" applyFill="0" applyBorder="0" applyAlignment="0" applyProtection="0"/>
    <xf numFmtId="43" fontId="29" fillId="0" borderId="0" applyFill="0" applyBorder="0" applyAlignment="0" applyProtection="0"/>
    <xf numFmtId="43" fontId="36" fillId="0" borderId="0" applyFill="0" applyBorder="0" applyAlignment="0" applyProtection="0"/>
    <xf numFmtId="0" fontId="10" fillId="0" borderId="0" applyNumberFormat="0" applyFill="0" applyBorder="0" applyAlignment="0" applyProtection="0"/>
    <xf numFmtId="0" fontId="12" fillId="25" borderId="0" applyNumberFormat="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11" fillId="0" borderId="6" applyNumberFormat="0" applyFill="0" applyAlignment="0" applyProtection="0"/>
    <xf numFmtId="0" fontId="4" fillId="7" borderId="1" applyNumberFormat="0" applyAlignment="0" applyProtection="0"/>
    <xf numFmtId="0" fontId="29" fillId="26" borderId="7" applyNumberFormat="0" applyFont="0" applyAlignment="0" applyProtection="0"/>
    <xf numFmtId="0" fontId="13" fillId="27" borderId="8" applyNumberFormat="0" applyAlignment="0" applyProtection="0"/>
    <xf numFmtId="0" fontId="11" fillId="0" borderId="6" applyNumberFormat="0" applyFill="0" applyAlignment="0" applyProtection="0"/>
    <xf numFmtId="0" fontId="17" fillId="28" borderId="0" applyNumberFormat="0" applyBorder="0" applyAlignment="0" applyProtection="0"/>
    <xf numFmtId="0" fontId="29" fillId="0" borderId="0"/>
    <xf numFmtId="0" fontId="46" fillId="0" borderId="0"/>
    <xf numFmtId="0" fontId="29" fillId="0" borderId="0"/>
    <xf numFmtId="0" fontId="15" fillId="0" borderId="0"/>
    <xf numFmtId="0" fontId="29" fillId="0" borderId="0"/>
    <xf numFmtId="0" fontId="29" fillId="0" borderId="0"/>
    <xf numFmtId="0" fontId="29" fillId="0" borderId="0"/>
    <xf numFmtId="0" fontId="29" fillId="0" borderId="0"/>
    <xf numFmtId="0" fontId="29" fillId="0" borderId="0"/>
    <xf numFmtId="0" fontId="29" fillId="0" borderId="0"/>
    <xf numFmtId="0" fontId="15" fillId="0" borderId="0"/>
    <xf numFmtId="0" fontId="15" fillId="0" borderId="0"/>
    <xf numFmtId="0" fontId="29" fillId="0" borderId="0"/>
    <xf numFmtId="0" fontId="15" fillId="0" borderId="0"/>
    <xf numFmtId="0" fontId="15" fillId="0" borderId="0"/>
    <xf numFmtId="0" fontId="15" fillId="0" borderId="0"/>
    <xf numFmtId="0" fontId="37" fillId="0" borderId="0"/>
    <xf numFmtId="0" fontId="29" fillId="26" borderId="7" applyNumberFormat="0" applyFont="0" applyAlignment="0" applyProtection="0"/>
    <xf numFmtId="0" fontId="13" fillId="27" borderId="8" applyNumberFormat="0" applyAlignment="0" applyProtection="0"/>
    <xf numFmtId="0" fontId="19" fillId="0" borderId="9" applyNumberFormat="0" applyFill="0" applyAlignment="0" applyProtection="0"/>
    <xf numFmtId="0" fontId="5" fillId="0" borderId="0" applyNumberFormat="0" applyFill="0" applyBorder="0" applyAlignment="0" applyProtection="0"/>
    <xf numFmtId="0" fontId="19" fillId="0" borderId="9" applyNumberFormat="0" applyFill="0" applyAlignment="0" applyProtection="0"/>
    <xf numFmtId="0" fontId="10" fillId="0" borderId="0" applyNumberFormat="0" applyFill="0" applyBorder="0" applyAlignment="0" applyProtection="0"/>
    <xf numFmtId="0" fontId="1"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4" fillId="7" borderId="1" applyNumberFormat="0" applyAlignment="0" applyProtection="0"/>
    <xf numFmtId="0" fontId="5" fillId="0" borderId="0" applyNumberFormat="0" applyFill="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43" fontId="29" fillId="0" borderId="0" applyFont="0" applyFill="0" applyBorder="0" applyAlignment="0" applyProtection="0"/>
    <xf numFmtId="0" fontId="10" fillId="0" borderId="0" applyNumberFormat="0" applyFill="0" applyBorder="0" applyAlignment="0" applyProtection="0"/>
    <xf numFmtId="0" fontId="11" fillId="0" borderId="6" applyNumberFormat="0" applyFill="0" applyAlignment="0" applyProtection="0"/>
    <xf numFmtId="0" fontId="29" fillId="26" borderId="7" applyNumberFormat="0" applyFont="0" applyAlignment="0" applyProtection="0"/>
    <xf numFmtId="0" fontId="13" fillId="27" borderId="8" applyNumberFormat="0" applyAlignment="0" applyProtection="0"/>
    <xf numFmtId="0" fontId="19" fillId="0" borderId="9" applyNumberFormat="0" applyFill="0" applyAlignment="0" applyProtection="0"/>
    <xf numFmtId="0" fontId="29" fillId="0" borderId="0"/>
    <xf numFmtId="0" fontId="15" fillId="0" borderId="0"/>
    <xf numFmtId="0" fontId="29" fillId="0" borderId="0"/>
    <xf numFmtId="0" fontId="49" fillId="0" borderId="0"/>
    <xf numFmtId="0" fontId="29" fillId="0" borderId="0"/>
    <xf numFmtId="0" fontId="37" fillId="0" borderId="0"/>
    <xf numFmtId="0" fontId="29" fillId="0" borderId="0"/>
    <xf numFmtId="0" fontId="29" fillId="0" borderId="0"/>
    <xf numFmtId="0" fontId="29" fillId="0" borderId="0"/>
    <xf numFmtId="0" fontId="52" fillId="0" borderId="0"/>
  </cellStyleXfs>
  <cellXfs count="1593">
    <xf numFmtId="0" fontId="0" fillId="0" borderId="0" xfId="0"/>
    <xf numFmtId="0" fontId="22" fillId="0" borderId="0" xfId="84" applyFont="1" applyBorder="1" applyAlignment="1">
      <alignment horizontal="center"/>
    </xf>
    <xf numFmtId="0" fontId="20" fillId="0" borderId="10" xfId="76" applyFont="1" applyBorder="1" applyAlignment="1">
      <alignment horizontal="right"/>
    </xf>
    <xf numFmtId="0" fontId="22" fillId="0" borderId="0" xfId="76" applyFont="1"/>
    <xf numFmtId="3" fontId="22" fillId="0" borderId="0" xfId="76" applyNumberFormat="1" applyFont="1"/>
    <xf numFmtId="3" fontId="22" fillId="0" borderId="0" xfId="76" applyNumberFormat="1" applyFont="1" applyFill="1"/>
    <xf numFmtId="0" fontId="22" fillId="0" borderId="0" xfId="76" applyFont="1" applyFill="1"/>
    <xf numFmtId="0" fontId="25" fillId="0" borderId="0" xfId="81" applyFont="1" applyFill="1" applyAlignment="1">
      <alignment horizontal="center" vertical="center" wrapText="1"/>
    </xf>
    <xf numFmtId="3" fontId="25" fillId="0" borderId="0" xfId="81" applyNumberFormat="1" applyFont="1" applyFill="1" applyAlignment="1">
      <alignment horizontal="center" vertical="center" wrapText="1"/>
    </xf>
    <xf numFmtId="0" fontId="26" fillId="0" borderId="0" xfId="76" applyFont="1" applyFill="1" applyBorder="1"/>
    <xf numFmtId="0" fontId="26" fillId="0" borderId="0" xfId="76" applyFont="1"/>
    <xf numFmtId="0" fontId="22" fillId="0" borderId="0" xfId="76" applyFont="1" applyBorder="1" applyAlignment="1">
      <alignment wrapText="1"/>
    </xf>
    <xf numFmtId="0" fontId="29" fillId="0" borderId="0" xfId="76" applyFont="1"/>
    <xf numFmtId="0" fontId="29" fillId="0" borderId="0" xfId="84" applyFont="1"/>
    <xf numFmtId="0" fontId="29" fillId="0" borderId="0" xfId="84" applyFont="1" applyAlignment="1">
      <alignment horizontal="center" vertical="center"/>
    </xf>
    <xf numFmtId="3" fontId="26" fillId="0" borderId="10" xfId="84" applyNumberFormat="1" applyFont="1" applyFill="1" applyBorder="1" applyAlignment="1">
      <alignment horizontal="right" wrapText="1"/>
    </xf>
    <xf numFmtId="0" fontId="22" fillId="0" borderId="0" xfId="84" applyFont="1" applyBorder="1"/>
    <xf numFmtId="0" fontId="22" fillId="0" borderId="0" xfId="84" applyFont="1"/>
    <xf numFmtId="0" fontId="22" fillId="29" borderId="0" xfId="84" applyFont="1" applyFill="1" applyBorder="1"/>
    <xf numFmtId="0" fontId="22" fillId="29" borderId="0" xfId="84" applyFont="1" applyFill="1"/>
    <xf numFmtId="0" fontId="29" fillId="0" borderId="0" xfId="84" applyFont="1" applyBorder="1"/>
    <xf numFmtId="0" fontId="29" fillId="0" borderId="0" xfId="84" applyFont="1" applyAlignment="1">
      <alignment wrapText="1"/>
    </xf>
    <xf numFmtId="0" fontId="30" fillId="0" borderId="0" xfId="84" applyFont="1" applyBorder="1"/>
    <xf numFmtId="0" fontId="30" fillId="29" borderId="0" xfId="84" applyFont="1" applyFill="1" applyBorder="1"/>
    <xf numFmtId="0" fontId="31" fillId="29" borderId="0" xfId="84" applyFont="1" applyFill="1" applyBorder="1"/>
    <xf numFmtId="3" fontId="32" fillId="29" borderId="0" xfId="84" applyNumberFormat="1" applyFont="1" applyFill="1" applyBorder="1"/>
    <xf numFmtId="0" fontId="32" fillId="29" borderId="0" xfId="84" applyFont="1" applyFill="1" applyBorder="1"/>
    <xf numFmtId="0" fontId="33" fillId="29" borderId="0" xfId="84" applyFont="1" applyFill="1" applyBorder="1"/>
    <xf numFmtId="3" fontId="31" fillId="29" borderId="0" xfId="84" applyNumberFormat="1" applyFont="1" applyFill="1" applyBorder="1"/>
    <xf numFmtId="3" fontId="31" fillId="29" borderId="0" xfId="84" applyNumberFormat="1" applyFont="1" applyFill="1" applyBorder="1" applyAlignment="1">
      <alignment vertical="center"/>
    </xf>
    <xf numFmtId="0" fontId="31" fillId="29" borderId="0" xfId="84" applyFont="1" applyFill="1" applyBorder="1" applyAlignment="1">
      <alignment vertical="center"/>
    </xf>
    <xf numFmtId="0" fontId="30" fillId="29" borderId="0" xfId="84" applyFont="1" applyFill="1" applyBorder="1" applyAlignment="1">
      <alignment vertical="center" wrapText="1"/>
    </xf>
    <xf numFmtId="0" fontId="30" fillId="29" borderId="0" xfId="84" applyFont="1" applyFill="1" applyBorder="1" applyAlignment="1">
      <alignment vertical="center"/>
    </xf>
    <xf numFmtId="3" fontId="30" fillId="29" borderId="0" xfId="84" applyNumberFormat="1" applyFont="1" applyFill="1" applyBorder="1" applyAlignment="1">
      <alignment vertical="center"/>
    </xf>
    <xf numFmtId="3" fontId="31" fillId="29" borderId="0" xfId="84" applyNumberFormat="1" applyFont="1" applyFill="1" applyBorder="1" applyAlignment="1">
      <alignment horizontal="right" wrapText="1"/>
    </xf>
    <xf numFmtId="3" fontId="30" fillId="0" borderId="0" xfId="84" applyNumberFormat="1" applyFont="1" applyBorder="1"/>
    <xf numFmtId="0" fontId="20" fillId="0" borderId="11" xfId="84" applyFont="1" applyBorder="1"/>
    <xf numFmtId="0" fontId="20" fillId="0" borderId="11" xfId="84" applyFont="1" applyFill="1" applyBorder="1"/>
    <xf numFmtId="0" fontId="20" fillId="0" borderId="0" xfId="84" applyFont="1" applyBorder="1"/>
    <xf numFmtId="0" fontId="20" fillId="0" borderId="0" xfId="84" applyFont="1" applyFill="1" applyBorder="1"/>
    <xf numFmtId="0" fontId="20" fillId="29" borderId="10" xfId="84" applyFont="1" applyFill="1" applyBorder="1"/>
    <xf numFmtId="0" fontId="31" fillId="0" borderId="0" xfId="84" applyFont="1" applyBorder="1"/>
    <xf numFmtId="0" fontId="20" fillId="0" borderId="10" xfId="84" applyFont="1" applyBorder="1"/>
    <xf numFmtId="0" fontId="20" fillId="0" borderId="12" xfId="84" applyFont="1" applyBorder="1"/>
    <xf numFmtId="0" fontId="20" fillId="0" borderId="13" xfId="84" applyFont="1" applyBorder="1"/>
    <xf numFmtId="0" fontId="30" fillId="0" borderId="0" xfId="84" applyFont="1" applyFill="1" applyBorder="1"/>
    <xf numFmtId="0" fontId="29" fillId="0" borderId="0" xfId="84" applyFont="1" applyAlignment="1">
      <alignment horizontal="right"/>
    </xf>
    <xf numFmtId="3" fontId="29" fillId="0" borderId="0" xfId="84" applyNumberFormat="1" applyFont="1"/>
    <xf numFmtId="0" fontId="22" fillId="0" borderId="0" xfId="84" applyFont="1" applyAlignment="1">
      <alignment wrapText="1"/>
    </xf>
    <xf numFmtId="0" fontId="28" fillId="0" borderId="0" xfId="84" applyFont="1" applyAlignment="1">
      <alignment horizontal="center" vertical="center" wrapText="1"/>
    </xf>
    <xf numFmtId="3" fontId="22" fillId="0" borderId="0" xfId="84" applyNumberFormat="1" applyFont="1"/>
    <xf numFmtId="0" fontId="29" fillId="29" borderId="0" xfId="84" applyFont="1" applyFill="1" applyBorder="1"/>
    <xf numFmtId="3" fontId="29" fillId="29" borderId="0" xfId="84" applyNumberFormat="1" applyFont="1" applyFill="1" applyBorder="1" applyAlignment="1">
      <alignment horizontal="right"/>
    </xf>
    <xf numFmtId="3" fontId="29" fillId="29" borderId="0" xfId="84" applyNumberFormat="1" applyFont="1" applyFill="1" applyBorder="1"/>
    <xf numFmtId="0" fontId="29" fillId="29" borderId="0" xfId="84" applyFont="1" applyFill="1"/>
    <xf numFmtId="3" fontId="29" fillId="0" borderId="0" xfId="84" applyNumberFormat="1" applyFont="1" applyBorder="1"/>
    <xf numFmtId="0" fontId="20" fillId="0" borderId="10" xfId="84" applyFont="1" applyFill="1" applyBorder="1"/>
    <xf numFmtId="0" fontId="20" fillId="0" borderId="12" xfId="84" applyFont="1" applyFill="1" applyBorder="1"/>
    <xf numFmtId="0" fontId="29" fillId="0" borderId="0" xfId="84" applyFont="1" applyFill="1" applyBorder="1"/>
    <xf numFmtId="3" fontId="29" fillId="0" borderId="0" xfId="84" applyNumberFormat="1" applyFont="1" applyFill="1" applyBorder="1"/>
    <xf numFmtId="0" fontId="29" fillId="0" borderId="0" xfId="84" applyFont="1" applyFill="1"/>
    <xf numFmtId="3" fontId="22" fillId="0" borderId="0" xfId="84" applyNumberFormat="1" applyFont="1" applyBorder="1"/>
    <xf numFmtId="3" fontId="29" fillId="0" borderId="0" xfId="76" applyNumberFormat="1" applyFont="1"/>
    <xf numFmtId="0" fontId="28" fillId="0" borderId="0" xfId="84" applyFont="1" applyAlignment="1">
      <alignment horizontal="center"/>
    </xf>
    <xf numFmtId="0" fontId="29" fillId="0" borderId="0" xfId="76" applyFont="1" applyAlignment="1">
      <alignment horizontal="right"/>
    </xf>
    <xf numFmtId="3" fontId="21" fillId="0" borderId="13" xfId="84" applyNumberFormat="1" applyFont="1" applyBorder="1"/>
    <xf numFmtId="3" fontId="25" fillId="0" borderId="10" xfId="84" applyNumberFormat="1" applyFont="1" applyFill="1" applyBorder="1" applyAlignment="1">
      <alignment horizontal="right" wrapText="1"/>
    </xf>
    <xf numFmtId="0" fontId="25" fillId="0" borderId="0" xfId="84" applyFont="1" applyFill="1" applyBorder="1" applyAlignment="1">
      <alignment horizontal="left" vertical="center" wrapText="1" indent="1"/>
    </xf>
    <xf numFmtId="3" fontId="25" fillId="0" borderId="0" xfId="84" applyNumberFormat="1" applyFont="1" applyFill="1" applyBorder="1"/>
    <xf numFmtId="0" fontId="25" fillId="0" borderId="0" xfId="84" applyFont="1" applyFill="1" applyBorder="1" applyAlignment="1">
      <alignment horizontal="left" vertical="center" wrapText="1" indent="2"/>
    </xf>
    <xf numFmtId="3" fontId="25" fillId="0" borderId="0" xfId="84" applyNumberFormat="1" applyFont="1" applyFill="1" applyBorder="1" applyAlignment="1">
      <alignment horizontal="right" wrapText="1"/>
    </xf>
    <xf numFmtId="0" fontId="26" fillId="0" borderId="0" xfId="84" applyFont="1" applyFill="1" applyBorder="1"/>
    <xf numFmtId="3" fontId="26" fillId="0" borderId="0" xfId="84" applyNumberFormat="1" applyFont="1" applyFill="1" applyBorder="1" applyAlignment="1">
      <alignment horizontal="right" wrapText="1"/>
    </xf>
    <xf numFmtId="0" fontId="26" fillId="0" borderId="0" xfId="84" applyFont="1" applyFill="1" applyBorder="1" applyAlignment="1">
      <alignment horizontal="left" vertical="center" wrapText="1" indent="2"/>
    </xf>
    <xf numFmtId="0" fontId="26" fillId="0" borderId="0" xfId="84" applyFont="1" applyFill="1" applyBorder="1" applyAlignment="1">
      <alignment horizontal="left" vertical="center" wrapText="1" indent="1"/>
    </xf>
    <xf numFmtId="0" fontId="29" fillId="0" borderId="0" xfId="81" applyFont="1" applyFill="1"/>
    <xf numFmtId="3" fontId="22" fillId="0" borderId="0" xfId="72" applyNumberFormat="1" applyFont="1" applyBorder="1" applyAlignment="1">
      <alignment horizontal="center"/>
    </xf>
    <xf numFmtId="3" fontId="29" fillId="0" borderId="0" xfId="72" applyNumberFormat="1" applyFont="1"/>
    <xf numFmtId="3" fontId="29" fillId="0" borderId="0" xfId="72" applyNumberFormat="1" applyFont="1" applyAlignment="1">
      <alignment horizontal="center"/>
    </xf>
    <xf numFmtId="0" fontId="29" fillId="0" borderId="0" xfId="72" applyFont="1"/>
    <xf numFmtId="3" fontId="22" fillId="0" borderId="0" xfId="72" applyNumberFormat="1" applyFont="1" applyBorder="1"/>
    <xf numFmtId="3" fontId="29" fillId="0" borderId="0" xfId="72" applyNumberFormat="1" applyFont="1" applyFill="1" applyBorder="1"/>
    <xf numFmtId="3" fontId="29" fillId="0" borderId="0" xfId="72" applyNumberFormat="1" applyFont="1" applyFill="1"/>
    <xf numFmtId="3" fontId="29" fillId="0" borderId="0" xfId="72" applyNumberFormat="1" applyFont="1" applyFill="1" applyAlignment="1">
      <alignment horizontal="center"/>
    </xf>
    <xf numFmtId="0" fontId="29" fillId="0" borderId="0" xfId="72" applyFont="1" applyFill="1"/>
    <xf numFmtId="167" fontId="29" fillId="0" borderId="0" xfId="76" applyNumberFormat="1" applyFont="1" applyFill="1" applyBorder="1" applyAlignment="1">
      <alignment horizontal="right" vertical="top" wrapText="1"/>
    </xf>
    <xf numFmtId="167" fontId="29" fillId="0" borderId="0" xfId="76" applyNumberFormat="1" applyFont="1" applyBorder="1" applyAlignment="1">
      <alignment horizontal="right" vertical="top" wrapText="1"/>
    </xf>
    <xf numFmtId="3" fontId="22" fillId="0" borderId="0" xfId="72" applyNumberFormat="1" applyFont="1"/>
    <xf numFmtId="3" fontId="22" fillId="0" borderId="0" xfId="72" applyNumberFormat="1" applyFont="1" applyAlignment="1">
      <alignment horizontal="center"/>
    </xf>
    <xf numFmtId="0" fontId="22" fillId="0" borderId="0" xfId="72" applyFont="1"/>
    <xf numFmtId="0" fontId="29" fillId="0" borderId="0" xfId="76" applyFont="1" applyAlignment="1">
      <alignment wrapText="1"/>
    </xf>
    <xf numFmtId="3" fontId="26" fillId="0" borderId="0" xfId="72" applyNumberFormat="1" applyFont="1" applyAlignment="1">
      <alignment wrapText="1"/>
    </xf>
    <xf numFmtId="0" fontId="29" fillId="0" borderId="11" xfId="84" applyFont="1" applyBorder="1"/>
    <xf numFmtId="0" fontId="29" fillId="0" borderId="15" xfId="84" applyFont="1" applyBorder="1"/>
    <xf numFmtId="0" fontId="29" fillId="0" borderId="14" xfId="84" applyFont="1" applyBorder="1"/>
    <xf numFmtId="3" fontId="22" fillId="29" borderId="10" xfId="84" applyNumberFormat="1" applyFont="1" applyFill="1" applyBorder="1" applyAlignment="1">
      <alignment horizontal="right" wrapText="1"/>
    </xf>
    <xf numFmtId="3" fontId="29" fillId="29" borderId="10" xfId="84" applyNumberFormat="1" applyFont="1" applyFill="1" applyBorder="1" applyAlignment="1">
      <alignment horizontal="right" wrapText="1"/>
    </xf>
    <xf numFmtId="0" fontId="0" fillId="0" borderId="0" xfId="84" applyFont="1"/>
    <xf numFmtId="0" fontId="25" fillId="0" borderId="16" xfId="83" applyFont="1" applyFill="1" applyBorder="1" applyAlignment="1">
      <alignment horizontal="left" vertical="center" wrapText="1"/>
    </xf>
    <xf numFmtId="0" fontId="26" fillId="0" borderId="16" xfId="83" applyFont="1" applyFill="1" applyBorder="1" applyAlignment="1">
      <alignment horizontal="left" vertical="center" wrapText="1"/>
    </xf>
    <xf numFmtId="0" fontId="29" fillId="29" borderId="17" xfId="83" applyFont="1" applyFill="1" applyBorder="1" applyAlignment="1">
      <alignment wrapText="1"/>
    </xf>
    <xf numFmtId="0" fontId="29" fillId="29" borderId="18" xfId="84" applyFont="1" applyFill="1" applyBorder="1" applyAlignment="1">
      <alignment wrapText="1"/>
    </xf>
    <xf numFmtId="0" fontId="26" fillId="0" borderId="16" xfId="73" applyFont="1" applyFill="1" applyBorder="1" applyAlignment="1">
      <alignment horizontal="left" vertical="center" wrapText="1"/>
    </xf>
    <xf numFmtId="3" fontId="26" fillId="0" borderId="20" xfId="72" applyNumberFormat="1" applyFont="1" applyFill="1" applyBorder="1" applyAlignment="1">
      <alignment wrapText="1"/>
    </xf>
    <xf numFmtId="3" fontId="25" fillId="0" borderId="21" xfId="72" applyNumberFormat="1" applyFont="1" applyBorder="1" applyAlignment="1">
      <alignment wrapText="1"/>
    </xf>
    <xf numFmtId="0" fontId="21" fillId="29" borderId="23" xfId="84" applyFont="1" applyFill="1" applyBorder="1"/>
    <xf numFmtId="0" fontId="20" fillId="0" borderId="23" xfId="84" applyFont="1" applyBorder="1" applyAlignment="1">
      <alignment horizontal="center"/>
    </xf>
    <xf numFmtId="0" fontId="26" fillId="0" borderId="19" xfId="84" applyFont="1" applyBorder="1" applyAlignment="1">
      <alignment horizontal="left" wrapText="1"/>
    </xf>
    <xf numFmtId="0" fontId="26" fillId="29" borderId="19" xfId="83" applyFont="1" applyFill="1" applyBorder="1" applyAlignment="1">
      <alignment wrapText="1"/>
    </xf>
    <xf numFmtId="0" fontId="25" fillId="0" borderId="19" xfId="84" applyFont="1" applyBorder="1" applyAlignment="1">
      <alignment horizontal="left" wrapText="1"/>
    </xf>
    <xf numFmtId="0" fontId="25" fillId="0" borderId="19" xfId="83" applyFont="1" applyBorder="1" applyAlignment="1">
      <alignment horizontal="left" wrapText="1"/>
    </xf>
    <xf numFmtId="0" fontId="25" fillId="29" borderId="19" xfId="84" applyFont="1" applyFill="1" applyBorder="1" applyAlignment="1">
      <alignment horizontal="left" wrapText="1"/>
    </xf>
    <xf numFmtId="0" fontId="25" fillId="29" borderId="19" xfId="84" applyFont="1" applyFill="1" applyBorder="1" applyAlignment="1">
      <alignment horizontal="left" vertical="top" wrapText="1"/>
    </xf>
    <xf numFmtId="0" fontId="20" fillId="0" borderId="19" xfId="84" applyFont="1" applyBorder="1" applyAlignment="1">
      <alignment horizontal="left" wrapText="1" indent="2"/>
    </xf>
    <xf numFmtId="3" fontId="20" fillId="0" borderId="23" xfId="84" applyNumberFormat="1" applyFont="1" applyBorder="1" applyAlignment="1">
      <alignment horizontal="right"/>
    </xf>
    <xf numFmtId="3" fontId="20" fillId="0" borderId="23" xfId="84" applyNumberFormat="1" applyFont="1" applyBorder="1"/>
    <xf numFmtId="3" fontId="20" fillId="0" borderId="23" xfId="84" applyNumberFormat="1" applyFont="1" applyFill="1" applyBorder="1"/>
    <xf numFmtId="3" fontId="21" fillId="0" borderId="23" xfId="84" applyNumberFormat="1" applyFont="1" applyBorder="1"/>
    <xf numFmtId="0" fontId="20" fillId="0" borderId="23" xfId="84" applyFont="1" applyBorder="1"/>
    <xf numFmtId="0" fontId="20" fillId="0" borderId="23" xfId="84" applyFont="1" applyFill="1" applyBorder="1"/>
    <xf numFmtId="3" fontId="20" fillId="0" borderId="23" xfId="84" applyNumberFormat="1" applyFont="1" applyFill="1" applyBorder="1" applyAlignment="1">
      <alignment horizontal="right"/>
    </xf>
    <xf numFmtId="0" fontId="25" fillId="0" borderId="25" xfId="84" applyFont="1" applyFill="1" applyBorder="1" applyAlignment="1">
      <alignment horizontal="center" vertical="center" wrapText="1"/>
    </xf>
    <xf numFmtId="3" fontId="22" fillId="29" borderId="23" xfId="84" applyNumberFormat="1" applyFont="1" applyFill="1" applyBorder="1" applyAlignment="1">
      <alignment horizontal="right" wrapText="1"/>
    </xf>
    <xf numFmtId="3" fontId="29" fillId="29" borderId="23" xfId="84" applyNumberFormat="1" applyFont="1" applyFill="1" applyBorder="1" applyAlignment="1">
      <alignment horizontal="right" wrapText="1"/>
    </xf>
    <xf numFmtId="3" fontId="25" fillId="0" borderId="23" xfId="84" applyNumberFormat="1" applyFont="1" applyFill="1" applyBorder="1" applyAlignment="1">
      <alignment horizontal="right" wrapText="1"/>
    </xf>
    <xf numFmtId="3" fontId="26" fillId="0" borderId="23" xfId="84" applyNumberFormat="1" applyFont="1" applyFill="1" applyBorder="1" applyAlignment="1">
      <alignment horizontal="right" wrapText="1"/>
    </xf>
    <xf numFmtId="3" fontId="25" fillId="0" borderId="26" xfId="84" applyNumberFormat="1" applyFont="1" applyFill="1" applyBorder="1" applyAlignment="1">
      <alignment horizontal="right" wrapText="1"/>
    </xf>
    <xf numFmtId="0" fontId="26" fillId="0" borderId="27" xfId="84" applyFont="1" applyFill="1" applyBorder="1" applyAlignment="1">
      <alignment horizontal="left" vertical="center" wrapText="1" indent="2"/>
    </xf>
    <xf numFmtId="3" fontId="25" fillId="0" borderId="28" xfId="72" applyNumberFormat="1" applyFont="1" applyBorder="1" applyAlignment="1">
      <alignment wrapText="1"/>
    </xf>
    <xf numFmtId="0" fontId="22" fillId="29" borderId="28" xfId="84" applyFont="1" applyFill="1" applyBorder="1" applyAlignment="1">
      <alignment wrapText="1"/>
    </xf>
    <xf numFmtId="0" fontId="29" fillId="29" borderId="16" xfId="84" applyFont="1" applyFill="1" applyBorder="1" applyAlignment="1">
      <alignment wrapText="1"/>
    </xf>
    <xf numFmtId="164" fontId="29" fillId="29" borderId="16" xfId="83" applyNumberFormat="1" applyFont="1" applyFill="1" applyBorder="1" applyAlignment="1">
      <alignment wrapText="1"/>
    </xf>
    <xf numFmtId="0" fontId="29" fillId="29" borderId="16" xfId="83" applyFont="1" applyFill="1" applyBorder="1" applyAlignment="1">
      <alignment wrapText="1"/>
    </xf>
    <xf numFmtId="0" fontId="22" fillId="29" borderId="16" xfId="84" applyFont="1" applyFill="1" applyBorder="1" applyAlignment="1">
      <alignment wrapText="1"/>
    </xf>
    <xf numFmtId="3" fontId="22" fillId="29" borderId="19" xfId="84" applyNumberFormat="1" applyFont="1" applyFill="1" applyBorder="1" applyAlignment="1">
      <alignment horizontal="right" wrapText="1"/>
    </xf>
    <xf numFmtId="3" fontId="29" fillId="29" borderId="19" xfId="84" applyNumberFormat="1" applyFont="1" applyFill="1" applyBorder="1" applyAlignment="1">
      <alignment horizontal="right" wrapText="1"/>
    </xf>
    <xf numFmtId="0" fontId="20" fillId="0" borderId="29" xfId="84" applyFont="1" applyBorder="1"/>
    <xf numFmtId="0" fontId="20" fillId="29" borderId="29" xfId="84" applyFont="1" applyFill="1" applyBorder="1"/>
    <xf numFmtId="0" fontId="20" fillId="0" borderId="29" xfId="84" applyFont="1" applyFill="1" applyBorder="1"/>
    <xf numFmtId="0" fontId="20" fillId="0" borderId="30" xfId="84" applyFont="1" applyBorder="1"/>
    <xf numFmtId="0" fontId="20" fillId="0" borderId="31" xfId="84" applyFont="1" applyBorder="1" applyAlignment="1">
      <alignment horizontal="center"/>
    </xf>
    <xf numFmtId="0" fontId="20" fillId="0" borderId="29" xfId="76" applyFont="1" applyBorder="1" applyAlignment="1">
      <alignment horizontal="right"/>
    </xf>
    <xf numFmtId="3" fontId="21" fillId="0" borderId="30" xfId="84" applyNumberFormat="1" applyFont="1" applyBorder="1"/>
    <xf numFmtId="3" fontId="20" fillId="0" borderId="32" xfId="84" applyNumberFormat="1" applyFont="1" applyBorder="1" applyAlignment="1">
      <alignment horizontal="right"/>
    </xf>
    <xf numFmtId="3" fontId="21" fillId="0" borderId="26" xfId="84" applyNumberFormat="1" applyFont="1" applyBorder="1"/>
    <xf numFmtId="0" fontId="20" fillId="0" borderId="15" xfId="84" applyFont="1" applyBorder="1"/>
    <xf numFmtId="0" fontId="20" fillId="0" borderId="33" xfId="84" applyFont="1" applyBorder="1" applyAlignment="1">
      <alignment horizontal="center"/>
    </xf>
    <xf numFmtId="0" fontId="20" fillId="29" borderId="12" xfId="84" applyFont="1" applyFill="1" applyBorder="1"/>
    <xf numFmtId="0" fontId="20" fillId="0" borderId="12" xfId="76" applyFont="1" applyBorder="1" applyAlignment="1">
      <alignment horizontal="right"/>
    </xf>
    <xf numFmtId="3" fontId="21" fillId="0" borderId="15" xfId="84" applyNumberFormat="1" applyFont="1" applyBorder="1"/>
    <xf numFmtId="0" fontId="20" fillId="0" borderId="16" xfId="73" applyFont="1" applyFill="1" applyBorder="1" applyAlignment="1">
      <alignment horizontal="left" vertical="center" wrapText="1"/>
    </xf>
    <xf numFmtId="0" fontId="20" fillId="0" borderId="20" xfId="76" applyFont="1" applyBorder="1" applyAlignment="1">
      <alignment wrapText="1"/>
    </xf>
    <xf numFmtId="0" fontId="22" fillId="29" borderId="34" xfId="84" applyFont="1" applyFill="1" applyBorder="1" applyAlignment="1">
      <alignment wrapText="1"/>
    </xf>
    <xf numFmtId="0" fontId="22" fillId="0" borderId="0" xfId="84" applyFont="1" applyFill="1" applyBorder="1"/>
    <xf numFmtId="0" fontId="22" fillId="0" borderId="0" xfId="81" applyFont="1" applyFill="1"/>
    <xf numFmtId="3" fontId="22" fillId="0" borderId="0" xfId="72" applyNumberFormat="1" applyFont="1" applyFill="1" applyBorder="1"/>
    <xf numFmtId="3" fontId="22" fillId="0" borderId="0" xfId="72" applyNumberFormat="1" applyFont="1" applyFill="1"/>
    <xf numFmtId="3" fontId="22" fillId="0" borderId="0" xfId="72" applyNumberFormat="1" applyFont="1" applyFill="1" applyAlignment="1">
      <alignment horizontal="center"/>
    </xf>
    <xf numFmtId="0" fontId="22" fillId="0" borderId="0" xfId="72" applyFont="1" applyFill="1"/>
    <xf numFmtId="167" fontId="22" fillId="0" borderId="0" xfId="76" applyNumberFormat="1" applyFont="1" applyBorder="1" applyAlignment="1">
      <alignment horizontal="right" vertical="top" wrapText="1"/>
    </xf>
    <xf numFmtId="0" fontId="0" fillId="0" borderId="0" xfId="0" applyFont="1"/>
    <xf numFmtId="3" fontId="21" fillId="29" borderId="23" xfId="84" applyNumberFormat="1" applyFont="1" applyFill="1" applyBorder="1" applyAlignment="1">
      <alignment horizontal="right" wrapText="1"/>
    </xf>
    <xf numFmtId="3" fontId="20" fillId="29" borderId="23" xfId="77" applyNumberFormat="1" applyFont="1" applyFill="1" applyBorder="1"/>
    <xf numFmtId="0" fontId="20" fillId="0" borderId="19" xfId="77" applyFont="1" applyFill="1" applyBorder="1"/>
    <xf numFmtId="0" fontId="21" fillId="0" borderId="23" xfId="77" applyFont="1" applyBorder="1"/>
    <xf numFmtId="0" fontId="20" fillId="0" borderId="23" xfId="0" applyFont="1" applyBorder="1"/>
    <xf numFmtId="0" fontId="20" fillId="0" borderId="23" xfId="77" applyFont="1" applyFill="1" applyBorder="1"/>
    <xf numFmtId="0" fontId="21" fillId="0" borderId="23" xfId="77" applyFont="1" applyFill="1" applyBorder="1"/>
    <xf numFmtId="0" fontId="20" fillId="0" borderId="0" xfId="0" applyFont="1"/>
    <xf numFmtId="0" fontId="21" fillId="0" borderId="19" xfId="77" applyFont="1" applyFill="1" applyBorder="1"/>
    <xf numFmtId="3" fontId="21" fillId="0" borderId="23" xfId="77" applyNumberFormat="1" applyFont="1" applyFill="1" applyBorder="1"/>
    <xf numFmtId="3" fontId="21" fillId="29" borderId="23" xfId="77" applyNumberFormat="1" applyFont="1" applyFill="1" applyBorder="1"/>
    <xf numFmtId="4" fontId="21" fillId="0" borderId="23" xfId="77" applyNumberFormat="1" applyFont="1" applyFill="1" applyBorder="1"/>
    <xf numFmtId="4" fontId="20" fillId="0" borderId="23" xfId="77" applyNumberFormat="1" applyFont="1" applyFill="1" applyBorder="1"/>
    <xf numFmtId="0" fontId="21" fillId="0" borderId="19" xfId="78" applyFont="1" applyFill="1" applyBorder="1"/>
    <xf numFmtId="0" fontId="20" fillId="0" borderId="19" xfId="78" applyFont="1" applyFill="1" applyBorder="1"/>
    <xf numFmtId="3" fontId="20" fillId="0" borderId="23" xfId="77" applyNumberFormat="1" applyFont="1" applyFill="1" applyBorder="1"/>
    <xf numFmtId="165" fontId="20" fillId="29" borderId="23" xfId="77" applyNumberFormat="1" applyFont="1" applyFill="1" applyBorder="1"/>
    <xf numFmtId="165" fontId="21" fillId="29" borderId="23" xfId="77" applyNumberFormat="1" applyFont="1" applyFill="1" applyBorder="1"/>
    <xf numFmtId="0" fontId="21" fillId="0" borderId="19" xfId="0" applyFont="1" applyBorder="1"/>
    <xf numFmtId="0" fontId="20" fillId="0" borderId="19" xfId="0" applyFont="1" applyBorder="1"/>
    <xf numFmtId="2" fontId="20" fillId="0" borderId="23" xfId="77" applyNumberFormat="1" applyFont="1" applyFill="1" applyBorder="1"/>
    <xf numFmtId="0" fontId="20" fillId="0" borderId="23" xfId="77" applyFont="1" applyBorder="1"/>
    <xf numFmtId="0" fontId="23" fillId="0" borderId="19" xfId="77" applyFont="1" applyFill="1" applyBorder="1"/>
    <xf numFmtId="0" fontId="20" fillId="0" borderId="19" xfId="77" applyFont="1" applyFill="1" applyBorder="1" applyAlignment="1">
      <alignment wrapText="1"/>
    </xf>
    <xf numFmtId="0" fontId="23" fillId="0" borderId="23" xfId="77" applyFont="1" applyFill="1" applyBorder="1"/>
    <xf numFmtId="3" fontId="23" fillId="0" borderId="23" xfId="77" applyNumberFormat="1" applyFont="1" applyFill="1" applyBorder="1"/>
    <xf numFmtId="3" fontId="23" fillId="29" borderId="23" xfId="77" applyNumberFormat="1" applyFont="1" applyFill="1" applyBorder="1"/>
    <xf numFmtId="2" fontId="21" fillId="0" borderId="23" xfId="77" applyNumberFormat="1" applyFont="1" applyFill="1" applyBorder="1"/>
    <xf numFmtId="1" fontId="20" fillId="0" borderId="23" xfId="77" applyNumberFormat="1" applyFont="1" applyFill="1" applyBorder="1"/>
    <xf numFmtId="3" fontId="21" fillId="0" borderId="19" xfId="77" applyNumberFormat="1" applyFont="1" applyFill="1" applyBorder="1"/>
    <xf numFmtId="3" fontId="20" fillId="0" borderId="19" xfId="77" applyNumberFormat="1" applyFont="1" applyFill="1" applyBorder="1"/>
    <xf numFmtId="0" fontId="21" fillId="0" borderId="36" xfId="77" applyFont="1" applyFill="1" applyBorder="1"/>
    <xf numFmtId="0" fontId="20" fillId="0" borderId="26" xfId="77" applyFont="1" applyBorder="1"/>
    <xf numFmtId="3" fontId="21" fillId="0" borderId="37" xfId="77" applyNumberFormat="1" applyFont="1" applyBorder="1"/>
    <xf numFmtId="0" fontId="20" fillId="0" borderId="19" xfId="77" applyFont="1" applyFill="1" applyBorder="1" applyAlignment="1">
      <alignment horizontal="center"/>
    </xf>
    <xf numFmtId="165" fontId="20" fillId="0" borderId="23" xfId="77" applyNumberFormat="1" applyFont="1" applyFill="1" applyBorder="1"/>
    <xf numFmtId="0" fontId="21" fillId="0" borderId="19" xfId="77" applyFont="1" applyFill="1" applyBorder="1" applyAlignment="1">
      <alignment horizontal="center"/>
    </xf>
    <xf numFmtId="2" fontId="20" fillId="0" borderId="23" xfId="77" applyNumberFormat="1" applyFont="1" applyBorder="1"/>
    <xf numFmtId="0" fontId="21" fillId="0" borderId="19" xfId="77" applyFont="1" applyBorder="1"/>
    <xf numFmtId="3" fontId="21" fillId="0" borderId="23" xfId="77" applyNumberFormat="1" applyFont="1" applyFill="1" applyBorder="1" applyAlignment="1"/>
    <xf numFmtId="0" fontId="20" fillId="0" borderId="19" xfId="77" applyFont="1" applyBorder="1"/>
    <xf numFmtId="166" fontId="21" fillId="0" borderId="23" xfId="77" applyNumberFormat="1" applyFont="1" applyFill="1" applyBorder="1"/>
    <xf numFmtId="0" fontId="20" fillId="0" borderId="23" xfId="77" applyFont="1" applyFill="1" applyBorder="1" applyAlignment="1">
      <alignment wrapText="1"/>
    </xf>
    <xf numFmtId="0" fontId="23" fillId="0" borderId="23" xfId="77" applyFont="1" applyFill="1" applyBorder="1" applyAlignment="1">
      <alignment wrapText="1"/>
    </xf>
    <xf numFmtId="1" fontId="21" fillId="0" borderId="23" xfId="77" applyNumberFormat="1" applyFont="1" applyFill="1" applyBorder="1"/>
    <xf numFmtId="4" fontId="20" fillId="29" borderId="23" xfId="77" applyNumberFormat="1" applyFont="1" applyFill="1" applyBorder="1"/>
    <xf numFmtId="2" fontId="20" fillId="0" borderId="26" xfId="77" applyNumberFormat="1" applyFont="1" applyFill="1" applyBorder="1"/>
    <xf numFmtId="0" fontId="20" fillId="0" borderId="26" xfId="77" applyFont="1" applyFill="1" applyBorder="1"/>
    <xf numFmtId="3" fontId="20" fillId="0" borderId="26" xfId="77" applyNumberFormat="1" applyFont="1" applyFill="1" applyBorder="1"/>
    <xf numFmtId="3" fontId="20" fillId="0" borderId="23" xfId="76" applyNumberFormat="1" applyFont="1" applyBorder="1"/>
    <xf numFmtId="3" fontId="21" fillId="0" borderId="31" xfId="84" applyNumberFormat="1" applyFont="1" applyBorder="1"/>
    <xf numFmtId="3" fontId="21" fillId="0" borderId="33" xfId="84" applyNumberFormat="1" applyFont="1" applyBorder="1"/>
    <xf numFmtId="3" fontId="20" fillId="29" borderId="23" xfId="84" applyNumberFormat="1" applyFont="1" applyFill="1" applyBorder="1" applyAlignment="1">
      <alignment horizontal="right" wrapText="1"/>
    </xf>
    <xf numFmtId="4" fontId="20" fillId="29" borderId="23" xfId="84" applyNumberFormat="1" applyFont="1" applyFill="1" applyBorder="1" applyAlignment="1">
      <alignment horizontal="right" wrapText="1"/>
    </xf>
    <xf numFmtId="3" fontId="21" fillId="29" borderId="32" xfId="84" applyNumberFormat="1" applyFont="1" applyFill="1" applyBorder="1" applyAlignment="1">
      <alignment horizontal="right" wrapText="1"/>
    </xf>
    <xf numFmtId="3" fontId="20" fillId="29" borderId="32" xfId="84" applyNumberFormat="1" applyFont="1" applyFill="1" applyBorder="1" applyAlignment="1">
      <alignment horizontal="right" wrapText="1"/>
    </xf>
    <xf numFmtId="0" fontId="21" fillId="29" borderId="23" xfId="84" applyFont="1" applyFill="1" applyBorder="1" applyAlignment="1">
      <alignment vertical="center"/>
    </xf>
    <xf numFmtId="4" fontId="20" fillId="0" borderId="23" xfId="84" applyNumberFormat="1" applyFont="1" applyFill="1" applyBorder="1" applyAlignment="1">
      <alignment horizontal="right" wrapText="1"/>
    </xf>
    <xf numFmtId="3" fontId="21" fillId="29" borderId="33" xfId="84" applyNumberFormat="1" applyFont="1" applyFill="1" applyBorder="1" applyAlignment="1">
      <alignment horizontal="right" wrapText="1"/>
    </xf>
    <xf numFmtId="4" fontId="29" fillId="0" borderId="0" xfId="84" applyNumberFormat="1" applyFont="1" applyBorder="1"/>
    <xf numFmtId="0" fontId="20" fillId="0" borderId="16" xfId="76" applyFont="1" applyBorder="1" applyAlignment="1">
      <alignment wrapText="1"/>
    </xf>
    <xf numFmtId="0" fontId="20" fillId="0" borderId="16" xfId="76" applyFont="1" applyFill="1" applyBorder="1" applyAlignment="1">
      <alignment wrapText="1"/>
    </xf>
    <xf numFmtId="0" fontId="21" fillId="0" borderId="16" xfId="76" applyFont="1" applyBorder="1" applyAlignment="1">
      <alignment wrapText="1"/>
    </xf>
    <xf numFmtId="0" fontId="21" fillId="0" borderId="21" xfId="76" applyFont="1" applyBorder="1" applyAlignment="1">
      <alignment wrapText="1"/>
    </xf>
    <xf numFmtId="0" fontId="29" fillId="0" borderId="38" xfId="76" applyFont="1" applyBorder="1" applyAlignment="1">
      <alignment wrapText="1"/>
    </xf>
    <xf numFmtId="3" fontId="26" fillId="0" borderId="23" xfId="84" applyNumberFormat="1" applyFont="1" applyBorder="1"/>
    <xf numFmtId="3" fontId="25" fillId="0" borderId="23" xfId="84" applyNumberFormat="1" applyFont="1" applyBorder="1"/>
    <xf numFmtId="3" fontId="25" fillId="0" borderId="23" xfId="84" applyNumberFormat="1" applyFont="1" applyBorder="1" applyAlignment="1">
      <alignment horizontal="right" wrapText="1"/>
    </xf>
    <xf numFmtId="3" fontId="25" fillId="29" borderId="23" xfId="84" applyNumberFormat="1" applyFont="1" applyFill="1" applyBorder="1" applyAlignment="1">
      <alignment horizontal="right" wrapText="1"/>
    </xf>
    <xf numFmtId="3" fontId="25" fillId="29" borderId="23" xfId="84" applyNumberFormat="1" applyFont="1" applyFill="1" applyBorder="1" applyAlignment="1">
      <alignment horizontal="right" vertical="center" wrapText="1"/>
    </xf>
    <xf numFmtId="4" fontId="29" fillId="29" borderId="26" xfId="84" applyNumberFormat="1" applyFont="1" applyFill="1" applyBorder="1" applyAlignment="1">
      <alignment horizontal="right" wrapText="1"/>
    </xf>
    <xf numFmtId="4" fontId="29" fillId="29" borderId="36" xfId="84" applyNumberFormat="1" applyFont="1" applyFill="1" applyBorder="1" applyAlignment="1">
      <alignment horizontal="right" wrapText="1"/>
    </xf>
    <xf numFmtId="3" fontId="21" fillId="29" borderId="19" xfId="84" applyNumberFormat="1" applyFont="1" applyFill="1" applyBorder="1" applyAlignment="1">
      <alignment horizontal="right" wrapText="1"/>
    </xf>
    <xf numFmtId="3" fontId="20" fillId="29" borderId="19" xfId="84" applyNumberFormat="1" applyFont="1" applyFill="1" applyBorder="1" applyAlignment="1">
      <alignment horizontal="right" wrapText="1"/>
    </xf>
    <xf numFmtId="4" fontId="20" fillId="29" borderId="19" xfId="84" applyNumberFormat="1" applyFont="1" applyFill="1" applyBorder="1" applyAlignment="1">
      <alignment horizontal="right" wrapText="1"/>
    </xf>
    <xf numFmtId="3" fontId="20" fillId="29" borderId="36" xfId="84" applyNumberFormat="1" applyFont="1" applyFill="1" applyBorder="1" applyAlignment="1">
      <alignment horizontal="right" wrapText="1"/>
    </xf>
    <xf numFmtId="3" fontId="21" fillId="29" borderId="39" xfId="84" applyNumberFormat="1" applyFont="1" applyFill="1" applyBorder="1" applyAlignment="1">
      <alignment horizontal="right" wrapText="1"/>
    </xf>
    <xf numFmtId="3" fontId="21" fillId="29" borderId="40" xfId="84" applyNumberFormat="1" applyFont="1" applyFill="1" applyBorder="1" applyAlignment="1">
      <alignment horizontal="right" wrapText="1"/>
    </xf>
    <xf numFmtId="3" fontId="20" fillId="0" borderId="19" xfId="84" applyNumberFormat="1" applyFont="1" applyBorder="1" applyAlignment="1">
      <alignment horizontal="right"/>
    </xf>
    <xf numFmtId="3" fontId="21" fillId="0" borderId="19" xfId="84" applyNumberFormat="1" applyFont="1" applyBorder="1"/>
    <xf numFmtId="3" fontId="20" fillId="0" borderId="19" xfId="84" applyNumberFormat="1" applyFont="1" applyBorder="1"/>
    <xf numFmtId="3" fontId="21" fillId="0" borderId="36" xfId="84" applyNumberFormat="1" applyFont="1" applyBorder="1"/>
    <xf numFmtId="3" fontId="20" fillId="0" borderId="35" xfId="84" applyNumberFormat="1" applyFont="1" applyBorder="1" applyAlignment="1">
      <alignment horizontal="right"/>
    </xf>
    <xf numFmtId="3" fontId="21" fillId="0" borderId="35" xfId="84" applyNumberFormat="1" applyFont="1" applyBorder="1" applyAlignment="1">
      <alignment horizontal="right"/>
    </xf>
    <xf numFmtId="0" fontId="22" fillId="0" borderId="0" xfId="0" applyFont="1"/>
    <xf numFmtId="3" fontId="20" fillId="0" borderId="33" xfId="84" applyNumberFormat="1" applyFont="1" applyBorder="1" applyAlignment="1">
      <alignment horizontal="right"/>
    </xf>
    <xf numFmtId="3" fontId="21" fillId="0" borderId="33" xfId="84" applyNumberFormat="1" applyFont="1" applyBorder="1" applyAlignment="1">
      <alignment horizontal="right"/>
    </xf>
    <xf numFmtId="3" fontId="20" fillId="0" borderId="32" xfId="84" applyNumberFormat="1" applyFont="1" applyBorder="1"/>
    <xf numFmtId="2" fontId="29" fillId="0" borderId="0" xfId="84" applyNumberFormat="1" applyFont="1" applyBorder="1"/>
    <xf numFmtId="0" fontId="25" fillId="0" borderId="17" xfId="83" applyFont="1" applyFill="1" applyBorder="1" applyAlignment="1">
      <alignment horizontal="left" vertical="center" wrapText="1"/>
    </xf>
    <xf numFmtId="0" fontId="26" fillId="0" borderId="41" xfId="83" applyFont="1" applyFill="1" applyBorder="1" applyAlignment="1">
      <alignment horizontal="left" vertical="center" wrapText="1"/>
    </xf>
    <xf numFmtId="3" fontId="34" fillId="29" borderId="23" xfId="84" applyNumberFormat="1" applyFont="1" applyFill="1" applyBorder="1" applyAlignment="1">
      <alignment horizontal="right" wrapText="1"/>
    </xf>
    <xf numFmtId="3" fontId="21" fillId="29" borderId="42" xfId="84" applyNumberFormat="1" applyFont="1" applyFill="1" applyBorder="1" applyAlignment="1">
      <alignment horizontal="right" wrapText="1"/>
    </xf>
    <xf numFmtId="4" fontId="20" fillId="29" borderId="42" xfId="84" applyNumberFormat="1" applyFont="1" applyFill="1" applyBorder="1" applyAlignment="1">
      <alignment horizontal="right" wrapText="1"/>
    </xf>
    <xf numFmtId="3" fontId="20" fillId="0" borderId="35" xfId="84" applyNumberFormat="1" applyFont="1" applyBorder="1"/>
    <xf numFmtId="3" fontId="20" fillId="0" borderId="35" xfId="84" applyNumberFormat="1" applyFont="1" applyFill="1" applyBorder="1"/>
    <xf numFmtId="3" fontId="20" fillId="0" borderId="35" xfId="76" applyNumberFormat="1" applyFont="1" applyBorder="1" applyAlignment="1">
      <alignment horizontal="right"/>
    </xf>
    <xf numFmtId="0" fontId="22" fillId="29" borderId="43" xfId="83" applyFont="1" applyFill="1" applyBorder="1" applyAlignment="1">
      <alignment wrapText="1"/>
    </xf>
    <xf numFmtId="0" fontId="29" fillId="29" borderId="44" xfId="83" applyFont="1" applyFill="1" applyBorder="1" applyAlignment="1">
      <alignment wrapText="1"/>
    </xf>
    <xf numFmtId="0" fontId="22" fillId="29" borderId="44" xfId="83" applyFont="1" applyFill="1" applyBorder="1" applyAlignment="1">
      <alignment wrapText="1"/>
    </xf>
    <xf numFmtId="0" fontId="22" fillId="29" borderId="44" xfId="84" applyFont="1" applyFill="1" applyBorder="1" applyAlignment="1">
      <alignment wrapText="1"/>
    </xf>
    <xf numFmtId="0" fontId="29" fillId="29" borderId="44" xfId="84" applyFont="1" applyFill="1" applyBorder="1" applyAlignment="1">
      <alignment wrapText="1"/>
    </xf>
    <xf numFmtId="164" fontId="29" fillId="29" borderId="44" xfId="84" applyNumberFormat="1" applyFont="1" applyFill="1" applyBorder="1" applyAlignment="1">
      <alignment wrapText="1"/>
    </xf>
    <xf numFmtId="164" fontId="29" fillId="29" borderId="16" xfId="84" applyNumberFormat="1" applyFont="1" applyFill="1" applyBorder="1" applyAlignment="1">
      <alignment wrapText="1"/>
    </xf>
    <xf numFmtId="0" fontId="29" fillId="29" borderId="44" xfId="83" applyFont="1" applyFill="1" applyBorder="1" applyAlignment="1">
      <alignment horizontal="left" wrapText="1"/>
    </xf>
    <xf numFmtId="0" fontId="22" fillId="0" borderId="44" xfId="84" applyFont="1" applyBorder="1"/>
    <xf numFmtId="0" fontId="29" fillId="0" borderId="44" xfId="84" applyFont="1" applyBorder="1"/>
    <xf numFmtId="0" fontId="29" fillId="0" borderId="45" xfId="84" applyFont="1" applyBorder="1"/>
    <xf numFmtId="3" fontId="20" fillId="29" borderId="37" xfId="84" applyNumberFormat="1" applyFont="1" applyFill="1" applyBorder="1" applyAlignment="1">
      <alignment horizontal="right" wrapText="1"/>
    </xf>
    <xf numFmtId="0" fontId="20" fillId="29" borderId="46" xfId="84" applyFont="1" applyFill="1" applyBorder="1"/>
    <xf numFmtId="0" fontId="21" fillId="29" borderId="47" xfId="84" applyFont="1" applyFill="1" applyBorder="1"/>
    <xf numFmtId="3" fontId="21" fillId="29" borderId="48" xfId="84" applyNumberFormat="1" applyFont="1" applyFill="1" applyBorder="1" applyAlignment="1">
      <alignment horizontal="right" wrapText="1"/>
    </xf>
    <xf numFmtId="0" fontId="20" fillId="29" borderId="42" xfId="84" applyFont="1" applyFill="1" applyBorder="1"/>
    <xf numFmtId="3" fontId="20" fillId="29" borderId="42" xfId="84" applyNumberFormat="1" applyFont="1" applyFill="1" applyBorder="1" applyAlignment="1">
      <alignment horizontal="right" wrapText="1"/>
    </xf>
    <xf numFmtId="0" fontId="20" fillId="29" borderId="42" xfId="84" applyFont="1" applyFill="1" applyBorder="1" applyAlignment="1">
      <alignment vertical="center"/>
    </xf>
    <xf numFmtId="0" fontId="21" fillId="29" borderId="42" xfId="84" applyFont="1" applyFill="1" applyBorder="1" applyAlignment="1">
      <alignment vertical="center"/>
    </xf>
    <xf numFmtId="0" fontId="21" fillId="0" borderId="42" xfId="84" applyFont="1" applyBorder="1"/>
    <xf numFmtId="0" fontId="21" fillId="29" borderId="19" xfId="84" applyFont="1" applyFill="1" applyBorder="1"/>
    <xf numFmtId="0" fontId="21" fillId="29" borderId="19" xfId="84" applyFont="1" applyFill="1" applyBorder="1" applyAlignment="1">
      <alignment vertical="center"/>
    </xf>
    <xf numFmtId="4" fontId="20" fillId="29" borderId="36" xfId="84" applyNumberFormat="1" applyFont="1" applyFill="1" applyBorder="1" applyAlignment="1">
      <alignment horizontal="right" wrapText="1"/>
    </xf>
    <xf numFmtId="0" fontId="20" fillId="0" borderId="49" xfId="84" applyFont="1" applyBorder="1"/>
    <xf numFmtId="0" fontId="20" fillId="0" borderId="49" xfId="84" applyFont="1" applyBorder="1" applyAlignment="1">
      <alignment wrapText="1"/>
    </xf>
    <xf numFmtId="0" fontId="21" fillId="0" borderId="49" xfId="84" applyFont="1" applyBorder="1" applyAlignment="1">
      <alignment wrapText="1"/>
    </xf>
    <xf numFmtId="0" fontId="20" fillId="29" borderId="49" xfId="84" applyFont="1" applyFill="1" applyBorder="1"/>
    <xf numFmtId="0" fontId="20" fillId="0" borderId="49" xfId="84" applyFont="1" applyFill="1" applyBorder="1"/>
    <xf numFmtId="3" fontId="20" fillId="0" borderId="49" xfId="84" applyNumberFormat="1" applyFont="1" applyFill="1" applyBorder="1"/>
    <xf numFmtId="0" fontId="21" fillId="0" borderId="49" xfId="84" applyFont="1" applyBorder="1"/>
    <xf numFmtId="0" fontId="21" fillId="0" borderId="50" xfId="84" applyFont="1" applyBorder="1"/>
    <xf numFmtId="0" fontId="20" fillId="0" borderId="51" xfId="84" applyFont="1" applyBorder="1"/>
    <xf numFmtId="3" fontId="20" fillId="0" borderId="52" xfId="84" applyNumberFormat="1" applyFont="1" applyBorder="1" applyAlignment="1">
      <alignment horizontal="right"/>
    </xf>
    <xf numFmtId="3" fontId="20" fillId="0" borderId="53" xfId="84" applyNumberFormat="1" applyFont="1" applyBorder="1" applyAlignment="1">
      <alignment horizontal="right"/>
    </xf>
    <xf numFmtId="3" fontId="20" fillId="0" borderId="54" xfId="84" applyNumberFormat="1" applyFont="1" applyBorder="1" applyAlignment="1">
      <alignment horizontal="right"/>
    </xf>
    <xf numFmtId="3" fontId="20" fillId="0" borderId="30" xfId="84" applyNumberFormat="1" applyFont="1" applyBorder="1"/>
    <xf numFmtId="3" fontId="20" fillId="0" borderId="13" xfId="84" applyNumberFormat="1" applyFont="1" applyBorder="1"/>
    <xf numFmtId="3" fontId="20" fillId="0" borderId="15" xfId="84" applyNumberFormat="1" applyFont="1" applyBorder="1"/>
    <xf numFmtId="3" fontId="20" fillId="0" borderId="55" xfId="84" applyNumberFormat="1" applyFont="1" applyBorder="1"/>
    <xf numFmtId="0" fontId="21" fillId="0" borderId="56" xfId="84" applyFont="1" applyBorder="1"/>
    <xf numFmtId="3" fontId="21" fillId="0" borderId="57" xfId="84" applyNumberFormat="1" applyFont="1" applyBorder="1"/>
    <xf numFmtId="3" fontId="21" fillId="0" borderId="58" xfId="84" applyNumberFormat="1" applyFont="1" applyBorder="1"/>
    <xf numFmtId="3" fontId="21" fillId="0" borderId="59" xfId="84" applyNumberFormat="1" applyFont="1" applyBorder="1"/>
    <xf numFmtId="3" fontId="21" fillId="0" borderId="60" xfId="84" applyNumberFormat="1" applyFont="1" applyBorder="1"/>
    <xf numFmtId="3" fontId="21" fillId="0" borderId="61" xfId="84" applyNumberFormat="1" applyFont="1" applyBorder="1"/>
    <xf numFmtId="3" fontId="21" fillId="0" borderId="62" xfId="84" applyNumberFormat="1" applyFont="1" applyBorder="1"/>
    <xf numFmtId="3" fontId="22" fillId="29" borderId="63" xfId="84" applyNumberFormat="1" applyFont="1" applyFill="1" applyBorder="1" applyAlignment="1">
      <alignment horizontal="right" wrapText="1"/>
    </xf>
    <xf numFmtId="0" fontId="22" fillId="29" borderId="64" xfId="84" applyFont="1" applyFill="1" applyBorder="1" applyAlignment="1">
      <alignment horizontal="center" vertical="center" wrapText="1"/>
    </xf>
    <xf numFmtId="3" fontId="34" fillId="29" borderId="19" xfId="84" applyNumberFormat="1" applyFont="1" applyFill="1" applyBorder="1" applyAlignment="1">
      <alignment horizontal="right" wrapText="1"/>
    </xf>
    <xf numFmtId="3" fontId="29" fillId="29" borderId="36" xfId="84" applyNumberFormat="1" applyFont="1" applyFill="1" applyBorder="1" applyAlignment="1">
      <alignment horizontal="right" wrapText="1"/>
    </xf>
    <xf numFmtId="3" fontId="29" fillId="29" borderId="26" xfId="84" applyNumberFormat="1" applyFont="1" applyFill="1" applyBorder="1" applyAlignment="1">
      <alignment horizontal="right" wrapText="1"/>
    </xf>
    <xf numFmtId="4" fontId="29" fillId="29" borderId="19" xfId="84" applyNumberFormat="1" applyFont="1" applyFill="1" applyBorder="1" applyAlignment="1">
      <alignment horizontal="right" wrapText="1"/>
    </xf>
    <xf numFmtId="3" fontId="26" fillId="0" borderId="22" xfId="84" applyNumberFormat="1" applyFont="1" applyFill="1" applyBorder="1" applyAlignment="1">
      <alignment horizontal="right" wrapText="1"/>
    </xf>
    <xf numFmtId="3" fontId="26" fillId="0" borderId="65" xfId="84" applyNumberFormat="1" applyFont="1" applyFill="1" applyBorder="1" applyAlignment="1">
      <alignment horizontal="right" wrapText="1"/>
    </xf>
    <xf numFmtId="0" fontId="21" fillId="0" borderId="24" xfId="76" applyFont="1" applyBorder="1" applyAlignment="1">
      <alignment wrapText="1"/>
    </xf>
    <xf numFmtId="0" fontId="21" fillId="0" borderId="34" xfId="76" applyFont="1" applyBorder="1" applyAlignment="1">
      <alignment wrapText="1"/>
    </xf>
    <xf numFmtId="0" fontId="20" fillId="0" borderId="28" xfId="76" applyFont="1" applyBorder="1" applyAlignment="1">
      <alignment wrapText="1"/>
    </xf>
    <xf numFmtId="0" fontId="20" fillId="0" borderId="34" xfId="76" applyFont="1" applyBorder="1" applyAlignment="1">
      <alignment wrapText="1"/>
    </xf>
    <xf numFmtId="3" fontId="22" fillId="29" borderId="66" xfId="84" applyNumberFormat="1" applyFont="1" applyFill="1" applyBorder="1" applyAlignment="1">
      <alignment horizontal="right" wrapText="1"/>
    </xf>
    <xf numFmtId="0" fontId="29" fillId="29" borderId="28" xfId="84" applyFont="1" applyFill="1" applyBorder="1" applyAlignment="1">
      <alignment wrapText="1"/>
    </xf>
    <xf numFmtId="0" fontId="22" fillId="29" borderId="56" xfId="84" applyFont="1" applyFill="1" applyBorder="1" applyAlignment="1">
      <alignment horizontal="center" vertical="center" wrapText="1"/>
    </xf>
    <xf numFmtId="0" fontId="25" fillId="0" borderId="24" xfId="84" applyFont="1" applyFill="1" applyBorder="1" applyAlignment="1">
      <alignment horizontal="center" vertical="center" wrapText="1"/>
    </xf>
    <xf numFmtId="0" fontId="25" fillId="0" borderId="24" xfId="76" applyFont="1" applyFill="1" applyBorder="1" applyAlignment="1">
      <alignment horizontal="center" vertical="center" wrapText="1"/>
    </xf>
    <xf numFmtId="0" fontId="20" fillId="29" borderId="28" xfId="84" applyFont="1" applyFill="1" applyBorder="1" applyAlignment="1">
      <alignment wrapText="1"/>
    </xf>
    <xf numFmtId="0" fontId="20" fillId="29" borderId="16" xfId="84" applyFont="1" applyFill="1" applyBorder="1" applyAlignment="1">
      <alignment wrapText="1"/>
    </xf>
    <xf numFmtId="0" fontId="20" fillId="29" borderId="16" xfId="83" applyFont="1" applyFill="1" applyBorder="1" applyAlignment="1">
      <alignment wrapText="1"/>
    </xf>
    <xf numFmtId="0" fontId="21" fillId="0" borderId="20" xfId="76" applyFont="1" applyBorder="1" applyAlignment="1">
      <alignment wrapText="1"/>
    </xf>
    <xf numFmtId="164" fontId="20" fillId="0" borderId="16" xfId="76" applyNumberFormat="1" applyFont="1" applyBorder="1" applyAlignment="1">
      <alignment wrapText="1"/>
    </xf>
    <xf numFmtId="164" fontId="20" fillId="0" borderId="34" xfId="76" applyNumberFormat="1" applyFont="1" applyBorder="1" applyAlignment="1">
      <alignment wrapText="1"/>
    </xf>
    <xf numFmtId="0" fontId="20" fillId="0" borderId="17" xfId="84" applyFont="1" applyFill="1" applyBorder="1" applyAlignment="1">
      <alignment horizontal="left" wrapText="1" indent="2"/>
    </xf>
    <xf numFmtId="0" fontId="0" fillId="0" borderId="0" xfId="0" applyFill="1"/>
    <xf numFmtId="3" fontId="0" fillId="0" borderId="0" xfId="0" applyNumberFormat="1"/>
    <xf numFmtId="0" fontId="20" fillId="0" borderId="0" xfId="0" applyFont="1" applyFill="1"/>
    <xf numFmtId="3" fontId="22" fillId="29" borderId="40" xfId="84" applyNumberFormat="1" applyFont="1" applyFill="1" applyBorder="1" applyAlignment="1">
      <alignment horizontal="right" wrapText="1"/>
    </xf>
    <xf numFmtId="4" fontId="20" fillId="29" borderId="26" xfId="84" applyNumberFormat="1" applyFont="1" applyFill="1" applyBorder="1" applyAlignment="1">
      <alignment horizontal="right" wrapText="1"/>
    </xf>
    <xf numFmtId="0" fontId="20" fillId="29" borderId="49" xfId="84" applyFont="1" applyFill="1" applyBorder="1" applyAlignment="1">
      <alignment wrapText="1"/>
    </xf>
    <xf numFmtId="0" fontId="20" fillId="0" borderId="49" xfId="84" applyFont="1" applyFill="1" applyBorder="1" applyAlignment="1">
      <alignment wrapText="1"/>
    </xf>
    <xf numFmtId="3" fontId="20" fillId="0" borderId="49" xfId="84" applyNumberFormat="1" applyFont="1" applyFill="1" applyBorder="1" applyAlignment="1">
      <alignment wrapText="1"/>
    </xf>
    <xf numFmtId="0" fontId="20" fillId="0" borderId="51" xfId="84" applyFont="1" applyBorder="1" applyAlignment="1">
      <alignment wrapText="1"/>
    </xf>
    <xf numFmtId="0" fontId="21" fillId="0" borderId="56" xfId="84" applyFont="1" applyBorder="1" applyAlignment="1">
      <alignment wrapText="1"/>
    </xf>
    <xf numFmtId="3" fontId="25" fillId="0" borderId="32" xfId="84" applyNumberFormat="1" applyFont="1" applyFill="1" applyBorder="1" applyAlignment="1">
      <alignment horizontal="right" wrapText="1"/>
    </xf>
    <xf numFmtId="3" fontId="26" fillId="0" borderId="32" xfId="84" applyNumberFormat="1" applyFont="1" applyFill="1" applyBorder="1" applyAlignment="1">
      <alignment horizontal="right" wrapText="1"/>
    </xf>
    <xf numFmtId="3" fontId="21" fillId="0" borderId="32" xfId="84" applyNumberFormat="1" applyFont="1" applyBorder="1" applyAlignment="1">
      <alignment horizontal="right"/>
    </xf>
    <xf numFmtId="3" fontId="21" fillId="0" borderId="32" xfId="84" applyNumberFormat="1" applyFont="1" applyBorder="1"/>
    <xf numFmtId="0" fontId="0" fillId="0" borderId="38" xfId="76" applyFont="1" applyBorder="1" applyAlignment="1">
      <alignment wrapText="1"/>
    </xf>
    <xf numFmtId="0" fontId="0" fillId="0" borderId="66" xfId="76" applyFont="1" applyBorder="1" applyAlignment="1">
      <alignment wrapText="1"/>
    </xf>
    <xf numFmtId="3" fontId="29" fillId="0" borderId="0" xfId="76" applyNumberFormat="1" applyFont="1" applyAlignment="1">
      <alignment horizontal="right"/>
    </xf>
    <xf numFmtId="3" fontId="20" fillId="0" borderId="32" xfId="76" applyNumberFormat="1" applyFont="1" applyBorder="1" applyAlignment="1">
      <alignment horizontal="right"/>
    </xf>
    <xf numFmtId="3" fontId="21" fillId="0" borderId="23" xfId="54" applyNumberFormat="1" applyFont="1" applyBorder="1" applyAlignment="1">
      <alignment horizontal="right"/>
    </xf>
    <xf numFmtId="3" fontId="21" fillId="0" borderId="23" xfId="54" applyNumberFormat="1" applyFont="1" applyBorder="1" applyAlignment="1">
      <alignment horizontal="right" wrapText="1"/>
    </xf>
    <xf numFmtId="3" fontId="21" fillId="0" borderId="26" xfId="54" applyNumberFormat="1" applyFont="1" applyBorder="1" applyAlignment="1">
      <alignment horizontal="right"/>
    </xf>
    <xf numFmtId="3" fontId="29" fillId="0" borderId="22" xfId="76" applyNumberFormat="1" applyFont="1" applyBorder="1" applyAlignment="1">
      <alignment horizontal="right"/>
    </xf>
    <xf numFmtId="3" fontId="20" fillId="0" borderId="68" xfId="76" applyNumberFormat="1" applyFont="1" applyBorder="1" applyAlignment="1">
      <alignment horizontal="right"/>
    </xf>
    <xf numFmtId="3" fontId="21" fillId="0" borderId="32" xfId="54" applyNumberFormat="1" applyFont="1" applyBorder="1" applyAlignment="1">
      <alignment horizontal="right"/>
    </xf>
    <xf numFmtId="3" fontId="22" fillId="0" borderId="0" xfId="76" applyNumberFormat="1" applyFont="1" applyBorder="1" applyAlignment="1">
      <alignment horizontal="right"/>
    </xf>
    <xf numFmtId="3" fontId="20" fillId="0" borderId="23" xfId="54" applyNumberFormat="1" applyFont="1" applyBorder="1" applyAlignment="1">
      <alignment horizontal="right"/>
    </xf>
    <xf numFmtId="3" fontId="21" fillId="0" borderId="23" xfId="76" applyNumberFormat="1" applyFont="1" applyBorder="1" applyAlignment="1">
      <alignment horizontal="right"/>
    </xf>
    <xf numFmtId="3" fontId="20" fillId="0" borderId="23" xfId="76" applyNumberFormat="1" applyFont="1" applyBorder="1" applyAlignment="1">
      <alignment horizontal="right"/>
    </xf>
    <xf numFmtId="3" fontId="21" fillId="0" borderId="26" xfId="76" applyNumberFormat="1" applyFont="1" applyBorder="1" applyAlignment="1">
      <alignment horizontal="right"/>
    </xf>
    <xf numFmtId="3" fontId="20" fillId="0" borderId="39" xfId="54" applyNumberFormat="1" applyFont="1" applyBorder="1" applyAlignment="1">
      <alignment horizontal="right"/>
    </xf>
    <xf numFmtId="3" fontId="20" fillId="0" borderId="19" xfId="54" applyNumberFormat="1" applyFont="1" applyBorder="1" applyAlignment="1">
      <alignment horizontal="right"/>
    </xf>
    <xf numFmtId="3" fontId="21" fillId="0" borderId="19" xfId="54" applyNumberFormat="1" applyFont="1" applyBorder="1" applyAlignment="1">
      <alignment horizontal="right"/>
    </xf>
    <xf numFmtId="3" fontId="21" fillId="0" borderId="32" xfId="76" applyNumberFormat="1" applyFont="1" applyBorder="1" applyAlignment="1">
      <alignment horizontal="right"/>
    </xf>
    <xf numFmtId="3" fontId="21" fillId="0" borderId="36" xfId="54" applyNumberFormat="1" applyFont="1" applyBorder="1" applyAlignment="1">
      <alignment horizontal="right"/>
    </xf>
    <xf numFmtId="3" fontId="29" fillId="0" borderId="65" xfId="54" applyNumberFormat="1" applyFont="1" applyBorder="1" applyAlignment="1">
      <alignment horizontal="right"/>
    </xf>
    <xf numFmtId="3" fontId="20" fillId="0" borderId="19" xfId="76" applyNumberFormat="1" applyFont="1" applyBorder="1" applyAlignment="1">
      <alignment horizontal="right"/>
    </xf>
    <xf numFmtId="3" fontId="20" fillId="0" borderId="32" xfId="54" applyNumberFormat="1" applyFont="1" applyBorder="1" applyAlignment="1">
      <alignment horizontal="right"/>
    </xf>
    <xf numFmtId="3" fontId="21" fillId="0" borderId="37" xfId="54" applyNumberFormat="1" applyFont="1" applyBorder="1" applyAlignment="1">
      <alignment horizontal="right"/>
    </xf>
    <xf numFmtId="3" fontId="22" fillId="0" borderId="66" xfId="54" applyNumberFormat="1" applyFont="1" applyBorder="1" applyAlignment="1">
      <alignment horizontal="right"/>
    </xf>
    <xf numFmtId="3" fontId="21" fillId="0" borderId="19" xfId="76" applyNumberFormat="1" applyFont="1" applyBorder="1" applyAlignment="1">
      <alignment horizontal="right"/>
    </xf>
    <xf numFmtId="3" fontId="21" fillId="0" borderId="19" xfId="76" applyNumberFormat="1" applyFont="1" applyBorder="1" applyAlignment="1">
      <alignment horizontal="right" wrapText="1"/>
    </xf>
    <xf numFmtId="3" fontId="21" fillId="0" borderId="23" xfId="76" applyNumberFormat="1" applyFont="1" applyBorder="1" applyAlignment="1">
      <alignment horizontal="right" wrapText="1"/>
    </xf>
    <xf numFmtId="3" fontId="21" fillId="0" borderId="36" xfId="76" applyNumberFormat="1" applyFont="1" applyBorder="1" applyAlignment="1">
      <alignment horizontal="right"/>
    </xf>
    <xf numFmtId="3" fontId="21" fillId="0" borderId="37" xfId="76" applyNumberFormat="1" applyFont="1" applyBorder="1" applyAlignment="1">
      <alignment horizontal="right"/>
    </xf>
    <xf numFmtId="3" fontId="26" fillId="0" borderId="32" xfId="72" applyNumberFormat="1" applyFont="1" applyFill="1" applyBorder="1" applyAlignment="1">
      <alignment horizontal="right"/>
    </xf>
    <xf numFmtId="3" fontId="26" fillId="0" borderId="23" xfId="72" applyNumberFormat="1" applyFont="1" applyFill="1" applyBorder="1" applyAlignment="1">
      <alignment horizontal="right"/>
    </xf>
    <xf numFmtId="3" fontId="26" fillId="0" borderId="23" xfId="76" applyNumberFormat="1" applyFont="1" applyBorder="1" applyAlignment="1">
      <alignment horizontal="right" wrapText="1"/>
    </xf>
    <xf numFmtId="3" fontId="25" fillId="0" borderId="26" xfId="72" applyNumberFormat="1" applyFont="1" applyBorder="1" applyAlignment="1">
      <alignment horizontal="right"/>
    </xf>
    <xf numFmtId="3" fontId="35" fillId="0" borderId="40" xfId="84" applyNumberFormat="1" applyFont="1" applyBorder="1" applyAlignment="1">
      <alignment horizontal="right" wrapText="1"/>
    </xf>
    <xf numFmtId="3" fontId="26" fillId="0" borderId="10" xfId="72" applyNumberFormat="1" applyFont="1" applyFill="1" applyBorder="1" applyAlignment="1">
      <alignment horizontal="right"/>
    </xf>
    <xf numFmtId="3" fontId="26" fillId="0" borderId="0" xfId="72" applyNumberFormat="1" applyFont="1" applyAlignment="1">
      <alignment horizontal="right"/>
    </xf>
    <xf numFmtId="3" fontId="25" fillId="0" borderId="69" xfId="84" applyNumberFormat="1" applyFont="1" applyFill="1" applyBorder="1" applyAlignment="1">
      <alignment horizontal="right" wrapText="1"/>
    </xf>
    <xf numFmtId="3" fontId="26" fillId="0" borderId="23" xfId="76" applyNumberFormat="1" applyFont="1" applyFill="1" applyBorder="1" applyAlignment="1">
      <alignment horizontal="right"/>
    </xf>
    <xf numFmtId="3" fontId="26" fillId="0" borderId="0" xfId="76" applyNumberFormat="1" applyFont="1" applyFill="1" applyBorder="1" applyAlignment="1">
      <alignment horizontal="right"/>
    </xf>
    <xf numFmtId="3" fontId="26" fillId="0" borderId="22" xfId="76" applyNumberFormat="1" applyFont="1" applyFill="1" applyBorder="1" applyAlignment="1">
      <alignment horizontal="right"/>
    </xf>
    <xf numFmtId="3" fontId="25" fillId="0" borderId="26" xfId="81" applyNumberFormat="1" applyFont="1" applyFill="1" applyBorder="1" applyAlignment="1">
      <alignment horizontal="right"/>
    </xf>
    <xf numFmtId="3" fontId="25" fillId="0" borderId="40" xfId="84" applyNumberFormat="1" applyFont="1" applyFill="1" applyBorder="1" applyAlignment="1">
      <alignment horizontal="right"/>
    </xf>
    <xf numFmtId="3" fontId="26" fillId="0" borderId="23" xfId="84" applyNumberFormat="1" applyFont="1" applyBorder="1" applyAlignment="1">
      <alignment horizontal="right"/>
    </xf>
    <xf numFmtId="3" fontId="29" fillId="29" borderId="32" xfId="84" applyNumberFormat="1" applyFont="1" applyFill="1" applyBorder="1" applyAlignment="1">
      <alignment horizontal="right" wrapText="1"/>
    </xf>
    <xf numFmtId="3" fontId="22" fillId="29" borderId="32" xfId="84" applyNumberFormat="1" applyFont="1" applyFill="1" applyBorder="1" applyAlignment="1">
      <alignment horizontal="right" wrapText="1"/>
    </xf>
    <xf numFmtId="3" fontId="21" fillId="29" borderId="69" xfId="84" applyNumberFormat="1" applyFont="1" applyFill="1" applyBorder="1" applyAlignment="1">
      <alignment horizontal="right" wrapText="1"/>
    </xf>
    <xf numFmtId="3" fontId="21" fillId="29" borderId="32" xfId="77" applyNumberFormat="1" applyFont="1" applyFill="1" applyBorder="1" applyAlignment="1">
      <alignment horizontal="right"/>
    </xf>
    <xf numFmtId="3" fontId="21" fillId="0" borderId="32" xfId="0" applyNumberFormat="1" applyFont="1" applyBorder="1" applyAlignment="1">
      <alignment horizontal="right"/>
    </xf>
    <xf numFmtId="3" fontId="20" fillId="0" borderId="32" xfId="0" applyNumberFormat="1" applyFont="1" applyBorder="1" applyAlignment="1">
      <alignment horizontal="right"/>
    </xf>
    <xf numFmtId="3" fontId="20" fillId="29" borderId="32" xfId="77" applyNumberFormat="1" applyFont="1" applyFill="1" applyBorder="1" applyAlignment="1">
      <alignment horizontal="right"/>
    </xf>
    <xf numFmtId="3" fontId="20" fillId="0" borderId="32" xfId="77" applyNumberFormat="1" applyFont="1" applyBorder="1"/>
    <xf numFmtId="3" fontId="20" fillId="0" borderId="32" xfId="77" applyNumberFormat="1" applyFont="1" applyFill="1" applyBorder="1"/>
    <xf numFmtId="3" fontId="21" fillId="0" borderId="32" xfId="77" applyNumberFormat="1" applyFont="1" applyBorder="1"/>
    <xf numFmtId="3" fontId="20" fillId="0" borderId="32" xfId="0" applyNumberFormat="1" applyFont="1" applyBorder="1"/>
    <xf numFmtId="3" fontId="21" fillId="29" borderId="32" xfId="77" applyNumberFormat="1" applyFont="1" applyFill="1" applyBorder="1"/>
    <xf numFmtId="3" fontId="21" fillId="0" borderId="32" xfId="0" applyNumberFormat="1" applyFont="1" applyBorder="1"/>
    <xf numFmtId="0" fontId="21" fillId="0" borderId="40" xfId="77" applyFont="1" applyFill="1" applyBorder="1" applyAlignment="1">
      <alignment horizontal="center" wrapText="1"/>
    </xf>
    <xf numFmtId="2" fontId="21" fillId="0" borderId="40" xfId="77" applyNumberFormat="1" applyFont="1" applyFill="1" applyBorder="1" applyAlignment="1">
      <alignment horizontal="center" wrapText="1"/>
    </xf>
    <xf numFmtId="3" fontId="21" fillId="0" borderId="32" xfId="77" applyNumberFormat="1" applyFont="1" applyFill="1" applyBorder="1"/>
    <xf numFmtId="3" fontId="21" fillId="0" borderId="37" xfId="77" applyNumberFormat="1" applyFont="1" applyFill="1" applyBorder="1"/>
    <xf numFmtId="2" fontId="21" fillId="0" borderId="40" xfId="77" applyNumberFormat="1" applyFont="1" applyFill="1" applyBorder="1" applyAlignment="1">
      <alignment vertical="center" wrapText="1"/>
    </xf>
    <xf numFmtId="0" fontId="21" fillId="0" borderId="40" xfId="77" applyFont="1" applyFill="1" applyBorder="1" applyAlignment="1">
      <alignment vertical="center"/>
    </xf>
    <xf numFmtId="0" fontId="21" fillId="29" borderId="40" xfId="77" applyFont="1" applyFill="1" applyBorder="1" applyAlignment="1">
      <alignment vertical="center"/>
    </xf>
    <xf numFmtId="0" fontId="21" fillId="0" borderId="39" xfId="77" applyFont="1" applyFill="1" applyBorder="1" applyAlignment="1">
      <alignment horizontal="center" wrapText="1"/>
    </xf>
    <xf numFmtId="3" fontId="20" fillId="0" borderId="70" xfId="84" applyNumberFormat="1" applyFont="1" applyBorder="1"/>
    <xf numFmtId="3" fontId="21" fillId="0" borderId="70" xfId="84" applyNumberFormat="1" applyFont="1" applyBorder="1"/>
    <xf numFmtId="3" fontId="21" fillId="0" borderId="71" xfId="84" applyNumberFormat="1" applyFont="1" applyBorder="1"/>
    <xf numFmtId="3" fontId="21" fillId="0" borderId="72" xfId="84" applyNumberFormat="1" applyFont="1" applyBorder="1"/>
    <xf numFmtId="3" fontId="25" fillId="0" borderId="69" xfId="84" applyNumberFormat="1" applyFont="1" applyFill="1" applyBorder="1" applyAlignment="1">
      <alignment horizontal="right"/>
    </xf>
    <xf numFmtId="0" fontId="20" fillId="0" borderId="41" xfId="73" applyFont="1" applyFill="1" applyBorder="1" applyAlignment="1">
      <alignment horizontal="left" vertical="center" wrapText="1"/>
    </xf>
    <xf numFmtId="0" fontId="26" fillId="0" borderId="0" xfId="0" applyFont="1" applyFill="1" applyAlignment="1">
      <alignment wrapText="1"/>
    </xf>
    <xf numFmtId="0" fontId="26" fillId="0" borderId="0" xfId="0" applyFont="1" applyFill="1"/>
    <xf numFmtId="0" fontId="29" fillId="0" borderId="0" xfId="0" applyFont="1"/>
    <xf numFmtId="0" fontId="26" fillId="0" borderId="0" xfId="0" applyFont="1" applyFill="1" applyAlignment="1">
      <alignment horizontal="left" wrapText="1"/>
    </xf>
    <xf numFmtId="0" fontId="26" fillId="0" borderId="0" xfId="0" applyFont="1" applyFill="1" applyAlignment="1">
      <alignment horizontal="right"/>
    </xf>
    <xf numFmtId="0" fontId="26" fillId="0" borderId="13" xfId="0" applyFont="1" applyFill="1" applyBorder="1" applyAlignment="1">
      <alignment horizontal="center" wrapText="1"/>
    </xf>
    <xf numFmtId="3" fontId="25" fillId="0" borderId="13" xfId="0" applyNumberFormat="1" applyFont="1" applyFill="1" applyBorder="1" applyAlignment="1">
      <alignment horizontal="left" wrapText="1"/>
    </xf>
    <xf numFmtId="3" fontId="25" fillId="0" borderId="13" xfId="0" applyNumberFormat="1" applyFont="1" applyFill="1" applyBorder="1" applyAlignment="1">
      <alignment horizontal="right" wrapText="1"/>
    </xf>
    <xf numFmtId="3" fontId="25" fillId="0" borderId="10" xfId="0" applyNumberFormat="1" applyFont="1" applyFill="1" applyBorder="1" applyAlignment="1">
      <alignment horizontal="left" wrapText="1"/>
    </xf>
    <xf numFmtId="3" fontId="25" fillId="0" borderId="10" xfId="0" applyNumberFormat="1" applyFont="1" applyFill="1" applyBorder="1" applyAlignment="1">
      <alignment horizontal="right" wrapText="1"/>
    </xf>
    <xf numFmtId="0" fontId="26" fillId="0" borderId="67" xfId="0" applyFont="1" applyFill="1" applyBorder="1" applyAlignment="1">
      <alignment wrapText="1"/>
    </xf>
    <xf numFmtId="3" fontId="26" fillId="0" borderId="67" xfId="0" applyNumberFormat="1" applyFont="1" applyFill="1" applyBorder="1"/>
    <xf numFmtId="0" fontId="26" fillId="0" borderId="10" xfId="0" applyFont="1" applyFill="1" applyBorder="1" applyAlignment="1">
      <alignment wrapText="1"/>
    </xf>
    <xf numFmtId="3" fontId="26" fillId="0" borderId="10" xfId="0" applyNumberFormat="1" applyFont="1" applyFill="1" applyBorder="1"/>
    <xf numFmtId="0" fontId="26" fillId="0" borderId="0" xfId="0" applyFont="1" applyAlignment="1">
      <alignment wrapText="1"/>
    </xf>
    <xf numFmtId="3" fontId="29" fillId="0" borderId="0" xfId="0" applyNumberFormat="1" applyFont="1"/>
    <xf numFmtId="0" fontId="27" fillId="0" borderId="10" xfId="0" applyFont="1" applyFill="1" applyBorder="1" applyAlignment="1">
      <alignment wrapText="1"/>
    </xf>
    <xf numFmtId="0" fontId="38" fillId="0" borderId="10" xfId="0" applyFont="1" applyFill="1" applyBorder="1" applyAlignment="1">
      <alignment wrapText="1"/>
    </xf>
    <xf numFmtId="3" fontId="27" fillId="0" borderId="10" xfId="0" applyNumberFormat="1" applyFont="1" applyFill="1" applyBorder="1"/>
    <xf numFmtId="0" fontId="34" fillId="0" borderId="0" xfId="0" applyFont="1"/>
    <xf numFmtId="0" fontId="25" fillId="0" borderId="10" xfId="0" applyFont="1" applyFill="1" applyBorder="1" applyAlignment="1">
      <alignment wrapText="1"/>
    </xf>
    <xf numFmtId="3" fontId="25" fillId="0" borderId="10" xfId="0" applyNumberFormat="1" applyFont="1" applyFill="1" applyBorder="1"/>
    <xf numFmtId="0" fontId="26" fillId="0" borderId="10" xfId="0" applyFont="1" applyFill="1" applyBorder="1"/>
    <xf numFmtId="0" fontId="25" fillId="0" borderId="13" xfId="0" applyFont="1" applyFill="1" applyBorder="1" applyAlignment="1">
      <alignment wrapText="1"/>
    </xf>
    <xf numFmtId="3" fontId="25" fillId="0" borderId="13" xfId="0" applyNumberFormat="1" applyFont="1" applyFill="1" applyBorder="1"/>
    <xf numFmtId="0" fontId="29" fillId="0" borderId="0" xfId="0" applyFont="1" applyAlignment="1">
      <alignment wrapText="1"/>
    </xf>
    <xf numFmtId="3" fontId="25" fillId="0" borderId="24" xfId="72" applyNumberFormat="1" applyFont="1" applyBorder="1" applyAlignment="1">
      <alignment horizontal="center" wrapText="1"/>
    </xf>
    <xf numFmtId="0" fontId="20" fillId="0" borderId="0" xfId="74" applyFont="1"/>
    <xf numFmtId="0" fontId="29" fillId="0" borderId="0" xfId="74" applyFont="1"/>
    <xf numFmtId="0" fontId="21" fillId="0" borderId="57" xfId="74" applyFont="1" applyBorder="1" applyAlignment="1">
      <alignment wrapText="1"/>
    </xf>
    <xf numFmtId="0" fontId="20" fillId="0" borderId="23" xfId="74" applyFont="1" applyBorder="1"/>
    <xf numFmtId="0" fontId="20" fillId="0" borderId="32" xfId="74" applyFont="1" applyBorder="1"/>
    <xf numFmtId="0" fontId="22" fillId="0" borderId="0" xfId="74" applyFont="1"/>
    <xf numFmtId="0" fontId="29" fillId="0" borderId="48" xfId="74" applyFont="1" applyBorder="1"/>
    <xf numFmtId="0" fontId="29" fillId="0" borderId="0" xfId="74" applyFont="1" applyBorder="1"/>
    <xf numFmtId="3" fontId="21" fillId="0" borderId="23" xfId="74" applyNumberFormat="1" applyFont="1" applyBorder="1"/>
    <xf numFmtId="3" fontId="20" fillId="0" borderId="23" xfId="74" applyNumberFormat="1" applyFont="1" applyBorder="1"/>
    <xf numFmtId="3" fontId="21" fillId="0" borderId="26" xfId="74" applyNumberFormat="1" applyFont="1" applyBorder="1"/>
    <xf numFmtId="3" fontId="29" fillId="0" borderId="0" xfId="74" applyNumberFormat="1" applyFont="1"/>
    <xf numFmtId="3" fontId="21" fillId="0" borderId="32" xfId="74" applyNumberFormat="1" applyFont="1" applyBorder="1"/>
    <xf numFmtId="0" fontId="22" fillId="0" borderId="0" xfId="74" applyFont="1" applyAlignment="1">
      <alignment horizontal="center"/>
    </xf>
    <xf numFmtId="0" fontId="22" fillId="0" borderId="0" xfId="74" applyFont="1" applyAlignment="1">
      <alignment horizontal="center" wrapText="1"/>
    </xf>
    <xf numFmtId="0" fontId="22" fillId="0" borderId="56" xfId="74" applyFont="1" applyBorder="1" applyAlignment="1">
      <alignment horizontal="center" vertical="center"/>
    </xf>
    <xf numFmtId="0" fontId="22" fillId="0" borderId="71" xfId="74" applyFont="1" applyBorder="1" applyAlignment="1">
      <alignment horizontal="center" vertical="center" wrapText="1"/>
    </xf>
    <xf numFmtId="3" fontId="20" fillId="0" borderId="19" xfId="74" applyNumberFormat="1" applyFont="1" applyBorder="1"/>
    <xf numFmtId="3" fontId="20" fillId="0" borderId="32" xfId="74" applyNumberFormat="1" applyFont="1" applyBorder="1"/>
    <xf numFmtId="0" fontId="29" fillId="0" borderId="49" xfId="74" applyFont="1" applyBorder="1"/>
    <xf numFmtId="0" fontId="42" fillId="0" borderId="49" xfId="74" applyFont="1" applyBorder="1" applyAlignment="1">
      <alignment wrapText="1"/>
    </xf>
    <xf numFmtId="0" fontId="22" fillId="0" borderId="49" xfId="74" applyFont="1" applyBorder="1"/>
    <xf numFmtId="0" fontId="41" fillId="0" borderId="49" xfId="74" applyFont="1" applyBorder="1" applyAlignment="1">
      <alignment wrapText="1"/>
    </xf>
    <xf numFmtId="3" fontId="21" fillId="0" borderId="19" xfId="74" applyNumberFormat="1" applyFont="1" applyBorder="1"/>
    <xf numFmtId="0" fontId="22" fillId="0" borderId="80" xfId="74" applyFont="1" applyBorder="1"/>
    <xf numFmtId="0" fontId="42" fillId="0" borderId="80" xfId="74" applyFont="1" applyBorder="1" applyAlignment="1">
      <alignment wrapText="1"/>
    </xf>
    <xf numFmtId="0" fontId="29" fillId="0" borderId="81" xfId="74" applyFont="1" applyBorder="1"/>
    <xf numFmtId="0" fontId="42" fillId="0" borderId="81" xfId="74" applyFont="1" applyBorder="1" applyAlignment="1">
      <alignment wrapText="1"/>
    </xf>
    <xf numFmtId="0" fontId="22" fillId="0" borderId="81" xfId="74" applyFont="1" applyBorder="1"/>
    <xf numFmtId="0" fontId="41" fillId="0" borderId="81" xfId="74" applyFont="1" applyBorder="1" applyAlignment="1">
      <alignment wrapText="1"/>
    </xf>
    <xf numFmtId="0" fontId="29" fillId="0" borderId="80" xfId="74" applyFont="1" applyBorder="1"/>
    <xf numFmtId="0" fontId="22" fillId="0" borderId="81" xfId="74" applyFont="1" applyBorder="1" applyAlignment="1">
      <alignment wrapText="1"/>
    </xf>
    <xf numFmtId="0" fontId="42" fillId="0" borderId="82" xfId="74" applyFont="1" applyBorder="1" applyAlignment="1">
      <alignment wrapText="1"/>
    </xf>
    <xf numFmtId="0" fontId="29" fillId="0" borderId="80" xfId="74" applyFont="1" applyBorder="1" applyAlignment="1">
      <alignment wrapText="1"/>
    </xf>
    <xf numFmtId="0" fontId="22" fillId="0" borderId="83" xfId="74" applyFont="1" applyBorder="1"/>
    <xf numFmtId="0" fontId="41" fillId="0" borderId="83" xfId="74" applyFont="1" applyBorder="1" applyAlignment="1">
      <alignment wrapText="1"/>
    </xf>
    <xf numFmtId="3" fontId="21" fillId="0" borderId="36" xfId="74" applyNumberFormat="1" applyFont="1" applyBorder="1"/>
    <xf numFmtId="0" fontId="29" fillId="0" borderId="0" xfId="74" applyFont="1" applyAlignment="1">
      <alignment wrapText="1"/>
    </xf>
    <xf numFmtId="3" fontId="21" fillId="0" borderId="0" xfId="74" applyNumberFormat="1" applyFont="1" applyAlignment="1">
      <alignment horizontal="center"/>
    </xf>
    <xf numFmtId="3" fontId="20" fillId="0" borderId="0" xfId="74" applyNumberFormat="1" applyFont="1"/>
    <xf numFmtId="3" fontId="20" fillId="0" borderId="0" xfId="0" applyNumberFormat="1" applyFont="1"/>
    <xf numFmtId="3" fontId="0" fillId="0" borderId="0" xfId="0" applyNumberFormat="1" applyFont="1"/>
    <xf numFmtId="3" fontId="0" fillId="0" borderId="14" xfId="0" applyNumberFormat="1" applyFont="1" applyFill="1" applyBorder="1"/>
    <xf numFmtId="0" fontId="20" fillId="0" borderId="0" xfId="75" applyFont="1" applyBorder="1"/>
    <xf numFmtId="3" fontId="20" fillId="0" borderId="0" xfId="75" applyNumberFormat="1" applyFont="1" applyBorder="1"/>
    <xf numFmtId="0" fontId="29" fillId="0" borderId="0" xfId="75"/>
    <xf numFmtId="3" fontId="21" fillId="0" borderId="0" xfId="75" applyNumberFormat="1" applyFont="1"/>
    <xf numFmtId="0" fontId="21" fillId="0" borderId="0" xfId="75" applyFont="1"/>
    <xf numFmtId="0" fontId="20" fillId="0" borderId="0" xfId="75" applyFont="1"/>
    <xf numFmtId="3" fontId="24" fillId="0" borderId="0" xfId="75" applyNumberFormat="1" applyFont="1" applyFill="1" applyAlignment="1"/>
    <xf numFmtId="3" fontId="24" fillId="0" borderId="10" xfId="75" applyNumberFormat="1" applyFont="1" applyFill="1" applyBorder="1" applyAlignment="1">
      <alignment horizontal="right"/>
    </xf>
    <xf numFmtId="0" fontId="24" fillId="0" borderId="10" xfId="75" applyFont="1" applyFill="1" applyBorder="1" applyAlignment="1">
      <alignment horizontal="right"/>
    </xf>
    <xf numFmtId="3" fontId="20" fillId="0" borderId="10" xfId="75" applyNumberFormat="1" applyFont="1" applyFill="1" applyBorder="1"/>
    <xf numFmtId="3" fontId="24" fillId="0" borderId="10" xfId="75" applyNumberFormat="1" applyFont="1" applyFill="1" applyBorder="1"/>
    <xf numFmtId="0" fontId="20" fillId="0" borderId="74" xfId="75" applyFont="1" applyFill="1" applyBorder="1" applyAlignment="1"/>
    <xf numFmtId="3" fontId="20" fillId="0" borderId="0" xfId="75" applyNumberFormat="1" applyFont="1"/>
    <xf numFmtId="0" fontId="26" fillId="0" borderId="0" xfId="0" applyFont="1"/>
    <xf numFmtId="0" fontId="40" fillId="0" borderId="31" xfId="84" applyFont="1" applyFill="1" applyBorder="1"/>
    <xf numFmtId="0" fontId="26" fillId="30" borderId="67" xfId="0" applyFont="1" applyFill="1" applyBorder="1" applyAlignment="1">
      <alignment wrapText="1"/>
    </xf>
    <xf numFmtId="3" fontId="26" fillId="30" borderId="10" xfId="0" applyNumberFormat="1" applyFont="1" applyFill="1" applyBorder="1"/>
    <xf numFmtId="0" fontId="26" fillId="30" borderId="10" xfId="0" applyFont="1" applyFill="1" applyBorder="1" applyAlignment="1">
      <alignment wrapText="1"/>
    </xf>
    <xf numFmtId="0" fontId="27" fillId="30" borderId="10" xfId="0" applyFont="1" applyFill="1" applyBorder="1" applyAlignment="1">
      <alignment wrapText="1"/>
    </xf>
    <xf numFmtId="3" fontId="27" fillId="30" borderId="10" xfId="0" applyNumberFormat="1" applyFont="1" applyFill="1" applyBorder="1"/>
    <xf numFmtId="0" fontId="21" fillId="0" borderId="25" xfId="76" applyFont="1" applyBorder="1" applyAlignment="1">
      <alignment wrapText="1"/>
    </xf>
    <xf numFmtId="0" fontId="21" fillId="0" borderId="59" xfId="76" applyFont="1" applyBorder="1" applyAlignment="1">
      <alignment wrapText="1"/>
    </xf>
    <xf numFmtId="3" fontId="20" fillId="0" borderId="86" xfId="76" applyNumberFormat="1" applyFont="1" applyBorder="1"/>
    <xf numFmtId="0" fontId="20" fillId="0" borderId="73" xfId="76" applyFont="1" applyBorder="1" applyAlignment="1">
      <alignment wrapText="1"/>
    </xf>
    <xf numFmtId="3" fontId="20" fillId="0" borderId="67" xfId="76" applyNumberFormat="1" applyFont="1" applyBorder="1"/>
    <xf numFmtId="0" fontId="20" fillId="29" borderId="87" xfId="84" applyFont="1" applyFill="1" applyBorder="1" applyAlignment="1">
      <alignment wrapText="1"/>
    </xf>
    <xf numFmtId="0" fontId="20" fillId="0" borderId="29" xfId="76" applyFont="1" applyBorder="1" applyAlignment="1">
      <alignment wrapText="1"/>
    </xf>
    <xf numFmtId="3" fontId="20" fillId="0" borderId="10" xfId="76" applyNumberFormat="1" applyFont="1" applyBorder="1"/>
    <xf numFmtId="3" fontId="20" fillId="0" borderId="86" xfId="76" applyNumberFormat="1" applyFont="1" applyBorder="1" applyAlignment="1">
      <alignment wrapText="1"/>
    </xf>
    <xf numFmtId="0" fontId="20" fillId="0" borderId="18" xfId="76" applyFont="1" applyBorder="1" applyAlignment="1">
      <alignment wrapText="1"/>
    </xf>
    <xf numFmtId="0" fontId="20" fillId="0" borderId="87" xfId="76" applyFont="1" applyBorder="1" applyAlignment="1">
      <alignment wrapText="1"/>
    </xf>
    <xf numFmtId="0" fontId="20" fillId="29" borderId="87" xfId="83" applyFont="1" applyFill="1" applyBorder="1" applyAlignment="1">
      <alignment wrapText="1"/>
    </xf>
    <xf numFmtId="164" fontId="20" fillId="0" borderId="29" xfId="76" applyNumberFormat="1" applyFont="1" applyBorder="1" applyAlignment="1">
      <alignment wrapText="1"/>
    </xf>
    <xf numFmtId="0" fontId="20" fillId="0" borderId="88" xfId="76" applyFont="1" applyBorder="1" applyAlignment="1">
      <alignment wrapText="1"/>
    </xf>
    <xf numFmtId="3" fontId="20" fillId="0" borderId="14" xfId="76" applyNumberFormat="1" applyFont="1" applyBorder="1"/>
    <xf numFmtId="0" fontId="21" fillId="0" borderId="87" xfId="76" applyFont="1" applyBorder="1" applyAlignment="1">
      <alignment wrapText="1"/>
    </xf>
    <xf numFmtId="0" fontId="21" fillId="0" borderId="30" xfId="76" applyFont="1" applyBorder="1" applyAlignment="1">
      <alignment wrapText="1"/>
    </xf>
    <xf numFmtId="0" fontId="21" fillId="0" borderId="29" xfId="76" applyFont="1" applyBorder="1" applyAlignment="1">
      <alignment wrapText="1"/>
    </xf>
    <xf numFmtId="0" fontId="21" fillId="0" borderId="18" xfId="76" applyFont="1" applyBorder="1" applyAlignment="1">
      <alignment wrapText="1"/>
    </xf>
    <xf numFmtId="0" fontId="20" fillId="0" borderId="89" xfId="76" applyFont="1" applyBorder="1" applyAlignment="1">
      <alignment wrapText="1"/>
    </xf>
    <xf numFmtId="164" fontId="20" fillId="0" borderId="87" xfId="76" applyNumberFormat="1" applyFont="1" applyBorder="1" applyAlignment="1">
      <alignment wrapText="1"/>
    </xf>
    <xf numFmtId="3" fontId="20" fillId="0" borderId="23" xfId="76" applyNumberFormat="1" applyFont="1" applyBorder="1" applyAlignment="1">
      <alignment wrapText="1"/>
    </xf>
    <xf numFmtId="164" fontId="20" fillId="0" borderId="30" xfId="76" applyNumberFormat="1" applyFont="1" applyBorder="1" applyAlignment="1">
      <alignment wrapText="1"/>
    </xf>
    <xf numFmtId="0" fontId="20" fillId="29" borderId="18" xfId="84" applyFont="1" applyFill="1" applyBorder="1" applyAlignment="1">
      <alignment wrapText="1"/>
    </xf>
    <xf numFmtId="3" fontId="20" fillId="0" borderId="23" xfId="76" applyNumberFormat="1" applyFont="1" applyFill="1" applyBorder="1"/>
    <xf numFmtId="3" fontId="20" fillId="0" borderId="33" xfId="76" applyNumberFormat="1" applyFont="1" applyBorder="1"/>
    <xf numFmtId="3" fontId="21" fillId="0" borderId="10" xfId="76" applyNumberFormat="1" applyFont="1" applyBorder="1"/>
    <xf numFmtId="3" fontId="21" fillId="0" borderId="12" xfId="76" applyNumberFormat="1" applyFont="1" applyBorder="1"/>
    <xf numFmtId="3" fontId="21" fillId="0" borderId="32" xfId="76" applyNumberFormat="1" applyFont="1" applyBorder="1"/>
    <xf numFmtId="3" fontId="21" fillId="0" borderId="90" xfId="76" applyNumberFormat="1" applyFont="1" applyBorder="1"/>
    <xf numFmtId="3" fontId="20" fillId="0" borderId="12" xfId="76" applyNumberFormat="1" applyFont="1" applyBorder="1"/>
    <xf numFmtId="3" fontId="20" fillId="0" borderId="32" xfId="76" applyNumberFormat="1" applyFont="1" applyBorder="1"/>
    <xf numFmtId="3" fontId="20" fillId="0" borderId="90" xfId="76" applyNumberFormat="1" applyFont="1" applyBorder="1"/>
    <xf numFmtId="3" fontId="20" fillId="0" borderId="13" xfId="76" applyNumberFormat="1" applyFont="1" applyBorder="1"/>
    <xf numFmtId="3" fontId="20" fillId="0" borderId="15" xfId="76" applyNumberFormat="1" applyFont="1" applyBorder="1"/>
    <xf numFmtId="3" fontId="20" fillId="0" borderId="53" xfId="76" applyNumberFormat="1" applyFont="1" applyBorder="1"/>
    <xf numFmtId="3" fontId="21" fillId="0" borderId="60" xfId="76" applyNumberFormat="1" applyFont="1" applyBorder="1"/>
    <xf numFmtId="3" fontId="21" fillId="0" borderId="61" xfId="76" applyNumberFormat="1" applyFont="1" applyBorder="1"/>
    <xf numFmtId="3" fontId="21" fillId="0" borderId="72" xfId="76" applyNumberFormat="1" applyFont="1" applyBorder="1"/>
    <xf numFmtId="3" fontId="21" fillId="0" borderId="91" xfId="76" applyNumberFormat="1" applyFont="1" applyBorder="1"/>
    <xf numFmtId="0" fontId="0" fillId="0" borderId="0" xfId="76" applyFont="1" applyAlignment="1">
      <alignment wrapText="1"/>
    </xf>
    <xf numFmtId="3" fontId="20" fillId="0" borderId="0" xfId="76" applyNumberFormat="1" applyFont="1"/>
    <xf numFmtId="3" fontId="20" fillId="0" borderId="92" xfId="76" applyNumberFormat="1" applyFont="1" applyBorder="1"/>
    <xf numFmtId="3" fontId="21" fillId="0" borderId="60" xfId="84" applyNumberFormat="1" applyFont="1" applyBorder="1" applyAlignment="1">
      <alignment horizontal="center" vertical="center" wrapText="1"/>
    </xf>
    <xf numFmtId="3" fontId="35" fillId="0" borderId="60" xfId="84" applyNumberFormat="1" applyFont="1" applyBorder="1" applyAlignment="1">
      <alignment horizontal="center" vertical="center" wrapText="1"/>
    </xf>
    <xf numFmtId="3" fontId="35" fillId="0" borderId="91" xfId="84" applyNumberFormat="1" applyFont="1" applyBorder="1" applyAlignment="1">
      <alignment horizontal="center" vertical="center" wrapText="1"/>
    </xf>
    <xf numFmtId="3" fontId="21" fillId="0" borderId="86" xfId="76" applyNumberFormat="1" applyFont="1" applyBorder="1"/>
    <xf numFmtId="3" fontId="21" fillId="0" borderId="92" xfId="76" applyNumberFormat="1" applyFont="1" applyBorder="1"/>
    <xf numFmtId="3" fontId="21" fillId="0" borderId="14" xfId="76" applyNumberFormat="1" applyFont="1" applyBorder="1"/>
    <xf numFmtId="3" fontId="20" fillId="0" borderId="75" xfId="76" applyNumberFormat="1" applyFont="1" applyBorder="1" applyAlignment="1">
      <alignment wrapText="1"/>
    </xf>
    <xf numFmtId="3" fontId="20" fillId="0" borderId="79" xfId="76" applyNumberFormat="1" applyFont="1" applyBorder="1" applyAlignment="1">
      <alignment wrapText="1"/>
    </xf>
    <xf numFmtId="3" fontId="22" fillId="0" borderId="0" xfId="76" applyNumberFormat="1" applyFont="1" applyBorder="1"/>
    <xf numFmtId="3" fontId="20" fillId="0" borderId="66" xfId="76" applyNumberFormat="1" applyFont="1" applyBorder="1"/>
    <xf numFmtId="3" fontId="20" fillId="0" borderId="85" xfId="76" applyNumberFormat="1" applyFont="1" applyBorder="1"/>
    <xf numFmtId="3" fontId="20" fillId="0" borderId="12" xfId="76" applyNumberFormat="1" applyFont="1" applyBorder="1" applyAlignment="1">
      <alignment wrapText="1"/>
    </xf>
    <xf numFmtId="3" fontId="20" fillId="0" borderId="90" xfId="76" applyNumberFormat="1" applyFont="1" applyBorder="1" applyAlignment="1">
      <alignment wrapText="1"/>
    </xf>
    <xf numFmtId="3" fontId="21" fillId="0" borderId="15" xfId="76" applyNumberFormat="1" applyFont="1" applyBorder="1"/>
    <xf numFmtId="3" fontId="21" fillId="0" borderId="93" xfId="76" applyNumberFormat="1" applyFont="1" applyBorder="1"/>
    <xf numFmtId="3" fontId="21" fillId="0" borderId="86" xfId="76" applyNumberFormat="1" applyFont="1" applyBorder="1" applyAlignment="1">
      <alignment wrapText="1"/>
    </xf>
    <xf numFmtId="3" fontId="21" fillId="0" borderId="92" xfId="76" applyNumberFormat="1" applyFont="1" applyBorder="1" applyAlignment="1">
      <alignment wrapText="1"/>
    </xf>
    <xf numFmtId="3" fontId="20" fillId="0" borderId="94" xfId="76" applyNumberFormat="1" applyFont="1" applyBorder="1"/>
    <xf numFmtId="3" fontId="20" fillId="0" borderId="95" xfId="76" applyNumberFormat="1" applyFont="1" applyBorder="1"/>
    <xf numFmtId="3" fontId="20" fillId="0" borderId="96" xfId="76" applyNumberFormat="1" applyFont="1" applyBorder="1"/>
    <xf numFmtId="3" fontId="20" fillId="0" borderId="97" xfId="76" applyNumberFormat="1" applyFont="1" applyBorder="1"/>
    <xf numFmtId="3" fontId="21" fillId="0" borderId="33" xfId="76" applyNumberFormat="1" applyFont="1" applyBorder="1"/>
    <xf numFmtId="3" fontId="20" fillId="0" borderId="98" xfId="76" applyNumberFormat="1" applyFont="1" applyBorder="1"/>
    <xf numFmtId="3" fontId="20" fillId="0" borderId="35" xfId="76" applyNumberFormat="1" applyFont="1" applyBorder="1"/>
    <xf numFmtId="3" fontId="21" fillId="0" borderId="23" xfId="76" applyNumberFormat="1" applyFont="1" applyBorder="1"/>
    <xf numFmtId="3" fontId="20" fillId="0" borderId="33" xfId="76" applyNumberFormat="1" applyFont="1" applyBorder="1" applyAlignment="1">
      <alignment wrapText="1"/>
    </xf>
    <xf numFmtId="3" fontId="21" fillId="0" borderId="99" xfId="76" applyNumberFormat="1" applyFont="1" applyBorder="1"/>
    <xf numFmtId="3" fontId="21" fillId="0" borderId="100" xfId="76" applyNumberFormat="1" applyFont="1" applyBorder="1"/>
    <xf numFmtId="3" fontId="21" fillId="0" borderId="101" xfId="76" applyNumberFormat="1" applyFont="1" applyBorder="1"/>
    <xf numFmtId="0" fontId="20" fillId="0" borderId="39" xfId="76" applyFont="1" applyBorder="1" applyAlignment="1">
      <alignment wrapText="1"/>
    </xf>
    <xf numFmtId="3" fontId="20" fillId="0" borderId="40" xfId="76" applyNumberFormat="1" applyFont="1" applyBorder="1"/>
    <xf numFmtId="3" fontId="20" fillId="0" borderId="69" xfId="76" applyNumberFormat="1" applyFont="1" applyBorder="1"/>
    <xf numFmtId="0" fontId="20" fillId="0" borderId="19" xfId="76" applyFont="1" applyBorder="1" applyAlignment="1">
      <alignment wrapText="1"/>
    </xf>
    <xf numFmtId="0" fontId="20" fillId="0" borderId="19" xfId="76" applyFont="1" applyFill="1" applyBorder="1" applyAlignment="1">
      <alignment wrapText="1"/>
    </xf>
    <xf numFmtId="0" fontId="21" fillId="0" borderId="19" xfId="76" applyFont="1" applyBorder="1" applyAlignment="1">
      <alignment wrapText="1"/>
    </xf>
    <xf numFmtId="0" fontId="20" fillId="0" borderId="36" xfId="76" applyFont="1" applyBorder="1" applyAlignment="1">
      <alignment wrapText="1"/>
    </xf>
    <xf numFmtId="3" fontId="20" fillId="0" borderId="26" xfId="76" applyNumberFormat="1" applyFont="1" applyBorder="1"/>
    <xf numFmtId="3" fontId="20" fillId="0" borderId="37" xfId="76" applyNumberFormat="1" applyFont="1" applyBorder="1"/>
    <xf numFmtId="0" fontId="21" fillId="0" borderId="89" xfId="76" applyFont="1" applyBorder="1" applyAlignment="1">
      <alignment wrapText="1"/>
    </xf>
    <xf numFmtId="0" fontId="21" fillId="0" borderId="102" xfId="76" applyFont="1" applyBorder="1" applyAlignment="1">
      <alignment wrapText="1"/>
    </xf>
    <xf numFmtId="0" fontId="21" fillId="0" borderId="84" xfId="76" applyFont="1" applyBorder="1" applyAlignment="1">
      <alignment wrapText="1"/>
    </xf>
    <xf numFmtId="0" fontId="29" fillId="30" borderId="0" xfId="74" applyFont="1" applyFill="1"/>
    <xf numFmtId="0" fontId="22" fillId="30" borderId="0" xfId="74" applyFont="1" applyFill="1"/>
    <xf numFmtId="0" fontId="29" fillId="30" borderId="48" xfId="74" applyFont="1" applyFill="1" applyBorder="1"/>
    <xf numFmtId="0" fontId="29" fillId="30" borderId="0" xfId="74" applyFont="1" applyFill="1" applyBorder="1"/>
    <xf numFmtId="3" fontId="20" fillId="0" borderId="23" xfId="79" applyNumberFormat="1" applyFont="1" applyBorder="1"/>
    <xf numFmtId="0" fontId="26" fillId="0" borderId="0" xfId="74" applyFont="1"/>
    <xf numFmtId="3" fontId="26" fillId="0" borderId="0" xfId="74" applyNumberFormat="1" applyFont="1"/>
    <xf numFmtId="0" fontId="26" fillId="30" borderId="0" xfId="74" applyFont="1" applyFill="1"/>
    <xf numFmtId="3" fontId="44" fillId="0" borderId="0" xfId="74" applyNumberFormat="1" applyFont="1"/>
    <xf numFmtId="0" fontId="21" fillId="0" borderId="0" xfId="74" applyFont="1" applyBorder="1" applyAlignment="1">
      <alignment horizontal="center" wrapText="1"/>
    </xf>
    <xf numFmtId="0" fontId="26" fillId="0" borderId="63" xfId="84" applyFont="1" applyBorder="1" applyAlignment="1">
      <alignment horizontal="left" wrapText="1"/>
    </xf>
    <xf numFmtId="3" fontId="26" fillId="0" borderId="66" xfId="84" applyNumberFormat="1" applyFont="1" applyBorder="1"/>
    <xf numFmtId="0" fontId="25" fillId="0" borderId="56" xfId="84" applyFont="1" applyBorder="1" applyAlignment="1">
      <alignment horizontal="center" vertical="center" wrapText="1"/>
    </xf>
    <xf numFmtId="3" fontId="35" fillId="0" borderId="24" xfId="84" applyNumberFormat="1" applyFont="1" applyBorder="1" applyAlignment="1">
      <alignment horizontal="center" vertical="center" wrapText="1"/>
    </xf>
    <xf numFmtId="0" fontId="22" fillId="0" borderId="58" xfId="84" applyFont="1" applyBorder="1" applyAlignment="1">
      <alignment horizontal="center" vertical="center" wrapText="1"/>
    </xf>
    <xf numFmtId="0" fontId="22" fillId="0" borderId="71" xfId="84" applyFont="1" applyBorder="1" applyAlignment="1">
      <alignment horizontal="center" vertical="center"/>
    </xf>
    <xf numFmtId="3" fontId="22" fillId="29" borderId="39" xfId="84" applyNumberFormat="1" applyFont="1" applyFill="1" applyBorder="1" applyAlignment="1">
      <alignment horizontal="right" wrapText="1"/>
    </xf>
    <xf numFmtId="3" fontId="34" fillId="29" borderId="36" xfId="84" applyNumberFormat="1" applyFont="1" applyFill="1" applyBorder="1" applyAlignment="1">
      <alignment horizontal="right" wrapText="1"/>
    </xf>
    <xf numFmtId="3" fontId="22" fillId="29" borderId="105" xfId="84" applyNumberFormat="1" applyFont="1" applyFill="1" applyBorder="1" applyAlignment="1">
      <alignment horizontal="right" wrapText="1"/>
    </xf>
    <xf numFmtId="3" fontId="22" fillId="29" borderId="69" xfId="84" applyNumberFormat="1" applyFont="1" applyFill="1" applyBorder="1" applyAlignment="1">
      <alignment horizontal="right" wrapText="1"/>
    </xf>
    <xf numFmtId="3" fontId="34" fillId="29" borderId="32" xfId="84" applyNumberFormat="1" applyFont="1" applyFill="1" applyBorder="1" applyAlignment="1">
      <alignment horizontal="right" wrapText="1"/>
    </xf>
    <xf numFmtId="3" fontId="34" fillId="29" borderId="37" xfId="84" applyNumberFormat="1" applyFont="1" applyFill="1" applyBorder="1" applyAlignment="1">
      <alignment horizontal="right" wrapText="1"/>
    </xf>
    <xf numFmtId="3" fontId="45" fillId="29" borderId="32" xfId="84" applyNumberFormat="1" applyFont="1" applyFill="1" applyBorder="1" applyAlignment="1">
      <alignment horizontal="right" wrapText="1"/>
    </xf>
    <xf numFmtId="3" fontId="29" fillId="29" borderId="37" xfId="84" applyNumberFormat="1" applyFont="1" applyFill="1" applyBorder="1" applyAlignment="1">
      <alignment horizontal="right" wrapText="1"/>
    </xf>
    <xf numFmtId="0" fontId="22" fillId="29" borderId="20" xfId="84" applyFont="1" applyFill="1" applyBorder="1" applyAlignment="1">
      <alignment wrapText="1"/>
    </xf>
    <xf numFmtId="0" fontId="29" fillId="29" borderId="16" xfId="83" applyFont="1" applyFill="1" applyBorder="1" applyAlignment="1">
      <alignment horizontal="left" wrapText="1"/>
    </xf>
    <xf numFmtId="3" fontId="35" fillId="0" borderId="64" xfId="84" applyNumberFormat="1" applyFont="1" applyBorder="1" applyAlignment="1">
      <alignment horizontal="center" vertical="center" wrapText="1"/>
    </xf>
    <xf numFmtId="0" fontId="22" fillId="0" borderId="106" xfId="84" applyFont="1" applyBorder="1" applyAlignment="1">
      <alignment horizontal="center" vertical="center" wrapText="1"/>
    </xf>
    <xf numFmtId="0" fontId="22" fillId="0" borderId="78" xfId="84" applyFont="1" applyBorder="1" applyAlignment="1">
      <alignment horizontal="center" vertical="center"/>
    </xf>
    <xf numFmtId="3" fontId="22" fillId="29" borderId="107" xfId="84" applyNumberFormat="1" applyFont="1" applyFill="1" applyBorder="1" applyAlignment="1">
      <alignment horizontal="right" wrapText="1"/>
    </xf>
    <xf numFmtId="3" fontId="22" fillId="29" borderId="108" xfId="84" applyNumberFormat="1" applyFont="1" applyFill="1" applyBorder="1" applyAlignment="1">
      <alignment horizontal="right" wrapText="1"/>
    </xf>
    <xf numFmtId="3" fontId="22" fillId="29" borderId="109" xfId="84" applyNumberFormat="1" applyFont="1" applyFill="1" applyBorder="1" applyAlignment="1">
      <alignment horizontal="right" wrapText="1"/>
    </xf>
    <xf numFmtId="3" fontId="29" fillId="29" borderId="110" xfId="84" applyNumberFormat="1" applyFont="1" applyFill="1" applyBorder="1" applyAlignment="1">
      <alignment horizontal="right" wrapText="1"/>
    </xf>
    <xf numFmtId="3" fontId="29" fillId="29" borderId="111" xfId="84" applyNumberFormat="1" applyFont="1" applyFill="1" applyBorder="1" applyAlignment="1">
      <alignment horizontal="right" wrapText="1"/>
    </xf>
    <xf numFmtId="3" fontId="22" fillId="29" borderId="110" xfId="84" applyNumberFormat="1" applyFont="1" applyFill="1" applyBorder="1" applyAlignment="1">
      <alignment horizontal="right" wrapText="1"/>
    </xf>
    <xf numFmtId="3" fontId="22" fillId="29" borderId="111" xfId="84" applyNumberFormat="1" applyFont="1" applyFill="1" applyBorder="1" applyAlignment="1">
      <alignment horizontal="right" wrapText="1"/>
    </xf>
    <xf numFmtId="0" fontId="29" fillId="29" borderId="34" xfId="83" applyFont="1" applyFill="1" applyBorder="1" applyAlignment="1">
      <alignment wrapText="1"/>
    </xf>
    <xf numFmtId="0" fontId="22" fillId="29" borderId="16" xfId="83" applyFont="1" applyFill="1" applyBorder="1" applyAlignment="1">
      <alignment wrapText="1"/>
    </xf>
    <xf numFmtId="0" fontId="22" fillId="29" borderId="34" xfId="83" applyFont="1" applyFill="1" applyBorder="1" applyAlignment="1">
      <alignment wrapText="1"/>
    </xf>
    <xf numFmtId="0" fontId="29" fillId="29" borderId="20" xfId="84" applyFont="1" applyFill="1" applyBorder="1" applyAlignment="1">
      <alignment wrapText="1"/>
    </xf>
    <xf numFmtId="0" fontId="29" fillId="29" borderId="34" xfId="84" applyFont="1" applyFill="1" applyBorder="1" applyAlignment="1">
      <alignment wrapText="1"/>
    </xf>
    <xf numFmtId="3" fontId="22" fillId="29" borderId="85" xfId="84" applyNumberFormat="1" applyFont="1" applyFill="1" applyBorder="1" applyAlignment="1">
      <alignment horizontal="right" wrapText="1"/>
    </xf>
    <xf numFmtId="4" fontId="29" fillId="29" borderId="23" xfId="84" applyNumberFormat="1" applyFont="1" applyFill="1" applyBorder="1" applyAlignment="1">
      <alignment horizontal="right" wrapText="1"/>
    </xf>
    <xf numFmtId="0" fontId="21" fillId="0" borderId="23" xfId="84" applyFont="1" applyBorder="1"/>
    <xf numFmtId="3" fontId="20" fillId="0" borderId="23" xfId="84" applyNumberFormat="1" applyFont="1" applyFill="1" applyBorder="1" applyAlignment="1">
      <alignment horizontal="right" wrapText="1"/>
    </xf>
    <xf numFmtId="3" fontId="21" fillId="0" borderId="23" xfId="84" applyNumberFormat="1" applyFont="1" applyFill="1" applyBorder="1" applyAlignment="1">
      <alignment horizontal="right" wrapText="1"/>
    </xf>
    <xf numFmtId="0" fontId="20" fillId="0" borderId="23" xfId="84" applyNumberFormat="1" applyFont="1" applyFill="1" applyBorder="1" applyAlignment="1">
      <alignment horizontal="right" wrapText="1"/>
    </xf>
    <xf numFmtId="0" fontId="21" fillId="0" borderId="23" xfId="84" applyFont="1" applyFill="1" applyBorder="1"/>
    <xf numFmtId="4" fontId="20" fillId="0" borderId="26" xfId="84" applyNumberFormat="1" applyFont="1" applyFill="1" applyBorder="1" applyAlignment="1">
      <alignment horizontal="right" wrapText="1"/>
    </xf>
    <xf numFmtId="3" fontId="20" fillId="29" borderId="26" xfId="84" applyNumberFormat="1" applyFont="1" applyFill="1" applyBorder="1" applyAlignment="1">
      <alignment horizontal="right" wrapText="1"/>
    </xf>
    <xf numFmtId="0" fontId="20" fillId="29" borderId="23" xfId="84" applyFont="1" applyFill="1" applyBorder="1"/>
    <xf numFmtId="0" fontId="20" fillId="29" borderId="23" xfId="84" applyFont="1" applyFill="1" applyBorder="1" applyAlignment="1">
      <alignment vertical="center" wrapText="1"/>
    </xf>
    <xf numFmtId="0" fontId="20" fillId="29" borderId="23" xfId="84" applyFont="1" applyFill="1" applyBorder="1" applyAlignment="1">
      <alignment vertical="center"/>
    </xf>
    <xf numFmtId="3" fontId="20" fillId="29" borderId="23" xfId="84" applyNumberFormat="1" applyFont="1" applyFill="1" applyBorder="1"/>
    <xf numFmtId="3" fontId="20" fillId="0" borderId="37" xfId="84" applyNumberFormat="1" applyFont="1" applyBorder="1" applyAlignment="1">
      <alignment horizontal="right"/>
    </xf>
    <xf numFmtId="3" fontId="21" fillId="0" borderId="37" xfId="84" applyNumberFormat="1" applyFont="1" applyBorder="1" applyAlignment="1">
      <alignment horizontal="right"/>
    </xf>
    <xf numFmtId="3" fontId="21" fillId="0" borderId="115" xfId="84" applyNumberFormat="1" applyFont="1" applyBorder="1"/>
    <xf numFmtId="3" fontId="20" fillId="0" borderId="36" xfId="84" applyNumberFormat="1" applyFont="1" applyBorder="1" applyAlignment="1">
      <alignment horizontal="right"/>
    </xf>
    <xf numFmtId="3" fontId="21" fillId="0" borderId="116" xfId="84" applyNumberFormat="1" applyFont="1" applyBorder="1"/>
    <xf numFmtId="3" fontId="21" fillId="0" borderId="71" xfId="84" applyNumberFormat="1" applyFont="1" applyBorder="1" applyAlignment="1">
      <alignment horizontal="right"/>
    </xf>
    <xf numFmtId="3" fontId="21" fillId="0" borderId="72" xfId="84" applyNumberFormat="1" applyFont="1" applyBorder="1" applyAlignment="1">
      <alignment horizontal="right"/>
    </xf>
    <xf numFmtId="3" fontId="20" fillId="0" borderId="98" xfId="84" applyNumberFormat="1" applyFont="1" applyBorder="1" applyAlignment="1">
      <alignment horizontal="right"/>
    </xf>
    <xf numFmtId="3" fontId="20" fillId="0" borderId="117" xfId="84" applyNumberFormat="1" applyFont="1" applyBorder="1" applyAlignment="1">
      <alignment horizontal="right"/>
    </xf>
    <xf numFmtId="3" fontId="20" fillId="0" borderId="44" xfId="84" applyNumberFormat="1" applyFont="1" applyBorder="1"/>
    <xf numFmtId="3" fontId="21" fillId="0" borderId="44" xfId="84" applyNumberFormat="1" applyFont="1" applyBorder="1"/>
    <xf numFmtId="3" fontId="20" fillId="0" borderId="50" xfId="84" applyNumberFormat="1" applyFont="1" applyBorder="1"/>
    <xf numFmtId="0" fontId="25" fillId="0" borderId="28" xfId="84" applyFont="1" applyFill="1" applyBorder="1" applyAlignment="1">
      <alignment horizontal="left" vertical="center" wrapText="1" indent="1"/>
    </xf>
    <xf numFmtId="0" fontId="25" fillId="0" borderId="16" xfId="84" applyFont="1" applyFill="1" applyBorder="1" applyAlignment="1">
      <alignment horizontal="left" vertical="center" wrapText="1" indent="2"/>
    </xf>
    <xf numFmtId="0" fontId="26" fillId="0" borderId="16" xfId="84" applyFont="1" applyFill="1" applyBorder="1"/>
    <xf numFmtId="0" fontId="26" fillId="0" borderId="16" xfId="84" applyFont="1" applyFill="1" applyBorder="1" applyAlignment="1">
      <alignment horizontal="left" vertical="center" wrapText="1" indent="2"/>
    </xf>
    <xf numFmtId="0" fontId="26" fillId="0" borderId="34" xfId="84" applyFont="1" applyFill="1" applyBorder="1" applyAlignment="1">
      <alignment horizontal="left" vertical="center" wrapText="1" indent="2"/>
    </xf>
    <xf numFmtId="0" fontId="25" fillId="0" borderId="21" xfId="84" applyFont="1" applyFill="1" applyBorder="1" applyAlignment="1">
      <alignment horizontal="left" vertical="center" wrapText="1" indent="1"/>
    </xf>
    <xf numFmtId="3" fontId="25" fillId="0" borderId="107" xfId="84" applyNumberFormat="1" applyFont="1" applyFill="1" applyBorder="1" applyAlignment="1">
      <alignment horizontal="right"/>
    </xf>
    <xf numFmtId="3" fontId="25" fillId="0" borderId="108" xfId="84" applyNumberFormat="1" applyFont="1" applyFill="1" applyBorder="1" applyAlignment="1">
      <alignment horizontal="right"/>
    </xf>
    <xf numFmtId="3" fontId="25" fillId="0" borderId="109" xfId="84" applyNumberFormat="1" applyFont="1" applyFill="1" applyBorder="1" applyAlignment="1">
      <alignment horizontal="right"/>
    </xf>
    <xf numFmtId="3" fontId="25" fillId="0" borderId="110" xfId="84" applyNumberFormat="1" applyFont="1" applyFill="1" applyBorder="1" applyAlignment="1">
      <alignment horizontal="right"/>
    </xf>
    <xf numFmtId="3" fontId="25" fillId="0" borderId="111" xfId="84" applyNumberFormat="1" applyFont="1" applyFill="1" applyBorder="1" applyAlignment="1">
      <alignment horizontal="right"/>
    </xf>
    <xf numFmtId="3" fontId="25" fillId="0" borderId="110" xfId="84" applyNumberFormat="1" applyFont="1" applyFill="1" applyBorder="1" applyAlignment="1">
      <alignment horizontal="right" wrapText="1"/>
    </xf>
    <xf numFmtId="3" fontId="26" fillId="0" borderId="110" xfId="84" applyNumberFormat="1" applyFont="1" applyFill="1" applyBorder="1" applyAlignment="1">
      <alignment horizontal="right"/>
    </xf>
    <xf numFmtId="3" fontId="26" fillId="0" borderId="111" xfId="84" applyNumberFormat="1" applyFont="1" applyFill="1" applyBorder="1" applyAlignment="1">
      <alignment horizontal="right"/>
    </xf>
    <xf numFmtId="3" fontId="25" fillId="0" borderId="112" xfId="84" applyNumberFormat="1" applyFont="1" applyFill="1" applyBorder="1" applyAlignment="1">
      <alignment horizontal="right" wrapText="1"/>
    </xf>
    <xf numFmtId="3" fontId="25" fillId="0" borderId="113" xfId="84" applyNumberFormat="1" applyFont="1" applyFill="1" applyBorder="1" applyAlignment="1">
      <alignment horizontal="right" wrapText="1"/>
    </xf>
    <xf numFmtId="0" fontId="26" fillId="0" borderId="34" xfId="83" applyFont="1" applyFill="1" applyBorder="1" applyAlignment="1">
      <alignment horizontal="left" vertical="center" wrapText="1"/>
    </xf>
    <xf numFmtId="0" fontId="20" fillId="0" borderId="44" xfId="84" applyFont="1" applyFill="1" applyBorder="1" applyAlignment="1">
      <alignment horizontal="left" wrapText="1" indent="2"/>
    </xf>
    <xf numFmtId="3" fontId="25" fillId="0" borderId="39" xfId="84" applyNumberFormat="1" applyFont="1" applyFill="1" applyBorder="1" applyAlignment="1">
      <alignment horizontal="right" wrapText="1"/>
    </xf>
    <xf numFmtId="3" fontId="25" fillId="0" borderId="40" xfId="84" applyNumberFormat="1" applyFont="1" applyFill="1" applyBorder="1" applyAlignment="1">
      <alignment horizontal="right" wrapText="1"/>
    </xf>
    <xf numFmtId="3" fontId="25" fillId="0" borderId="19" xfId="84" applyNumberFormat="1" applyFont="1" applyFill="1" applyBorder="1" applyAlignment="1">
      <alignment horizontal="right" wrapText="1"/>
    </xf>
    <xf numFmtId="3" fontId="26" fillId="0" borderId="19" xfId="84" applyNumberFormat="1" applyFont="1" applyFill="1" applyBorder="1" applyAlignment="1">
      <alignment horizontal="right" wrapText="1"/>
    </xf>
    <xf numFmtId="3" fontId="26" fillId="0" borderId="26" xfId="72" applyNumberFormat="1" applyFont="1" applyFill="1" applyBorder="1" applyAlignment="1">
      <alignment horizontal="right"/>
    </xf>
    <xf numFmtId="0" fontId="26" fillId="0" borderId="21" xfId="84" applyFont="1" applyFill="1" applyBorder="1" applyAlignment="1">
      <alignment horizontal="left" vertical="center" wrapText="1" indent="2"/>
    </xf>
    <xf numFmtId="3" fontId="26" fillId="0" borderId="110" xfId="84" applyNumberFormat="1" applyFont="1" applyFill="1" applyBorder="1" applyAlignment="1">
      <alignment horizontal="right" wrapText="1"/>
    </xf>
    <xf numFmtId="3" fontId="26" fillId="0" borderId="111" xfId="84" applyNumberFormat="1" applyFont="1" applyFill="1" applyBorder="1" applyAlignment="1">
      <alignment horizontal="right" wrapText="1"/>
    </xf>
    <xf numFmtId="3" fontId="26" fillId="0" borderId="112" xfId="84" applyNumberFormat="1" applyFont="1" applyFill="1" applyBorder="1" applyAlignment="1">
      <alignment horizontal="right" wrapText="1"/>
    </xf>
    <xf numFmtId="3" fontId="26" fillId="0" borderId="113" xfId="72" applyNumberFormat="1" applyFont="1" applyFill="1" applyBorder="1" applyAlignment="1">
      <alignment horizontal="right"/>
    </xf>
    <xf numFmtId="3" fontId="26" fillId="0" borderId="114" xfId="84" applyNumberFormat="1" applyFont="1" applyFill="1" applyBorder="1" applyAlignment="1">
      <alignment horizontal="right" wrapText="1"/>
    </xf>
    <xf numFmtId="3" fontId="26" fillId="0" borderId="118" xfId="72" applyNumberFormat="1" applyFont="1" applyFill="1" applyBorder="1" applyAlignment="1">
      <alignment horizontal="right"/>
    </xf>
    <xf numFmtId="0" fontId="26" fillId="0" borderId="44" xfId="84" applyFont="1" applyFill="1" applyBorder="1" applyAlignment="1">
      <alignment horizontal="left" vertical="center" wrapText="1"/>
    </xf>
    <xf numFmtId="0" fontId="25" fillId="0" borderId="16" xfId="84" applyFont="1" applyFill="1" applyBorder="1" applyAlignment="1">
      <alignment horizontal="left" vertical="center" wrapText="1" indent="1"/>
    </xf>
    <xf numFmtId="0" fontId="26" fillId="0" borderId="34" xfId="84" applyFont="1" applyFill="1" applyBorder="1" applyAlignment="1">
      <alignment horizontal="left" vertical="center" wrapText="1" indent="1"/>
    </xf>
    <xf numFmtId="0" fontId="26" fillId="0" borderId="16" xfId="84" applyFont="1" applyFill="1" applyBorder="1" applyAlignment="1">
      <alignment horizontal="left" vertical="center" wrapText="1" indent="1"/>
    </xf>
    <xf numFmtId="3" fontId="25" fillId="0" borderId="39" xfId="84" applyNumberFormat="1" applyFont="1" applyFill="1" applyBorder="1" applyAlignment="1">
      <alignment horizontal="right"/>
    </xf>
    <xf numFmtId="3" fontId="25" fillId="0" borderId="36" xfId="84" applyNumberFormat="1" applyFont="1" applyFill="1" applyBorder="1" applyAlignment="1">
      <alignment horizontal="right" wrapText="1"/>
    </xf>
    <xf numFmtId="0" fontId="25" fillId="0" borderId="44" xfId="81" applyFont="1" applyFill="1" applyBorder="1" applyAlignment="1">
      <alignment horizontal="left" vertical="center" wrapText="1"/>
    </xf>
    <xf numFmtId="0" fontId="25" fillId="0" borderId="45" xfId="81" applyFont="1" applyFill="1" applyBorder="1" applyAlignment="1">
      <alignment wrapText="1"/>
    </xf>
    <xf numFmtId="3" fontId="26" fillId="0" borderId="39" xfId="84" applyNumberFormat="1" applyFont="1" applyFill="1" applyBorder="1" applyAlignment="1">
      <alignment horizontal="right" wrapText="1"/>
    </xf>
    <xf numFmtId="3" fontId="26" fillId="0" borderId="69" xfId="84" applyNumberFormat="1" applyFont="1" applyFill="1" applyBorder="1" applyAlignment="1">
      <alignment horizontal="right" wrapText="1"/>
    </xf>
    <xf numFmtId="3" fontId="25" fillId="0" borderId="36" xfId="81" applyNumberFormat="1" applyFont="1" applyFill="1" applyBorder="1" applyAlignment="1">
      <alignment horizontal="right"/>
    </xf>
    <xf numFmtId="0" fontId="25" fillId="0" borderId="43" xfId="81" applyFont="1" applyFill="1" applyBorder="1" applyAlignment="1">
      <alignment horizontal="left" vertical="center" wrapText="1"/>
    </xf>
    <xf numFmtId="0" fontId="25" fillId="0" borderId="56" xfId="84" applyFont="1" applyFill="1" applyBorder="1" applyAlignment="1">
      <alignment horizontal="center" vertical="center" wrapText="1"/>
    </xf>
    <xf numFmtId="0" fontId="20" fillId="0" borderId="43" xfId="74" applyFont="1" applyBorder="1" applyAlignment="1">
      <alignment wrapText="1"/>
    </xf>
    <xf numFmtId="0" fontId="20" fillId="0" borderId="44" xfId="74" applyFont="1" applyBorder="1" applyAlignment="1">
      <alignment wrapText="1"/>
    </xf>
    <xf numFmtId="0" fontId="21" fillId="0" borderId="44" xfId="74" applyFont="1" applyBorder="1" applyAlignment="1">
      <alignment wrapText="1"/>
    </xf>
    <xf numFmtId="0" fontId="20" fillId="0" borderId="44" xfId="74" applyFont="1" applyFill="1" applyBorder="1" applyAlignment="1">
      <alignment wrapText="1"/>
    </xf>
    <xf numFmtId="0" fontId="20" fillId="0" borderId="44" xfId="69" applyFont="1" applyBorder="1" applyAlignment="1">
      <alignment wrapText="1"/>
    </xf>
    <xf numFmtId="0" fontId="20" fillId="0" borderId="20" xfId="69" applyFont="1" applyBorder="1" applyAlignment="1">
      <alignment wrapText="1"/>
    </xf>
    <xf numFmtId="0" fontId="21" fillId="0" borderId="119" xfId="74" applyFont="1" applyBorder="1" applyAlignment="1">
      <alignment wrapText="1"/>
    </xf>
    <xf numFmtId="0" fontId="20" fillId="0" borderId="40" xfId="74" applyFont="1" applyBorder="1"/>
    <xf numFmtId="0" fontId="20" fillId="0" borderId="69" xfId="74" applyFont="1" applyBorder="1"/>
    <xf numFmtId="0" fontId="20" fillId="0" borderId="16" xfId="74" applyFont="1" applyBorder="1" applyAlignment="1">
      <alignment wrapText="1"/>
    </xf>
    <xf numFmtId="0" fontId="20" fillId="0" borderId="44" xfId="79" applyFont="1" applyBorder="1" applyAlignment="1">
      <alignment wrapText="1"/>
    </xf>
    <xf numFmtId="3" fontId="21" fillId="0" borderId="23" xfId="84" applyNumberFormat="1" applyFont="1" applyBorder="1" applyAlignment="1">
      <alignment horizontal="center" vertical="center" wrapText="1"/>
    </xf>
    <xf numFmtId="0" fontId="21" fillId="0" borderId="45" xfId="74" applyFont="1" applyBorder="1" applyAlignment="1">
      <alignment wrapText="1"/>
    </xf>
    <xf numFmtId="3" fontId="25" fillId="0" borderId="43" xfId="72" applyNumberFormat="1" applyFont="1" applyBorder="1" applyAlignment="1">
      <alignment wrapText="1"/>
    </xf>
    <xf numFmtId="0" fontId="26" fillId="0" borderId="44" xfId="71" applyFont="1" applyFill="1" applyBorder="1" applyAlignment="1">
      <alignment wrapText="1"/>
    </xf>
    <xf numFmtId="0" fontId="26" fillId="0" borderId="44" xfId="76" applyFont="1" applyBorder="1" applyAlignment="1">
      <alignment horizontal="left" wrapText="1"/>
    </xf>
    <xf numFmtId="0" fontId="26" fillId="0" borderId="44" xfId="76" applyFont="1" applyFill="1" applyBorder="1" applyAlignment="1">
      <alignment horizontal="left" wrapText="1"/>
    </xf>
    <xf numFmtId="0" fontId="20" fillId="0" borderId="44" xfId="76" applyFont="1" applyFill="1" applyBorder="1" applyAlignment="1">
      <alignment horizontal="left" wrapText="1"/>
    </xf>
    <xf numFmtId="0" fontId="26" fillId="0" borderId="44" xfId="85" applyFont="1" applyFill="1" applyBorder="1" applyAlignment="1">
      <alignment wrapText="1"/>
    </xf>
    <xf numFmtId="0" fontId="26" fillId="0" borderId="20" xfId="76" applyFont="1" applyFill="1" applyBorder="1" applyAlignment="1">
      <alignment horizontal="left" wrapText="1"/>
    </xf>
    <xf numFmtId="0" fontId="20" fillId="0" borderId="20" xfId="76" applyFont="1" applyFill="1" applyBorder="1" applyAlignment="1">
      <alignment horizontal="left" wrapText="1"/>
    </xf>
    <xf numFmtId="0" fontId="26" fillId="0" borderId="44" xfId="0" applyFont="1" applyFill="1" applyBorder="1" applyAlignment="1">
      <alignment wrapText="1"/>
    </xf>
    <xf numFmtId="3" fontId="25" fillId="0" borderId="45" xfId="72" applyNumberFormat="1" applyFont="1" applyBorder="1" applyAlignment="1">
      <alignment wrapText="1"/>
    </xf>
    <xf numFmtId="3" fontId="25" fillId="0" borderId="40" xfId="72" applyNumberFormat="1" applyFont="1" applyBorder="1" applyAlignment="1">
      <alignment horizontal="right"/>
    </xf>
    <xf numFmtId="3" fontId="25" fillId="0" borderId="69" xfId="72" applyNumberFormat="1" applyFont="1" applyBorder="1" applyAlignment="1">
      <alignment horizontal="right"/>
    </xf>
    <xf numFmtId="3" fontId="25" fillId="0" borderId="32" xfId="72" applyNumberFormat="1" applyFont="1" applyFill="1" applyBorder="1" applyAlignment="1">
      <alignment horizontal="right"/>
    </xf>
    <xf numFmtId="0" fontId="26" fillId="0" borderId="16" xfId="76" applyFont="1" applyBorder="1" applyAlignment="1">
      <alignment horizontal="left" wrapText="1"/>
    </xf>
    <xf numFmtId="0" fontId="26" fillId="0" borderId="20" xfId="76" applyFont="1" applyBorder="1" applyAlignment="1">
      <alignment horizontal="left" wrapText="1"/>
    </xf>
    <xf numFmtId="0" fontId="20" fillId="0" borderId="44" xfId="84" applyFont="1" applyFill="1" applyBorder="1" applyAlignment="1">
      <alignment wrapText="1"/>
    </xf>
    <xf numFmtId="0" fontId="20" fillId="0" borderId="119" xfId="84" applyFont="1" applyFill="1" applyBorder="1" applyAlignment="1">
      <alignment wrapText="1"/>
    </xf>
    <xf numFmtId="3" fontId="20" fillId="30" borderId="44" xfId="69" applyNumberFormat="1" applyFont="1" applyFill="1" applyBorder="1" applyAlignment="1">
      <alignment wrapText="1"/>
    </xf>
    <xf numFmtId="3" fontId="26" fillId="0" borderId="16" xfId="72" applyNumberFormat="1" applyFont="1" applyFill="1" applyBorder="1" applyAlignment="1">
      <alignment wrapText="1"/>
    </xf>
    <xf numFmtId="3" fontId="25" fillId="0" borderId="16" xfId="72" applyNumberFormat="1" applyFont="1" applyBorder="1" applyAlignment="1">
      <alignment wrapText="1"/>
    </xf>
    <xf numFmtId="3" fontId="26" fillId="0" borderId="69" xfId="72" applyNumberFormat="1" applyFont="1" applyFill="1" applyBorder="1" applyAlignment="1">
      <alignment horizontal="right"/>
    </xf>
    <xf numFmtId="3" fontId="25" fillId="0" borderId="23" xfId="72" applyNumberFormat="1" applyFont="1" applyBorder="1" applyAlignment="1">
      <alignment horizontal="right"/>
    </xf>
    <xf numFmtId="3" fontId="26" fillId="0" borderId="37" xfId="72" applyNumberFormat="1" applyFont="1" applyFill="1" applyBorder="1" applyAlignment="1">
      <alignment horizontal="right"/>
    </xf>
    <xf numFmtId="3" fontId="25" fillId="0" borderId="37" xfId="72" applyNumberFormat="1" applyFont="1" applyFill="1" applyBorder="1" applyAlignment="1">
      <alignment horizontal="right"/>
    </xf>
    <xf numFmtId="0" fontId="25" fillId="0" borderId="43" xfId="76" applyFont="1" applyFill="1" applyBorder="1" applyAlignment="1">
      <alignment horizontal="left" vertical="center" wrapText="1"/>
    </xf>
    <xf numFmtId="0" fontId="26" fillId="0" borderId="20" xfId="76" applyFont="1" applyBorder="1" applyAlignment="1">
      <alignment wrapText="1"/>
    </xf>
    <xf numFmtId="3" fontId="20" fillId="0" borderId="16" xfId="72" applyNumberFormat="1" applyFont="1" applyFill="1" applyBorder="1" applyAlignment="1">
      <alignment wrapText="1"/>
    </xf>
    <xf numFmtId="0" fontId="26" fillId="0" borderId="120" xfId="76" applyFont="1" applyBorder="1" applyAlignment="1">
      <alignment wrapText="1"/>
    </xf>
    <xf numFmtId="0" fontId="26" fillId="0" borderId="16" xfId="76" applyFont="1" applyFill="1" applyBorder="1" applyAlignment="1">
      <alignment wrapText="1"/>
    </xf>
    <xf numFmtId="0" fontId="26" fillId="0" borderId="16" xfId="76" applyFont="1" applyFill="1" applyBorder="1" applyAlignment="1">
      <alignment horizontal="left" vertical="center" wrapText="1"/>
    </xf>
    <xf numFmtId="0" fontId="20" fillId="0" borderId="16" xfId="81" applyFont="1" applyFill="1" applyBorder="1" applyAlignment="1">
      <alignment wrapText="1"/>
    </xf>
    <xf numFmtId="0" fontId="26" fillId="0" borderId="16" xfId="76" applyFont="1" applyBorder="1" applyAlignment="1">
      <alignment wrapText="1"/>
    </xf>
    <xf numFmtId="0" fontId="20" fillId="0" borderId="44" xfId="0" applyFont="1" applyFill="1" applyBorder="1" applyAlignment="1">
      <alignment wrapText="1"/>
    </xf>
    <xf numFmtId="0" fontId="20" fillId="30" borderId="44" xfId="0" applyFont="1" applyFill="1" applyBorder="1" applyAlignment="1">
      <alignment wrapText="1"/>
    </xf>
    <xf numFmtId="0" fontId="20" fillId="0" borderId="20" xfId="76" applyFont="1" applyFill="1" applyBorder="1" applyAlignment="1">
      <alignment horizontal="left" vertical="center" wrapText="1"/>
    </xf>
    <xf numFmtId="3" fontId="26" fillId="0" borderId="28" xfId="72" applyNumberFormat="1" applyFont="1" applyFill="1" applyBorder="1" applyAlignment="1">
      <alignment wrapText="1"/>
    </xf>
    <xf numFmtId="3" fontId="26" fillId="0" borderId="34" xfId="72" applyNumberFormat="1" applyFont="1" applyFill="1" applyBorder="1" applyAlignment="1">
      <alignment wrapText="1"/>
    </xf>
    <xf numFmtId="3" fontId="26" fillId="0" borderId="109" xfId="72" applyNumberFormat="1" applyFont="1" applyFill="1" applyBorder="1" applyAlignment="1">
      <alignment horizontal="right"/>
    </xf>
    <xf numFmtId="3" fontId="26" fillId="0" borderId="111" xfId="72" applyNumberFormat="1" applyFont="1" applyFill="1" applyBorder="1" applyAlignment="1">
      <alignment horizontal="right"/>
    </xf>
    <xf numFmtId="3" fontId="26" fillId="0" borderId="121" xfId="72" applyNumberFormat="1" applyFont="1" applyFill="1" applyBorder="1" applyAlignment="1">
      <alignment horizontal="right"/>
    </xf>
    <xf numFmtId="3" fontId="25" fillId="0" borderId="20" xfId="72" applyNumberFormat="1" applyFont="1" applyBorder="1" applyAlignment="1">
      <alignment wrapText="1"/>
    </xf>
    <xf numFmtId="3" fontId="26" fillId="0" borderId="23" xfId="72" applyNumberFormat="1" applyFont="1" applyBorder="1" applyAlignment="1">
      <alignment horizontal="right"/>
    </xf>
    <xf numFmtId="3" fontId="20" fillId="0" borderId="40" xfId="54" applyNumberFormat="1" applyFont="1" applyBorder="1" applyAlignment="1">
      <alignment horizontal="right"/>
    </xf>
    <xf numFmtId="3" fontId="20" fillId="0" borderId="69" xfId="76" applyNumberFormat="1" applyFont="1" applyBorder="1" applyAlignment="1">
      <alignment horizontal="right"/>
    </xf>
    <xf numFmtId="3" fontId="20" fillId="0" borderId="23" xfId="54" applyNumberFormat="1" applyFont="1" applyBorder="1" applyAlignment="1">
      <alignment horizontal="right" wrapText="1"/>
    </xf>
    <xf numFmtId="3" fontId="20" fillId="0" borderId="23" xfId="76" applyNumberFormat="1" applyFont="1" applyBorder="1" applyAlignment="1">
      <alignment horizontal="right" wrapText="1"/>
    </xf>
    <xf numFmtId="3" fontId="20" fillId="0" borderId="69" xfId="54" applyNumberFormat="1" applyFont="1" applyBorder="1" applyAlignment="1">
      <alignment horizontal="right"/>
    </xf>
    <xf numFmtId="3" fontId="21" fillId="0" borderId="50" xfId="76" applyNumberFormat="1" applyFont="1" applyBorder="1" applyAlignment="1">
      <alignment horizontal="right"/>
    </xf>
    <xf numFmtId="3" fontId="21" fillId="0" borderId="37" xfId="84" applyNumberFormat="1" applyFont="1" applyBorder="1"/>
    <xf numFmtId="4" fontId="20" fillId="29" borderId="66" xfId="84" applyNumberFormat="1" applyFont="1" applyFill="1" applyBorder="1" applyAlignment="1">
      <alignment horizontal="right" wrapText="1"/>
    </xf>
    <xf numFmtId="3" fontId="20" fillId="0" borderId="44" xfId="84" applyNumberFormat="1" applyFont="1" applyBorder="1" applyAlignment="1">
      <alignment horizontal="right"/>
    </xf>
    <xf numFmtId="3" fontId="21" fillId="0" borderId="124" xfId="84" applyNumberFormat="1" applyFont="1" applyBorder="1"/>
    <xf numFmtId="3" fontId="29" fillId="29" borderId="44" xfId="84" applyNumberFormat="1" applyFont="1" applyFill="1" applyBorder="1" applyAlignment="1">
      <alignment horizontal="right" wrapText="1"/>
    </xf>
    <xf numFmtId="4" fontId="20" fillId="29" borderId="32" xfId="84" applyNumberFormat="1" applyFont="1" applyFill="1" applyBorder="1" applyAlignment="1">
      <alignment horizontal="right" wrapText="1"/>
    </xf>
    <xf numFmtId="3" fontId="21" fillId="29" borderId="44" xfId="84" applyNumberFormat="1" applyFont="1" applyFill="1" applyBorder="1" applyAlignment="1">
      <alignment horizontal="right" wrapText="1"/>
    </xf>
    <xf numFmtId="3" fontId="20" fillId="29" borderId="33" xfId="84" applyNumberFormat="1" applyFont="1" applyFill="1" applyBorder="1" applyAlignment="1">
      <alignment horizontal="right" wrapText="1"/>
    </xf>
    <xf numFmtId="4" fontId="20" fillId="29" borderId="33" xfId="84" applyNumberFormat="1" applyFont="1" applyFill="1" applyBorder="1" applyAlignment="1">
      <alignment horizontal="right" wrapText="1"/>
    </xf>
    <xf numFmtId="4" fontId="20" fillId="0" borderId="33" xfId="84" applyNumberFormat="1" applyFont="1" applyFill="1" applyBorder="1" applyAlignment="1">
      <alignment horizontal="right" wrapText="1"/>
    </xf>
    <xf numFmtId="4" fontId="20" fillId="29" borderId="37" xfId="84" applyNumberFormat="1" applyFont="1" applyFill="1" applyBorder="1" applyAlignment="1">
      <alignment horizontal="right" wrapText="1"/>
    </xf>
    <xf numFmtId="3" fontId="20" fillId="29" borderId="0" xfId="84" applyNumberFormat="1" applyFont="1" applyFill="1" applyBorder="1" applyAlignment="1">
      <alignment horizontal="right" wrapText="1"/>
    </xf>
    <xf numFmtId="4" fontId="20" fillId="29" borderId="0" xfId="84" applyNumberFormat="1" applyFont="1" applyFill="1" applyBorder="1" applyAlignment="1">
      <alignment horizontal="right" wrapText="1"/>
    </xf>
    <xf numFmtId="4" fontId="20" fillId="29" borderId="125" xfId="84" applyNumberFormat="1" applyFont="1" applyFill="1" applyBorder="1" applyAlignment="1">
      <alignment horizontal="right" wrapText="1"/>
    </xf>
    <xf numFmtId="4" fontId="20" fillId="29" borderId="40" xfId="84" applyNumberFormat="1" applyFont="1" applyFill="1" applyBorder="1" applyAlignment="1">
      <alignment horizontal="right" wrapText="1"/>
    </xf>
    <xf numFmtId="4" fontId="29" fillId="29" borderId="32" xfId="84" applyNumberFormat="1" applyFont="1" applyFill="1" applyBorder="1" applyAlignment="1">
      <alignment horizontal="right" wrapText="1"/>
    </xf>
    <xf numFmtId="4" fontId="29" fillId="29" borderId="37" xfId="84" applyNumberFormat="1" applyFont="1" applyFill="1" applyBorder="1" applyAlignment="1">
      <alignment horizontal="right" wrapText="1"/>
    </xf>
    <xf numFmtId="3" fontId="29" fillId="29" borderId="126" xfId="84" applyNumberFormat="1" applyFont="1" applyFill="1" applyBorder="1" applyAlignment="1">
      <alignment horizontal="right" wrapText="1"/>
    </xf>
    <xf numFmtId="3" fontId="22" fillId="29" borderId="126" xfId="84" applyNumberFormat="1" applyFont="1" applyFill="1" applyBorder="1" applyAlignment="1">
      <alignment horizontal="right" wrapText="1"/>
    </xf>
    <xf numFmtId="3" fontId="29" fillId="29" borderId="127" xfId="84" applyNumberFormat="1" applyFont="1" applyFill="1" applyBorder="1" applyAlignment="1">
      <alignment horizontal="right" wrapText="1"/>
    </xf>
    <xf numFmtId="3" fontId="22" fillId="29" borderId="127" xfId="84" applyNumberFormat="1" applyFont="1" applyFill="1" applyBorder="1" applyAlignment="1">
      <alignment horizontal="right" wrapText="1"/>
    </xf>
    <xf numFmtId="0" fontId="20" fillId="0" borderId="22" xfId="77" applyFont="1" applyBorder="1"/>
    <xf numFmtId="0" fontId="20" fillId="0" borderId="0" xfId="77" applyNumberFormat="1" applyFont="1" applyBorder="1"/>
    <xf numFmtId="0" fontId="20" fillId="0" borderId="0" xfId="77" applyFont="1" applyBorder="1"/>
    <xf numFmtId="2" fontId="20" fillId="0" borderId="0" xfId="77" applyNumberFormat="1" applyFont="1" applyBorder="1"/>
    <xf numFmtId="0" fontId="20" fillId="0" borderId="0" xfId="77" applyFont="1" applyFill="1" applyBorder="1"/>
    <xf numFmtId="3" fontId="0" fillId="0" borderId="0" xfId="0" applyNumberFormat="1" applyFill="1"/>
    <xf numFmtId="0" fontId="21" fillId="0" borderId="39" xfId="77" applyNumberFormat="1" applyFont="1" applyFill="1" applyBorder="1" applyAlignment="1">
      <alignment horizontal="center" wrapText="1"/>
    </xf>
    <xf numFmtId="0" fontId="21" fillId="0" borderId="135" xfId="77" applyFont="1" applyFill="1" applyBorder="1" applyAlignment="1">
      <alignment horizontal="center" vertical="center"/>
    </xf>
    <xf numFmtId="0" fontId="20" fillId="0" borderId="44" xfId="77" applyFont="1" applyFill="1" applyBorder="1" applyAlignment="1">
      <alignment horizontal="center"/>
    </xf>
    <xf numFmtId="0" fontId="20" fillId="0" borderId="19" xfId="77" applyNumberFormat="1" applyFont="1" applyFill="1" applyBorder="1" applyAlignment="1">
      <alignment horizontal="center"/>
    </xf>
    <xf numFmtId="3" fontId="20" fillId="0" borderId="33" xfId="77" applyNumberFormat="1" applyFont="1" applyFill="1" applyBorder="1" applyAlignment="1">
      <alignment vertical="center"/>
    </xf>
    <xf numFmtId="3" fontId="20" fillId="0" borderId="23" xfId="0" applyNumberFormat="1" applyFont="1" applyFill="1" applyBorder="1"/>
    <xf numFmtId="3" fontId="20" fillId="0" borderId="32" xfId="0" applyNumberFormat="1" applyFont="1" applyFill="1" applyBorder="1"/>
    <xf numFmtId="3" fontId="20" fillId="0" borderId="33" xfId="77" applyNumberFormat="1" applyFont="1" applyFill="1" applyBorder="1"/>
    <xf numFmtId="0" fontId="21" fillId="0" borderId="44" xfId="77" applyFont="1" applyFill="1" applyBorder="1" applyAlignment="1">
      <alignment horizontal="center"/>
    </xf>
    <xf numFmtId="0" fontId="21" fillId="0" borderId="19" xfId="77" applyNumberFormat="1" applyFont="1" applyFill="1" applyBorder="1" applyAlignment="1">
      <alignment horizontal="center"/>
    </xf>
    <xf numFmtId="3" fontId="21" fillId="0" borderId="33" xfId="77" applyNumberFormat="1" applyFont="1" applyFill="1" applyBorder="1"/>
    <xf numFmtId="3" fontId="21" fillId="0" borderId="23" xfId="0" applyNumberFormat="1" applyFont="1" applyFill="1" applyBorder="1"/>
    <xf numFmtId="3" fontId="21" fillId="0" borderId="32" xfId="0" applyNumberFormat="1" applyFont="1" applyFill="1" applyBorder="1"/>
    <xf numFmtId="0" fontId="21" fillId="0" borderId="44" xfId="77" applyFont="1" applyFill="1" applyBorder="1" applyAlignment="1">
      <alignment horizontal="center" wrapText="1"/>
    </xf>
    <xf numFmtId="0" fontId="20" fillId="0" borderId="31" xfId="77" applyFont="1" applyFill="1" applyBorder="1" applyAlignment="1">
      <alignment wrapText="1"/>
    </xf>
    <xf numFmtId="3" fontId="21" fillId="0" borderId="33" xfId="77" applyNumberFormat="1" applyFont="1" applyFill="1" applyBorder="1" applyAlignment="1"/>
    <xf numFmtId="0" fontId="20" fillId="0" borderId="33" xfId="77" applyFont="1" applyFill="1" applyBorder="1"/>
    <xf numFmtId="3" fontId="24" fillId="0" borderId="33" xfId="77" applyNumberFormat="1" applyFont="1" applyFill="1" applyBorder="1"/>
    <xf numFmtId="0" fontId="21" fillId="0" borderId="44" xfId="77" applyFont="1" applyBorder="1"/>
    <xf numFmtId="0" fontId="20" fillId="0" borderId="44" xfId="77" applyFont="1" applyBorder="1"/>
    <xf numFmtId="3" fontId="23" fillId="0" borderId="33" xfId="77" applyNumberFormat="1" applyFont="1" applyFill="1" applyBorder="1"/>
    <xf numFmtId="0" fontId="21" fillId="0" borderId="36" xfId="77" applyFont="1" applyFill="1" applyBorder="1" applyAlignment="1">
      <alignment horizontal="center"/>
    </xf>
    <xf numFmtId="0" fontId="21" fillId="0" borderId="26" xfId="77" applyFont="1" applyFill="1" applyBorder="1"/>
    <xf numFmtId="2" fontId="21" fillId="0" borderId="26" xfId="77" applyNumberFormat="1" applyFont="1" applyFill="1" applyBorder="1"/>
    <xf numFmtId="3" fontId="21" fillId="0" borderId="26" xfId="77" applyNumberFormat="1" applyFont="1" applyFill="1" applyBorder="1"/>
    <xf numFmtId="3" fontId="21" fillId="0" borderId="117" xfId="77" applyNumberFormat="1" applyFont="1" applyFill="1" applyBorder="1"/>
    <xf numFmtId="0" fontId="21" fillId="0" borderId="105" xfId="77" applyNumberFormat="1" applyFont="1" applyFill="1" applyBorder="1" applyAlignment="1">
      <alignment horizontal="center" wrapText="1"/>
    </xf>
    <xf numFmtId="0" fontId="20" fillId="0" borderId="44" xfId="77" applyNumberFormat="1" applyFont="1" applyFill="1" applyBorder="1" applyAlignment="1">
      <alignment horizontal="center"/>
    </xf>
    <xf numFmtId="0" fontId="21" fillId="0" borderId="19" xfId="77" applyFont="1" applyFill="1" applyBorder="1" applyAlignment="1">
      <alignment wrapText="1"/>
    </xf>
    <xf numFmtId="0" fontId="20" fillId="0" borderId="19" xfId="0" applyFont="1" applyBorder="1" applyAlignment="1">
      <alignment wrapText="1"/>
    </xf>
    <xf numFmtId="0" fontId="20" fillId="0" borderId="50" xfId="77" applyFont="1" applyBorder="1"/>
    <xf numFmtId="0" fontId="20" fillId="0" borderId="50" xfId="77" applyNumberFormat="1" applyFont="1" applyFill="1" applyBorder="1" applyAlignment="1">
      <alignment horizontal="center"/>
    </xf>
    <xf numFmtId="0" fontId="21" fillId="0" borderId="36" xfId="77" applyFont="1" applyFill="1" applyBorder="1" applyAlignment="1">
      <alignment wrapText="1"/>
    </xf>
    <xf numFmtId="0" fontId="20" fillId="0" borderId="134" xfId="77" applyFont="1" applyFill="1" applyBorder="1" applyAlignment="1">
      <alignment horizontal="center"/>
    </xf>
    <xf numFmtId="0" fontId="20" fillId="0" borderId="0" xfId="0" applyFont="1" applyBorder="1"/>
    <xf numFmtId="0" fontId="20" fillId="0" borderId="0" xfId="77" applyFont="1" applyFill="1" applyBorder="1" applyAlignment="1">
      <alignment horizontal="center"/>
    </xf>
    <xf numFmtId="0" fontId="21" fillId="0" borderId="63" xfId="77" applyFont="1" applyFill="1" applyBorder="1"/>
    <xf numFmtId="0" fontId="21" fillId="0" borderId="66" xfId="77" applyFont="1" applyFill="1" applyBorder="1"/>
    <xf numFmtId="3" fontId="21" fillId="0" borderId="66" xfId="77" applyNumberFormat="1" applyFont="1" applyFill="1" applyBorder="1"/>
    <xf numFmtId="3" fontId="21" fillId="29" borderId="66" xfId="77" applyNumberFormat="1" applyFont="1" applyFill="1" applyBorder="1"/>
    <xf numFmtId="3" fontId="21" fillId="29" borderId="35" xfId="77" applyNumberFormat="1" applyFont="1" applyFill="1" applyBorder="1" applyAlignment="1">
      <alignment horizontal="right"/>
    </xf>
    <xf numFmtId="3" fontId="21" fillId="29" borderId="85" xfId="77" applyNumberFormat="1" applyFont="1" applyFill="1" applyBorder="1" applyAlignment="1">
      <alignment horizontal="right"/>
    </xf>
    <xf numFmtId="3" fontId="21" fillId="29" borderId="33" xfId="77" applyNumberFormat="1" applyFont="1" applyFill="1" applyBorder="1" applyAlignment="1">
      <alignment horizontal="right"/>
    </xf>
    <xf numFmtId="3" fontId="21" fillId="0" borderId="33" xfId="0" applyNumberFormat="1" applyFont="1" applyBorder="1" applyAlignment="1">
      <alignment horizontal="right"/>
    </xf>
    <xf numFmtId="3" fontId="20" fillId="0" borderId="33" xfId="0" applyNumberFormat="1" applyFont="1" applyBorder="1" applyAlignment="1">
      <alignment horizontal="right"/>
    </xf>
    <xf numFmtId="3" fontId="20" fillId="29" borderId="33" xfId="77" applyNumberFormat="1" applyFont="1" applyFill="1" applyBorder="1" applyAlignment="1">
      <alignment horizontal="right"/>
    </xf>
    <xf numFmtId="3" fontId="20" fillId="0" borderId="33" xfId="77" applyNumberFormat="1" applyFont="1" applyBorder="1"/>
    <xf numFmtId="3" fontId="21" fillId="0" borderId="33" xfId="77" applyNumberFormat="1" applyFont="1" applyBorder="1"/>
    <xf numFmtId="3" fontId="20" fillId="0" borderId="33" xfId="0" applyNumberFormat="1" applyFont="1" applyBorder="1"/>
    <xf numFmtId="3" fontId="21" fillId="29" borderId="33" xfId="77" applyNumberFormat="1" applyFont="1" applyFill="1" applyBorder="1"/>
    <xf numFmtId="3" fontId="20" fillId="29" borderId="33" xfId="77" applyNumberFormat="1" applyFont="1" applyFill="1" applyBorder="1"/>
    <xf numFmtId="0" fontId="20" fillId="0" borderId="36" xfId="0" applyFont="1" applyBorder="1"/>
    <xf numFmtId="3" fontId="20" fillId="29" borderId="26" xfId="77" applyNumberFormat="1" applyFont="1" applyFill="1" applyBorder="1"/>
    <xf numFmtId="3" fontId="20" fillId="29" borderId="66" xfId="77" applyNumberFormat="1" applyFont="1" applyFill="1" applyBorder="1"/>
    <xf numFmtId="0" fontId="20" fillId="0" borderId="33" xfId="77" applyFont="1" applyBorder="1"/>
    <xf numFmtId="3" fontId="21" fillId="0" borderId="33" xfId="0" applyNumberFormat="1" applyFont="1" applyBorder="1"/>
    <xf numFmtId="0" fontId="0" fillId="0" borderId="17" xfId="0" applyFont="1" applyBorder="1"/>
    <xf numFmtId="3" fontId="21" fillId="0" borderId="117" xfId="77" applyNumberFormat="1" applyFont="1" applyBorder="1"/>
    <xf numFmtId="3" fontId="20" fillId="0" borderId="0" xfId="0" applyNumberFormat="1" applyFont="1" applyFill="1"/>
    <xf numFmtId="3" fontId="21" fillId="0" borderId="40" xfId="0" applyNumberFormat="1" applyFont="1" applyFill="1" applyBorder="1" applyAlignment="1">
      <alignment shrinkToFit="1"/>
    </xf>
    <xf numFmtId="3" fontId="21" fillId="0" borderId="69" xfId="0" applyNumberFormat="1" applyFont="1" applyFill="1" applyBorder="1" applyAlignment="1">
      <alignment wrapText="1"/>
    </xf>
    <xf numFmtId="3" fontId="20" fillId="0" borderId="33" xfId="0" applyNumberFormat="1" applyFont="1" applyFill="1" applyBorder="1"/>
    <xf numFmtId="3" fontId="21" fillId="0" borderId="26" xfId="0" applyNumberFormat="1" applyFont="1" applyFill="1" applyBorder="1"/>
    <xf numFmtId="3" fontId="20" fillId="0" borderId="66" xfId="0" applyNumberFormat="1" applyFont="1" applyBorder="1"/>
    <xf numFmtId="3" fontId="20" fillId="0" borderId="23" xfId="0" applyNumberFormat="1" applyFont="1" applyBorder="1"/>
    <xf numFmtId="3" fontId="20" fillId="0" borderId="26" xfId="0" applyNumberFormat="1" applyFont="1" applyBorder="1"/>
    <xf numFmtId="3" fontId="21" fillId="0" borderId="23" xfId="0" applyNumberFormat="1" applyFont="1" applyBorder="1"/>
    <xf numFmtId="3" fontId="20" fillId="29" borderId="0" xfId="77" applyNumberFormat="1" applyFont="1" applyFill="1" applyBorder="1"/>
    <xf numFmtId="3" fontId="20" fillId="0" borderId="0" xfId="77" applyNumberFormat="1" applyFont="1" applyBorder="1"/>
    <xf numFmtId="3" fontId="20" fillId="0" borderId="0" xfId="0" applyNumberFormat="1" applyFont="1" applyBorder="1"/>
    <xf numFmtId="3" fontId="20" fillId="0" borderId="66" xfId="77" applyNumberFormat="1" applyFont="1" applyFill="1" applyBorder="1"/>
    <xf numFmtId="3" fontId="21" fillId="29" borderId="35" xfId="77" applyNumberFormat="1" applyFont="1" applyFill="1" applyBorder="1"/>
    <xf numFmtId="3" fontId="21" fillId="29" borderId="85" xfId="77" applyNumberFormat="1" applyFont="1" applyFill="1" applyBorder="1"/>
    <xf numFmtId="0" fontId="21" fillId="0" borderId="57" xfId="0" applyFont="1" applyBorder="1" applyAlignment="1">
      <alignment horizontal="center"/>
    </xf>
    <xf numFmtId="0" fontId="21" fillId="0" borderId="58" xfId="77" applyFont="1" applyFill="1" applyBorder="1"/>
    <xf numFmtId="3" fontId="21" fillId="29" borderId="58" xfId="77" applyNumberFormat="1" applyFont="1" applyFill="1" applyBorder="1"/>
    <xf numFmtId="3" fontId="21" fillId="0" borderId="72" xfId="0" applyNumberFormat="1" applyFont="1" applyBorder="1" applyAlignment="1">
      <alignment wrapText="1"/>
    </xf>
    <xf numFmtId="3" fontId="21" fillId="0" borderId="58" xfId="77" applyNumberFormat="1" applyFont="1" applyBorder="1"/>
    <xf numFmtId="3" fontId="21" fillId="0" borderId="58" xfId="0" applyNumberFormat="1" applyFont="1" applyBorder="1" applyAlignment="1">
      <alignment wrapText="1"/>
    </xf>
    <xf numFmtId="3" fontId="20" fillId="0" borderId="26" xfId="77" applyNumberFormat="1" applyFont="1" applyBorder="1"/>
    <xf numFmtId="0" fontId="0" fillId="0" borderId="49" xfId="74" applyFont="1" applyBorder="1"/>
    <xf numFmtId="0" fontId="21" fillId="0" borderId="40" xfId="77" applyFont="1" applyFill="1" applyBorder="1" applyAlignment="1">
      <alignment horizontal="center" vertical="center"/>
    </xf>
    <xf numFmtId="0" fontId="21" fillId="29" borderId="40" xfId="77" applyFont="1" applyFill="1" applyBorder="1" applyAlignment="1">
      <alignment horizontal="center" vertical="center"/>
    </xf>
    <xf numFmtId="3" fontId="34" fillId="29" borderId="44" xfId="84" applyNumberFormat="1" applyFont="1" applyFill="1" applyBorder="1" applyAlignment="1">
      <alignment horizontal="right" wrapText="1"/>
    </xf>
    <xf numFmtId="3" fontId="20" fillId="0" borderId="37" xfId="0" applyNumberFormat="1" applyFont="1" applyBorder="1"/>
    <xf numFmtId="0" fontId="21" fillId="0" borderId="105" xfId="77" applyFont="1" applyFill="1" applyBorder="1" applyAlignment="1">
      <alignment horizontal="center"/>
    </xf>
    <xf numFmtId="0" fontId="21" fillId="0" borderId="105" xfId="77" applyFont="1" applyFill="1" applyBorder="1" applyAlignment="1">
      <alignment horizontal="center" wrapText="1"/>
    </xf>
    <xf numFmtId="0" fontId="20" fillId="0" borderId="45" xfId="77" applyFont="1" applyFill="1" applyBorder="1" applyAlignment="1">
      <alignment horizontal="center"/>
    </xf>
    <xf numFmtId="3" fontId="21" fillId="0" borderId="37" xfId="0" applyNumberFormat="1" applyFont="1" applyFill="1" applyBorder="1"/>
    <xf numFmtId="0" fontId="21" fillId="0" borderId="36" xfId="77" applyNumberFormat="1" applyFont="1" applyFill="1" applyBorder="1" applyAlignment="1">
      <alignment horizontal="center"/>
    </xf>
    <xf numFmtId="0" fontId="26" fillId="0" borderId="0" xfId="84" applyFont="1"/>
    <xf numFmtId="0" fontId="25" fillId="0" borderId="58" xfId="84" applyFont="1" applyBorder="1" applyAlignment="1">
      <alignment horizontal="center" wrapText="1"/>
    </xf>
    <xf numFmtId="0" fontId="25" fillId="0" borderId="23" xfId="84" applyFont="1" applyBorder="1"/>
    <xf numFmtId="0" fontId="26" fillId="0" borderId="23" xfId="84" applyFont="1" applyBorder="1"/>
    <xf numFmtId="0" fontId="26" fillId="0" borderId="26" xfId="84" applyFont="1" applyBorder="1"/>
    <xf numFmtId="0" fontId="26" fillId="29" borderId="23" xfId="84" applyFont="1" applyFill="1" applyBorder="1"/>
    <xf numFmtId="0" fontId="20" fillId="0" borderId="52" xfId="84" applyFont="1" applyBorder="1" applyAlignment="1">
      <alignment wrapText="1"/>
    </xf>
    <xf numFmtId="3" fontId="26" fillId="0" borderId="75" xfId="84" applyNumberFormat="1" applyFont="1" applyBorder="1"/>
    <xf numFmtId="0" fontId="26" fillId="0" borderId="75" xfId="84" applyFont="1" applyBorder="1"/>
    <xf numFmtId="3" fontId="22" fillId="29" borderId="136" xfId="84" applyNumberFormat="1" applyFont="1" applyFill="1" applyBorder="1" applyAlignment="1">
      <alignment horizontal="right" wrapText="1"/>
    </xf>
    <xf numFmtId="3" fontId="29" fillId="29" borderId="90" xfId="84" applyNumberFormat="1" applyFont="1" applyFill="1" applyBorder="1" applyAlignment="1">
      <alignment horizontal="right" wrapText="1"/>
    </xf>
    <xf numFmtId="3" fontId="22" fillId="29" borderId="90" xfId="84" applyNumberFormat="1" applyFont="1" applyFill="1" applyBorder="1" applyAlignment="1">
      <alignment horizontal="right" wrapText="1"/>
    </xf>
    <xf numFmtId="0" fontId="29" fillId="29" borderId="21" xfId="83" applyFont="1" applyFill="1" applyBorder="1" applyAlignment="1">
      <alignment wrapText="1"/>
    </xf>
    <xf numFmtId="3" fontId="29" fillId="29" borderId="137" xfId="84" applyNumberFormat="1" applyFont="1" applyFill="1" applyBorder="1" applyAlignment="1">
      <alignment horizontal="right" wrapText="1"/>
    </xf>
    <xf numFmtId="3" fontId="29" fillId="29" borderId="103" xfId="84" applyNumberFormat="1" applyFont="1" applyFill="1" applyBorder="1" applyAlignment="1">
      <alignment horizontal="right" wrapText="1"/>
    </xf>
    <xf numFmtId="3" fontId="29" fillId="29" borderId="138" xfId="84" applyNumberFormat="1" applyFont="1" applyFill="1" applyBorder="1" applyAlignment="1">
      <alignment horizontal="right" wrapText="1"/>
    </xf>
    <xf numFmtId="3" fontId="22" fillId="29" borderId="103" xfId="84" applyNumberFormat="1" applyFont="1" applyFill="1" applyBorder="1" applyAlignment="1">
      <alignment horizontal="right" wrapText="1"/>
    </xf>
    <xf numFmtId="3" fontId="29" fillId="29" borderId="104" xfId="84" applyNumberFormat="1" applyFont="1" applyFill="1" applyBorder="1" applyAlignment="1">
      <alignment horizontal="right" wrapText="1"/>
    </xf>
    <xf numFmtId="3" fontId="22" fillId="29" borderId="44" xfId="84" applyNumberFormat="1" applyFont="1" applyFill="1" applyBorder="1" applyAlignment="1">
      <alignment horizontal="right" wrapText="1"/>
    </xf>
    <xf numFmtId="0" fontId="22" fillId="29" borderId="20" xfId="83" applyFont="1" applyFill="1" applyBorder="1" applyAlignment="1">
      <alignment wrapText="1"/>
    </xf>
    <xf numFmtId="3" fontId="21" fillId="0" borderId="50" xfId="74" applyNumberFormat="1" applyFont="1" applyBorder="1"/>
    <xf numFmtId="0" fontId="25" fillId="0" borderId="22" xfId="84" applyFont="1" applyBorder="1" applyAlignment="1">
      <alignment wrapText="1"/>
    </xf>
    <xf numFmtId="3" fontId="25" fillId="0" borderId="32" xfId="84" applyNumberFormat="1" applyFont="1" applyBorder="1"/>
    <xf numFmtId="3" fontId="25" fillId="0" borderId="32" xfId="84" applyNumberFormat="1" applyFont="1" applyBorder="1" applyAlignment="1">
      <alignment horizontal="right" wrapText="1"/>
    </xf>
    <xf numFmtId="3" fontId="25" fillId="29" borderId="32" xfId="84" applyNumberFormat="1" applyFont="1" applyFill="1" applyBorder="1" applyAlignment="1">
      <alignment horizontal="right" wrapText="1"/>
    </xf>
    <xf numFmtId="3" fontId="25" fillId="29" borderId="32" xfId="84" applyNumberFormat="1" applyFont="1" applyFill="1" applyBorder="1" applyAlignment="1">
      <alignment horizontal="right" vertical="center" wrapText="1"/>
    </xf>
    <xf numFmtId="0" fontId="0" fillId="0" borderId="19" xfId="84" applyFont="1" applyBorder="1" applyAlignment="1">
      <alignment wrapText="1"/>
    </xf>
    <xf numFmtId="0" fontId="0" fillId="0" borderId="36" xfId="84" applyFont="1" applyBorder="1" applyAlignment="1">
      <alignment wrapText="1"/>
    </xf>
    <xf numFmtId="0" fontId="25" fillId="0" borderId="20" xfId="83" applyFont="1" applyFill="1" applyBorder="1" applyAlignment="1">
      <alignment horizontal="left" vertical="center" wrapText="1"/>
    </xf>
    <xf numFmtId="0" fontId="26" fillId="0" borderId="139" xfId="84" applyFont="1" applyBorder="1" applyAlignment="1">
      <alignment wrapText="1"/>
    </xf>
    <xf numFmtId="0" fontId="26" fillId="0" borderId="49" xfId="84" applyFont="1" applyBorder="1" applyAlignment="1">
      <alignment wrapText="1"/>
    </xf>
    <xf numFmtId="3" fontId="25" fillId="0" borderId="63" xfId="84" applyNumberFormat="1" applyFont="1" applyFill="1" applyBorder="1" applyAlignment="1">
      <alignment horizontal="right" wrapText="1"/>
    </xf>
    <xf numFmtId="3" fontId="25" fillId="0" borderId="66" xfId="84" applyNumberFormat="1" applyFont="1" applyFill="1" applyBorder="1" applyAlignment="1">
      <alignment horizontal="right" wrapText="1"/>
    </xf>
    <xf numFmtId="3" fontId="25" fillId="0" borderId="85" xfId="84" applyNumberFormat="1" applyFont="1" applyFill="1" applyBorder="1" applyAlignment="1">
      <alignment horizontal="right" wrapText="1"/>
    </xf>
    <xf numFmtId="3" fontId="26" fillId="0" borderId="140" xfId="84" applyNumberFormat="1" applyFont="1" applyFill="1" applyBorder="1" applyAlignment="1">
      <alignment horizontal="right" wrapText="1"/>
    </xf>
    <xf numFmtId="3" fontId="26" fillId="0" borderId="67" xfId="72" applyNumberFormat="1" applyFont="1" applyFill="1" applyBorder="1" applyAlignment="1">
      <alignment horizontal="right"/>
    </xf>
    <xf numFmtId="0" fontId="26" fillId="0" borderId="17" xfId="84" applyFont="1" applyFill="1" applyBorder="1" applyAlignment="1">
      <alignment horizontal="left" vertical="center" wrapText="1" indent="2"/>
    </xf>
    <xf numFmtId="3" fontId="26" fillId="0" borderId="141" xfId="84" applyNumberFormat="1" applyFont="1" applyFill="1" applyBorder="1" applyAlignment="1">
      <alignment horizontal="right" wrapText="1"/>
    </xf>
    <xf numFmtId="3" fontId="26" fillId="0" borderId="44" xfId="84" applyNumberFormat="1" applyFont="1" applyFill="1" applyBorder="1" applyAlignment="1">
      <alignment horizontal="right" wrapText="1"/>
    </xf>
    <xf numFmtId="3" fontId="26" fillId="0" borderId="45" xfId="84" applyNumberFormat="1" applyFont="1" applyFill="1" applyBorder="1" applyAlignment="1">
      <alignment horizontal="right" wrapText="1"/>
    </xf>
    <xf numFmtId="3" fontId="26" fillId="0" borderId="26" xfId="84" applyNumberFormat="1" applyFont="1" applyFill="1" applyBorder="1" applyAlignment="1">
      <alignment horizontal="right" wrapText="1"/>
    </xf>
    <xf numFmtId="0" fontId="26" fillId="0" borderId="0" xfId="81" applyFont="1" applyFill="1" applyAlignment="1">
      <alignment wrapText="1"/>
    </xf>
    <xf numFmtId="0" fontId="26" fillId="0" borderId="44" xfId="81" applyFont="1" applyBorder="1" applyAlignment="1">
      <alignment wrapText="1"/>
    </xf>
    <xf numFmtId="0" fontId="26" fillId="0" borderId="44" xfId="81" applyFont="1" applyFill="1" applyBorder="1" applyAlignment="1">
      <alignment wrapText="1"/>
    </xf>
    <xf numFmtId="0" fontId="26" fillId="0" borderId="44" xfId="76" applyFont="1" applyFill="1" applyBorder="1" applyAlignment="1">
      <alignment wrapText="1"/>
    </xf>
    <xf numFmtId="0" fontId="26" fillId="0" borderId="45" xfId="81" applyFont="1" applyFill="1" applyBorder="1" applyAlignment="1">
      <alignment wrapText="1"/>
    </xf>
    <xf numFmtId="0" fontId="26" fillId="0" borderId="0" xfId="81" applyFont="1" applyFill="1" applyBorder="1" applyAlignment="1">
      <alignment wrapText="1"/>
    </xf>
    <xf numFmtId="0" fontId="26" fillId="0" borderId="22" xfId="81" applyFont="1" applyFill="1" applyBorder="1" applyAlignment="1">
      <alignment wrapText="1"/>
    </xf>
    <xf numFmtId="0" fontId="26" fillId="0" borderId="16" xfId="81" applyFont="1" applyBorder="1" applyAlignment="1">
      <alignment wrapText="1"/>
    </xf>
    <xf numFmtId="0" fontId="26" fillId="0" borderId="34" xfId="81" applyFont="1" applyFill="1" applyBorder="1" applyAlignment="1">
      <alignment wrapText="1"/>
    </xf>
    <xf numFmtId="0" fontId="26" fillId="0" borderId="34" xfId="76" applyFont="1" applyFill="1" applyBorder="1" applyAlignment="1">
      <alignment wrapText="1"/>
    </xf>
    <xf numFmtId="0" fontId="26" fillId="0" borderId="20" xfId="76" applyFont="1" applyFill="1" applyBorder="1" applyAlignment="1">
      <alignment wrapText="1"/>
    </xf>
    <xf numFmtId="0" fontId="26" fillId="0" borderId="14" xfId="81" applyFont="1" applyFill="1" applyBorder="1" applyAlignment="1">
      <alignment wrapText="1"/>
    </xf>
    <xf numFmtId="3" fontId="26" fillId="0" borderId="0" xfId="81" applyNumberFormat="1" applyFont="1" applyFill="1" applyAlignment="1">
      <alignment horizontal="right"/>
    </xf>
    <xf numFmtId="3" fontId="39" fillId="0" borderId="64" xfId="84" applyNumberFormat="1" applyFont="1" applyBorder="1" applyAlignment="1">
      <alignment horizontal="center" vertical="center" wrapText="1"/>
    </xf>
    <xf numFmtId="0" fontId="25" fillId="0" borderId="106" xfId="84" applyFont="1" applyBorder="1" applyAlignment="1">
      <alignment horizontal="center" vertical="center" wrapText="1"/>
    </xf>
    <xf numFmtId="0" fontId="25" fillId="0" borderId="78" xfId="84" applyFont="1" applyBorder="1" applyAlignment="1">
      <alignment horizontal="center" vertical="center"/>
    </xf>
    <xf numFmtId="3" fontId="44" fillId="0" borderId="0" xfId="81" applyNumberFormat="1" applyFont="1" applyFill="1" applyAlignment="1">
      <alignment horizontal="right"/>
    </xf>
    <xf numFmtId="0" fontId="20" fillId="0" borderId="19" xfId="74" applyFont="1" applyBorder="1" applyAlignment="1">
      <alignment wrapText="1"/>
    </xf>
    <xf numFmtId="0" fontId="20" fillId="0" borderId="105" xfId="74" applyFont="1" applyBorder="1"/>
    <xf numFmtId="0" fontId="20" fillId="0" borderId="44" xfId="74" applyFont="1" applyBorder="1"/>
    <xf numFmtId="3" fontId="20" fillId="0" borderId="44" xfId="74" applyNumberFormat="1" applyFont="1" applyBorder="1"/>
    <xf numFmtId="3" fontId="21" fillId="0" borderId="44" xfId="74" applyNumberFormat="1" applyFont="1" applyBorder="1"/>
    <xf numFmtId="3" fontId="21" fillId="0" borderId="45" xfId="74" applyNumberFormat="1" applyFont="1" applyBorder="1"/>
    <xf numFmtId="3" fontId="26" fillId="30" borderId="0" xfId="74" applyNumberFormat="1" applyFont="1" applyFill="1"/>
    <xf numFmtId="3" fontId="26" fillId="0" borderId="75" xfId="72" applyNumberFormat="1" applyFont="1" applyFill="1" applyBorder="1" applyAlignment="1">
      <alignment horizontal="right"/>
    </xf>
    <xf numFmtId="3" fontId="20" fillId="0" borderId="19" xfId="69" applyNumberFormat="1" applyFont="1" applyFill="1" applyBorder="1" applyAlignment="1">
      <alignment wrapText="1"/>
    </xf>
    <xf numFmtId="0" fontId="0" fillId="0" borderId="70" xfId="0" applyFill="1" applyBorder="1"/>
    <xf numFmtId="3" fontId="35" fillId="0" borderId="105" xfId="84" applyNumberFormat="1" applyFont="1" applyBorder="1" applyAlignment="1">
      <alignment horizontal="right" wrapText="1"/>
    </xf>
    <xf numFmtId="3" fontId="26" fillId="0" borderId="44" xfId="72" applyNumberFormat="1" applyFont="1" applyFill="1" applyBorder="1" applyAlignment="1">
      <alignment horizontal="right"/>
    </xf>
    <xf numFmtId="3" fontId="26" fillId="0" borderId="119" xfId="72" applyNumberFormat="1" applyFont="1" applyFill="1" applyBorder="1" applyAlignment="1">
      <alignment horizontal="right"/>
    </xf>
    <xf numFmtId="3" fontId="26" fillId="0" borderId="45" xfId="72" applyNumberFormat="1" applyFont="1" applyFill="1" applyBorder="1" applyAlignment="1">
      <alignment horizontal="right"/>
    </xf>
    <xf numFmtId="3" fontId="26" fillId="0" borderId="142" xfId="72" applyNumberFormat="1" applyFont="1" applyFill="1" applyBorder="1" applyAlignment="1">
      <alignment horizontal="right"/>
    </xf>
    <xf numFmtId="3" fontId="26" fillId="0" borderId="126" xfId="72" applyNumberFormat="1" applyFont="1" applyFill="1" applyBorder="1" applyAlignment="1">
      <alignment horizontal="right"/>
    </xf>
    <xf numFmtId="3" fontId="25" fillId="0" borderId="126" xfId="72" applyNumberFormat="1" applyFont="1" applyBorder="1" applyAlignment="1">
      <alignment horizontal="right"/>
    </xf>
    <xf numFmtId="3" fontId="25" fillId="0" borderId="143" xfId="72" applyNumberFormat="1" applyFont="1" applyBorder="1" applyAlignment="1">
      <alignment horizontal="right"/>
    </xf>
    <xf numFmtId="3" fontId="25" fillId="0" borderId="105" xfId="72" applyNumberFormat="1" applyFont="1" applyFill="1" applyBorder="1" applyAlignment="1">
      <alignment horizontal="right"/>
    </xf>
    <xf numFmtId="3" fontId="25" fillId="0" borderId="45" xfId="72" applyNumberFormat="1" applyFont="1" applyBorder="1" applyAlignment="1">
      <alignment horizontal="right"/>
    </xf>
    <xf numFmtId="3" fontId="26" fillId="0" borderId="105" xfId="72" applyNumberFormat="1" applyFont="1" applyFill="1" applyBorder="1" applyAlignment="1">
      <alignment horizontal="right"/>
    </xf>
    <xf numFmtId="3" fontId="25" fillId="0" borderId="44" xfId="72" applyNumberFormat="1" applyFont="1" applyBorder="1" applyAlignment="1">
      <alignment horizontal="right"/>
    </xf>
    <xf numFmtId="3" fontId="26" fillId="0" borderId="144" xfId="72" applyNumberFormat="1" applyFont="1" applyFill="1" applyBorder="1" applyAlignment="1">
      <alignment horizontal="right"/>
    </xf>
    <xf numFmtId="3" fontId="26" fillId="0" borderId="127" xfId="72" applyNumberFormat="1" applyFont="1" applyFill="1" applyBorder="1" applyAlignment="1">
      <alignment horizontal="right"/>
    </xf>
    <xf numFmtId="3" fontId="25" fillId="0" borderId="145" xfId="72" applyNumberFormat="1" applyFont="1" applyBorder="1" applyAlignment="1">
      <alignment horizontal="right"/>
    </xf>
    <xf numFmtId="3" fontId="25" fillId="0" borderId="146" xfId="72" applyNumberFormat="1" applyFont="1" applyBorder="1" applyAlignment="1">
      <alignment horizontal="right"/>
    </xf>
    <xf numFmtId="3" fontId="20" fillId="30" borderId="49" xfId="69" applyNumberFormat="1" applyFont="1" applyFill="1" applyBorder="1" applyAlignment="1">
      <alignment wrapText="1"/>
    </xf>
    <xf numFmtId="3" fontId="25" fillId="0" borderId="105" xfId="72" applyNumberFormat="1" applyFont="1" applyBorder="1" applyAlignment="1">
      <alignment horizontal="right"/>
    </xf>
    <xf numFmtId="3" fontId="20" fillId="0" borderId="44" xfId="54" applyNumberFormat="1" applyFont="1" applyBorder="1" applyAlignment="1">
      <alignment horizontal="right"/>
    </xf>
    <xf numFmtId="3" fontId="20" fillId="0" borderId="105" xfId="76" applyNumberFormat="1" applyFont="1" applyBorder="1" applyAlignment="1">
      <alignment horizontal="right"/>
    </xf>
    <xf numFmtId="3" fontId="20" fillId="0" borderId="44" xfId="76" applyNumberFormat="1" applyFont="1" applyBorder="1" applyAlignment="1">
      <alignment horizontal="right"/>
    </xf>
    <xf numFmtId="3" fontId="21" fillId="0" borderId="44" xfId="76" applyNumberFormat="1" applyFont="1" applyBorder="1" applyAlignment="1">
      <alignment horizontal="right"/>
    </xf>
    <xf numFmtId="3" fontId="21" fillId="0" borderId="44" xfId="54" applyNumberFormat="1" applyFont="1" applyBorder="1" applyAlignment="1">
      <alignment horizontal="right"/>
    </xf>
    <xf numFmtId="3" fontId="20" fillId="0" borderId="40" xfId="76" applyNumberFormat="1" applyFont="1" applyBorder="1" applyAlignment="1">
      <alignment horizontal="right"/>
    </xf>
    <xf numFmtId="3" fontId="21" fillId="0" borderId="44" xfId="54" applyNumberFormat="1" applyFont="1" applyBorder="1" applyAlignment="1">
      <alignment horizontal="right" wrapText="1"/>
    </xf>
    <xf numFmtId="3" fontId="21" fillId="0" borderId="45" xfId="54" applyNumberFormat="1" applyFont="1" applyBorder="1" applyAlignment="1">
      <alignment horizontal="right"/>
    </xf>
    <xf numFmtId="3" fontId="22" fillId="0" borderId="85" xfId="76" applyNumberFormat="1" applyFont="1" applyBorder="1" applyAlignment="1">
      <alignment horizontal="right"/>
    </xf>
    <xf numFmtId="0" fontId="20" fillId="0" borderId="0" xfId="75" applyFont="1" applyBorder="1" applyAlignment="1">
      <alignment wrapText="1"/>
    </xf>
    <xf numFmtId="0" fontId="1" fillId="0" borderId="0" xfId="92"/>
    <xf numFmtId="0" fontId="20" fillId="0" borderId="0" xfId="75" applyFont="1" applyAlignment="1">
      <alignment wrapText="1"/>
    </xf>
    <xf numFmtId="0" fontId="24" fillId="28" borderId="0" xfId="75" applyFont="1" applyFill="1" applyAlignment="1">
      <alignment wrapText="1"/>
    </xf>
    <xf numFmtId="0" fontId="20" fillId="0" borderId="0" xfId="75" applyFont="1" applyFill="1" applyAlignment="1">
      <alignment wrapText="1"/>
    </xf>
    <xf numFmtId="0" fontId="24" fillId="0" borderId="88" xfId="75" applyFont="1" applyFill="1" applyBorder="1" applyAlignment="1"/>
    <xf numFmtId="0" fontId="24" fillId="0" borderId="88" xfId="75" applyFont="1" applyFill="1" applyBorder="1" applyAlignment="1">
      <alignment wrapText="1"/>
    </xf>
    <xf numFmtId="0" fontId="43" fillId="0" borderId="10" xfId="75" applyFont="1" applyFill="1" applyBorder="1" applyAlignment="1">
      <alignment wrapText="1"/>
    </xf>
    <xf numFmtId="0" fontId="24" fillId="0" borderId="10" xfId="75" applyFont="1" applyFill="1" applyBorder="1" applyAlignment="1">
      <alignment horizontal="right" wrapText="1"/>
    </xf>
    <xf numFmtId="0" fontId="20" fillId="0" borderId="10" xfId="75" applyFont="1" applyFill="1" applyBorder="1" applyAlignment="1">
      <alignment wrapText="1"/>
    </xf>
    <xf numFmtId="3" fontId="20" fillId="0" borderId="10" xfId="75" applyNumberFormat="1" applyFont="1" applyFill="1" applyBorder="1" applyAlignment="1">
      <alignment wrapText="1"/>
    </xf>
    <xf numFmtId="0" fontId="24" fillId="0" borderId="10" xfId="75" applyFont="1" applyFill="1" applyBorder="1" applyAlignment="1">
      <alignment wrapText="1"/>
    </xf>
    <xf numFmtId="0" fontId="20" fillId="0" borderId="74" xfId="75" applyFont="1" applyFill="1" applyBorder="1" applyAlignment="1">
      <alignment wrapText="1"/>
    </xf>
    <xf numFmtId="0" fontId="1" fillId="0" borderId="0" xfId="92" applyAlignment="1">
      <alignment wrapText="1"/>
    </xf>
    <xf numFmtId="3" fontId="0" fillId="0" borderId="0" xfId="0" applyNumberFormat="1" applyFont="1" applyFill="1"/>
    <xf numFmtId="0" fontId="0" fillId="0" borderId="0" xfId="0" applyFont="1" applyFill="1"/>
    <xf numFmtId="0" fontId="26" fillId="0" borderId="44" xfId="0" applyFont="1" applyBorder="1"/>
    <xf numFmtId="0" fontId="26" fillId="0" borderId="119" xfId="84" applyFont="1" applyFill="1" applyBorder="1" applyAlignment="1">
      <alignment horizontal="left" vertical="center" wrapText="1"/>
    </xf>
    <xf numFmtId="3" fontId="21" fillId="0" borderId="119" xfId="74" applyNumberFormat="1" applyFont="1" applyBorder="1"/>
    <xf numFmtId="3" fontId="21" fillId="0" borderId="75" xfId="74" applyNumberFormat="1" applyFont="1" applyBorder="1"/>
    <xf numFmtId="3" fontId="21" fillId="0" borderId="53" xfId="74" applyNumberFormat="1" applyFont="1" applyBorder="1"/>
    <xf numFmtId="3" fontId="20" fillId="0" borderId="43" xfId="74" applyNumberFormat="1" applyFont="1" applyBorder="1"/>
    <xf numFmtId="3" fontId="20" fillId="0" borderId="66" xfId="74" applyNumberFormat="1" applyFont="1" applyBorder="1"/>
    <xf numFmtId="3" fontId="20" fillId="0" borderId="85" xfId="74" applyNumberFormat="1" applyFont="1" applyBorder="1"/>
    <xf numFmtId="3" fontId="24" fillId="0" borderId="0" xfId="75" applyNumberFormat="1" applyFont="1" applyFill="1" applyBorder="1"/>
    <xf numFmtId="3" fontId="24" fillId="0" borderId="147" xfId="75" applyNumberFormat="1" applyFont="1" applyFill="1" applyBorder="1"/>
    <xf numFmtId="3" fontId="20" fillId="0" borderId="49" xfId="74" applyNumberFormat="1" applyFont="1" applyBorder="1"/>
    <xf numFmtId="3" fontId="21" fillId="0" borderId="37" xfId="74" applyNumberFormat="1" applyFont="1" applyBorder="1"/>
    <xf numFmtId="3" fontId="21" fillId="0" borderId="45" xfId="79" applyNumberFormat="1" applyFont="1" applyBorder="1"/>
    <xf numFmtId="3" fontId="21" fillId="0" borderId="26" xfId="79" applyNumberFormat="1" applyFont="1" applyBorder="1"/>
    <xf numFmtId="0" fontId="21" fillId="0" borderId="45" xfId="79" applyFont="1" applyBorder="1" applyAlignment="1">
      <alignment wrapText="1"/>
    </xf>
    <xf numFmtId="3" fontId="21" fillId="0" borderId="49" xfId="74" applyNumberFormat="1" applyFont="1" applyBorder="1"/>
    <xf numFmtId="0" fontId="21" fillId="0" borderId="149" xfId="74" applyFont="1" applyBorder="1" applyAlignment="1">
      <alignment wrapText="1"/>
    </xf>
    <xf numFmtId="3" fontId="35" fillId="0" borderId="17" xfId="84" applyNumberFormat="1" applyFont="1" applyBorder="1" applyAlignment="1">
      <alignment horizontal="center" vertical="center" wrapText="1"/>
    </xf>
    <xf numFmtId="0" fontId="22" fillId="0" borderId="148" xfId="84" applyFont="1" applyBorder="1" applyAlignment="1">
      <alignment horizontal="center" vertical="center" wrapText="1"/>
    </xf>
    <xf numFmtId="0" fontId="22" fillId="0" borderId="79" xfId="84" applyFont="1" applyBorder="1" applyAlignment="1">
      <alignment horizontal="center" vertical="center"/>
    </xf>
    <xf numFmtId="0" fontId="21" fillId="0" borderId="0" xfId="74" applyFont="1" applyBorder="1" applyAlignment="1">
      <alignment wrapText="1"/>
    </xf>
    <xf numFmtId="3" fontId="21" fillId="0" borderId="0" xfId="74" applyNumberFormat="1" applyFont="1" applyBorder="1"/>
    <xf numFmtId="0" fontId="25" fillId="0" borderId="38" xfId="84" applyFont="1" applyFill="1" applyBorder="1" applyAlignment="1">
      <alignment horizontal="left" vertical="center" wrapText="1" indent="1"/>
    </xf>
    <xf numFmtId="3" fontId="25" fillId="0" borderId="0" xfId="84" applyNumberFormat="1" applyFont="1" applyFill="1" applyBorder="1" applyAlignment="1">
      <alignment horizontal="right"/>
    </xf>
    <xf numFmtId="0" fontId="29" fillId="0" borderId="0" xfId="123" applyFont="1"/>
    <xf numFmtId="0" fontId="26" fillId="0" borderId="0" xfId="123" applyFont="1"/>
    <xf numFmtId="0" fontId="25" fillId="0" borderId="0" xfId="123" applyFont="1" applyAlignment="1">
      <alignment horizontal="center" wrapText="1"/>
    </xf>
    <xf numFmtId="0" fontId="20" fillId="0" borderId="0" xfId="123" applyFont="1"/>
    <xf numFmtId="0" fontId="21" fillId="0" borderId="12" xfId="123" applyFont="1" applyBorder="1" applyAlignment="1">
      <alignment wrapText="1"/>
    </xf>
    <xf numFmtId="0" fontId="22" fillId="0" borderId="10" xfId="84" applyFont="1" applyBorder="1" applyAlignment="1">
      <alignment horizontal="center" vertical="center" wrapText="1"/>
    </xf>
    <xf numFmtId="0" fontId="47" fillId="0" borderId="10" xfId="84" applyFont="1" applyBorder="1" applyAlignment="1">
      <alignment horizontal="center" vertical="center" wrapText="1"/>
    </xf>
    <xf numFmtId="0" fontId="47" fillId="0" borderId="12" xfId="84" applyFont="1" applyBorder="1" applyAlignment="1">
      <alignment horizontal="center" vertical="center" wrapText="1"/>
    </xf>
    <xf numFmtId="0" fontId="47" fillId="0" borderId="23" xfId="84" applyFont="1" applyBorder="1" applyAlignment="1">
      <alignment horizontal="center" vertical="center" wrapText="1"/>
    </xf>
    <xf numFmtId="0" fontId="21" fillId="0" borderId="74" xfId="123" applyFont="1" applyBorder="1" applyAlignment="1">
      <alignment wrapText="1"/>
    </xf>
    <xf numFmtId="0" fontId="21" fillId="0" borderId="10" xfId="84" applyFont="1" applyBorder="1" applyAlignment="1">
      <alignment horizontal="center" vertical="center" wrapText="1"/>
    </xf>
    <xf numFmtId="0" fontId="35" fillId="0" borderId="10" xfId="84" applyFont="1" applyBorder="1" applyAlignment="1">
      <alignment horizontal="center" vertical="center" wrapText="1"/>
    </xf>
    <xf numFmtId="0" fontId="35" fillId="0" borderId="12" xfId="84" applyFont="1" applyBorder="1" applyAlignment="1">
      <alignment horizontal="center" vertical="center" wrapText="1"/>
    </xf>
    <xf numFmtId="0" fontId="35" fillId="0" borderId="23" xfId="84" applyFont="1" applyBorder="1" applyAlignment="1">
      <alignment horizontal="center" vertical="center" wrapText="1"/>
    </xf>
    <xf numFmtId="0" fontId="29" fillId="0" borderId="0" xfId="123" applyFont="1" applyAlignment="1">
      <alignment wrapText="1"/>
    </xf>
    <xf numFmtId="0" fontId="21" fillId="0" borderId="14" xfId="123" applyFont="1" applyBorder="1" applyAlignment="1">
      <alignment wrapText="1"/>
    </xf>
    <xf numFmtId="0" fontId="21" fillId="29" borderId="10" xfId="124" applyFont="1" applyFill="1" applyBorder="1" applyAlignment="1">
      <alignment horizontal="center" vertical="center" wrapText="1"/>
    </xf>
    <xf numFmtId="0" fontId="21" fillId="29" borderId="12" xfId="124" applyFont="1" applyFill="1" applyBorder="1" applyAlignment="1">
      <alignment horizontal="center" vertical="center" wrapText="1"/>
    </xf>
    <xf numFmtId="0" fontId="21" fillId="29" borderId="23" xfId="124" applyFont="1" applyFill="1" applyBorder="1" applyAlignment="1">
      <alignment horizontal="center" vertical="center" wrapText="1"/>
    </xf>
    <xf numFmtId="0" fontId="20" fillId="0" borderId="10" xfId="123" applyFont="1" applyBorder="1" applyAlignment="1">
      <alignment wrapText="1"/>
    </xf>
    <xf numFmtId="0" fontId="20" fillId="0" borderId="12" xfId="123" applyFont="1" applyBorder="1" applyAlignment="1">
      <alignment wrapText="1"/>
    </xf>
    <xf numFmtId="0" fontId="20" fillId="0" borderId="23" xfId="123" applyFont="1" applyBorder="1" applyAlignment="1">
      <alignment wrapText="1"/>
    </xf>
    <xf numFmtId="0" fontId="20" fillId="0" borderId="12" xfId="84" applyFont="1" applyBorder="1" applyAlignment="1">
      <alignment horizontal="left" wrapText="1"/>
    </xf>
    <xf numFmtId="3" fontId="20" fillId="0" borderId="10" xfId="123" applyNumberFormat="1" applyFont="1" applyBorder="1"/>
    <xf numFmtId="3" fontId="20" fillId="29" borderId="10" xfId="124" applyNumberFormat="1" applyFont="1" applyFill="1" applyBorder="1" applyAlignment="1">
      <alignment horizontal="right" vertical="center" wrapText="1"/>
    </xf>
    <xf numFmtId="3" fontId="20" fillId="29" borderId="12" xfId="124" applyNumberFormat="1" applyFont="1" applyFill="1" applyBorder="1" applyAlignment="1">
      <alignment horizontal="right" vertical="center" wrapText="1"/>
    </xf>
    <xf numFmtId="3" fontId="20" fillId="29" borderId="23" xfId="124" applyNumberFormat="1" applyFont="1" applyFill="1" applyBorder="1" applyAlignment="1">
      <alignment horizontal="right" vertical="center" wrapText="1"/>
    </xf>
    <xf numFmtId="0" fontId="20" fillId="0" borderId="88" xfId="125" applyFont="1" applyBorder="1" applyAlignment="1">
      <alignment wrapText="1"/>
    </xf>
    <xf numFmtId="3" fontId="20" fillId="0" borderId="12" xfId="123" applyNumberFormat="1" applyFont="1" applyBorder="1"/>
    <xf numFmtId="3" fontId="20" fillId="0" borderId="23" xfId="123" applyNumberFormat="1" applyFont="1" applyBorder="1"/>
    <xf numFmtId="0" fontId="20" fillId="0" borderId="12" xfId="125" applyFont="1" applyBorder="1" applyAlignment="1">
      <alignment wrapText="1"/>
    </xf>
    <xf numFmtId="0" fontId="20" fillId="0" borderId="86" xfId="76" applyFont="1" applyBorder="1"/>
    <xf numFmtId="0" fontId="20" fillId="0" borderId="74" xfId="125" applyFont="1" applyBorder="1" applyAlignment="1">
      <alignment wrapText="1"/>
    </xf>
    <xf numFmtId="0" fontId="20" fillId="0" borderId="86" xfId="125" applyFont="1" applyBorder="1" applyAlignment="1">
      <alignment wrapText="1"/>
    </xf>
    <xf numFmtId="0" fontId="20" fillId="29" borderId="10" xfId="84" applyFont="1" applyFill="1" applyBorder="1" applyAlignment="1">
      <alignment wrapText="1"/>
    </xf>
    <xf numFmtId="3" fontId="20" fillId="29" borderId="10" xfId="124" applyNumberFormat="1" applyFont="1" applyFill="1" applyBorder="1" applyAlignment="1">
      <alignment horizontal="right" wrapText="1"/>
    </xf>
    <xf numFmtId="3" fontId="20" fillId="29" borderId="12" xfId="124" applyNumberFormat="1" applyFont="1" applyFill="1" applyBorder="1" applyAlignment="1">
      <alignment horizontal="right" wrapText="1"/>
    </xf>
    <xf numFmtId="3" fontId="20" fillId="29" borderId="23" xfId="124" applyNumberFormat="1" applyFont="1" applyFill="1" applyBorder="1" applyAlignment="1">
      <alignment horizontal="right" wrapText="1"/>
    </xf>
    <xf numFmtId="0" fontId="20" fillId="29" borderId="12" xfId="84" applyFont="1" applyFill="1" applyBorder="1" applyAlignment="1">
      <alignment wrapText="1"/>
    </xf>
    <xf numFmtId="3" fontId="21" fillId="0" borderId="10" xfId="123" applyNumberFormat="1" applyFont="1" applyBorder="1"/>
    <xf numFmtId="3" fontId="21" fillId="0" borderId="12" xfId="123" applyNumberFormat="1" applyFont="1" applyBorder="1"/>
    <xf numFmtId="3" fontId="21" fillId="0" borderId="23" xfId="123" applyNumberFormat="1" applyFont="1" applyBorder="1"/>
    <xf numFmtId="0" fontId="22" fillId="0" borderId="0" xfId="123" applyFont="1"/>
    <xf numFmtId="0" fontId="20" fillId="0" borderId="74" xfId="123" applyFont="1" applyBorder="1" applyAlignment="1">
      <alignment wrapText="1"/>
    </xf>
    <xf numFmtId="0" fontId="21" fillId="0" borderId="86" xfId="123" applyFont="1" applyBorder="1" applyAlignment="1">
      <alignment wrapText="1"/>
    </xf>
    <xf numFmtId="0" fontId="21" fillId="0" borderId="0" xfId="123" applyFont="1" applyBorder="1"/>
    <xf numFmtId="0" fontId="21" fillId="0" borderId="23" xfId="123" applyFont="1" applyBorder="1"/>
    <xf numFmtId="0" fontId="20" fillId="0" borderId="0" xfId="123" applyFont="1" applyBorder="1"/>
    <xf numFmtId="0" fontId="20" fillId="0" borderId="23" xfId="123" applyFont="1" applyBorder="1"/>
    <xf numFmtId="0" fontId="20" fillId="0" borderId="10" xfId="76" applyFont="1" applyBorder="1" applyAlignment="1">
      <alignment wrapText="1"/>
    </xf>
    <xf numFmtId="0" fontId="20" fillId="0" borderId="74" xfId="125" applyFont="1" applyFill="1" applyBorder="1" applyAlignment="1">
      <alignment wrapText="1"/>
    </xf>
    <xf numFmtId="0" fontId="20" fillId="0" borderId="86" xfId="123" applyFont="1" applyBorder="1" applyAlignment="1">
      <alignment wrapText="1"/>
    </xf>
    <xf numFmtId="0" fontId="21" fillId="0" borderId="88" xfId="123" applyFont="1" applyBorder="1" applyAlignment="1">
      <alignment wrapText="1"/>
    </xf>
    <xf numFmtId="3" fontId="29" fillId="0" borderId="0" xfId="123" applyNumberFormat="1" applyFont="1"/>
    <xf numFmtId="3" fontId="20" fillId="0" borderId="0" xfId="123" applyNumberFormat="1" applyFont="1"/>
    <xf numFmtId="0" fontId="21" fillId="0" borderId="10" xfId="123" applyFont="1" applyBorder="1" applyAlignment="1">
      <alignment wrapText="1"/>
    </xf>
    <xf numFmtId="0" fontId="21" fillId="0" borderId="29" xfId="123" applyFont="1" applyBorder="1" applyAlignment="1">
      <alignment wrapText="1"/>
    </xf>
    <xf numFmtId="0" fontId="20" fillId="0" borderId="10" xfId="123" applyFont="1" applyBorder="1"/>
    <xf numFmtId="0" fontId="20" fillId="0" borderId="12" xfId="123" applyFont="1" applyBorder="1"/>
    <xf numFmtId="0" fontId="0" fillId="0" borderId="0" xfId="123" applyFont="1"/>
    <xf numFmtId="0" fontId="21" fillId="0" borderId="74" xfId="123" applyFont="1" applyBorder="1"/>
    <xf numFmtId="3" fontId="20" fillId="0" borderId="10" xfId="123" applyNumberFormat="1" applyFont="1" applyBorder="1" applyAlignment="1">
      <alignment wrapText="1"/>
    </xf>
    <xf numFmtId="3" fontId="20" fillId="0" borderId="12" xfId="123" applyNumberFormat="1" applyFont="1" applyBorder="1" applyAlignment="1">
      <alignment wrapText="1"/>
    </xf>
    <xf numFmtId="0" fontId="20" fillId="0" borderId="10" xfId="125" applyFont="1" applyBorder="1" applyAlignment="1">
      <alignment wrapText="1"/>
    </xf>
    <xf numFmtId="0" fontId="20" fillId="0" borderId="67" xfId="123" applyFont="1" applyBorder="1" applyAlignment="1">
      <alignment wrapText="1"/>
    </xf>
    <xf numFmtId="0" fontId="21" fillId="0" borderId="67" xfId="123" applyFont="1" applyBorder="1" applyAlignment="1">
      <alignment wrapText="1"/>
    </xf>
    <xf numFmtId="0" fontId="22" fillId="0" borderId="0" xfId="123" applyFont="1" applyBorder="1" applyAlignment="1">
      <alignment wrapText="1"/>
    </xf>
    <xf numFmtId="3" fontId="22" fillId="0" borderId="0" xfId="123" applyNumberFormat="1" applyFont="1" applyBorder="1"/>
    <xf numFmtId="0" fontId="22" fillId="0" borderId="0" xfId="123" applyFont="1" applyBorder="1"/>
    <xf numFmtId="0" fontId="21" fillId="0" borderId="13" xfId="123" applyFont="1" applyBorder="1" applyAlignment="1">
      <alignment wrapText="1"/>
    </xf>
    <xf numFmtId="0" fontId="20" fillId="0" borderId="10" xfId="84" applyFont="1" applyBorder="1" applyAlignment="1">
      <alignment horizontal="left" wrapText="1"/>
    </xf>
    <xf numFmtId="0" fontId="20" fillId="0" borderId="29" xfId="125" applyFont="1" applyBorder="1" applyAlignment="1">
      <alignment wrapText="1"/>
    </xf>
    <xf numFmtId="0" fontId="20" fillId="0" borderId="73" xfId="125" applyFont="1" applyBorder="1" applyAlignment="1">
      <alignment wrapText="1"/>
    </xf>
    <xf numFmtId="0" fontId="20" fillId="0" borderId="67" xfId="125" applyFont="1" applyBorder="1" applyAlignment="1">
      <alignment wrapText="1"/>
    </xf>
    <xf numFmtId="0" fontId="20" fillId="0" borderId="13" xfId="125" applyFont="1" applyBorder="1" applyAlignment="1">
      <alignment wrapText="1"/>
    </xf>
    <xf numFmtId="0" fontId="20" fillId="0" borderId="29" xfId="123" applyFont="1" applyBorder="1" applyAlignment="1">
      <alignment wrapText="1"/>
    </xf>
    <xf numFmtId="3" fontId="21" fillId="0" borderId="10" xfId="123" applyNumberFormat="1" applyFont="1" applyBorder="1" applyAlignment="1">
      <alignment wrapText="1"/>
    </xf>
    <xf numFmtId="3" fontId="21" fillId="0" borderId="12" xfId="123" applyNumberFormat="1" applyFont="1" applyBorder="1" applyAlignment="1">
      <alignment wrapText="1"/>
    </xf>
    <xf numFmtId="3" fontId="21" fillId="0" borderId="23" xfId="123" applyNumberFormat="1" applyFont="1" applyBorder="1" applyAlignment="1">
      <alignment wrapText="1"/>
    </xf>
    <xf numFmtId="0" fontId="0" fillId="0" borderId="0" xfId="123" applyFont="1" applyAlignment="1">
      <alignment wrapText="1"/>
    </xf>
    <xf numFmtId="3" fontId="20" fillId="0" borderId="33" xfId="123" applyNumberFormat="1" applyFont="1" applyBorder="1"/>
    <xf numFmtId="3" fontId="21" fillId="0" borderId="33" xfId="123" applyNumberFormat="1" applyFont="1" applyBorder="1"/>
    <xf numFmtId="0" fontId="21" fillId="0" borderId="33" xfId="123" applyFont="1" applyBorder="1"/>
    <xf numFmtId="0" fontId="20" fillId="0" borderId="0" xfId="76" applyFont="1" applyBorder="1" applyAlignment="1">
      <alignment wrapText="1"/>
    </xf>
    <xf numFmtId="3" fontId="20" fillId="0" borderId="13" xfId="123" applyNumberFormat="1" applyFont="1" applyBorder="1"/>
    <xf numFmtId="3" fontId="20" fillId="0" borderId="75" xfId="123" applyNumberFormat="1" applyFont="1" applyBorder="1"/>
    <xf numFmtId="0" fontId="21" fillId="0" borderId="23" xfId="123" applyFont="1" applyBorder="1" applyAlignment="1">
      <alignment wrapText="1"/>
    </xf>
    <xf numFmtId="0" fontId="20" fillId="0" borderId="23" xfId="125" applyFont="1" applyBorder="1" applyAlignment="1">
      <alignment wrapText="1"/>
    </xf>
    <xf numFmtId="0" fontId="20" fillId="0" borderId="23" xfId="125" applyFont="1" applyFill="1" applyBorder="1" applyAlignment="1">
      <alignment wrapText="1"/>
    </xf>
    <xf numFmtId="0" fontId="20" fillId="0" borderId="23" xfId="76" applyFont="1" applyBorder="1" applyAlignment="1">
      <alignment wrapText="1"/>
    </xf>
    <xf numFmtId="0" fontId="22" fillId="29" borderId="24" xfId="84" applyFont="1" applyFill="1" applyBorder="1" applyAlignment="1">
      <alignment horizontal="center" vertical="center" wrapText="1"/>
    </xf>
    <xf numFmtId="0" fontId="22" fillId="29" borderId="84" xfId="84" applyFont="1" applyFill="1" applyBorder="1" applyAlignment="1">
      <alignment horizontal="center" vertical="center" wrapText="1"/>
    </xf>
    <xf numFmtId="3" fontId="25" fillId="0" borderId="138" xfId="84" applyNumberFormat="1" applyFont="1" applyFill="1" applyBorder="1" applyAlignment="1">
      <alignment horizontal="right"/>
    </xf>
    <xf numFmtId="0" fontId="26" fillId="0" borderId="50" xfId="84" applyFont="1" applyBorder="1" applyAlignment="1">
      <alignment wrapText="1"/>
    </xf>
    <xf numFmtId="3" fontId="26" fillId="0" borderId="36" xfId="84" applyNumberFormat="1" applyFont="1" applyFill="1" applyBorder="1" applyAlignment="1">
      <alignment horizontal="right" wrapText="1"/>
    </xf>
    <xf numFmtId="3" fontId="26" fillId="0" borderId="37" xfId="84" applyNumberFormat="1" applyFont="1" applyFill="1" applyBorder="1" applyAlignment="1">
      <alignment horizontal="right" wrapText="1"/>
    </xf>
    <xf numFmtId="0" fontId="39" fillId="0" borderId="0" xfId="84" applyFont="1" applyAlignment="1">
      <alignment horizontal="center" wrapText="1"/>
    </xf>
    <xf numFmtId="3" fontId="40" fillId="0" borderId="0" xfId="84" applyNumberFormat="1" applyFont="1"/>
    <xf numFmtId="3" fontId="48" fillId="0" borderId="0" xfId="84" applyNumberFormat="1" applyFont="1"/>
    <xf numFmtId="0" fontId="15" fillId="0" borderId="0" xfId="84"/>
    <xf numFmtId="0" fontId="39" fillId="0" borderId="57" xfId="84" applyFont="1" applyBorder="1" applyAlignment="1">
      <alignment horizontal="center" vertical="center" wrapText="1"/>
    </xf>
    <xf numFmtId="3" fontId="35" fillId="0" borderId="58" xfId="84" applyNumberFormat="1" applyFont="1" applyBorder="1" applyAlignment="1">
      <alignment horizontal="center" vertical="center" wrapText="1"/>
    </xf>
    <xf numFmtId="3" fontId="39" fillId="0" borderId="58" xfId="84" applyNumberFormat="1" applyFont="1" applyBorder="1" applyAlignment="1">
      <alignment horizontal="center" vertical="center" wrapText="1"/>
    </xf>
    <xf numFmtId="3" fontId="39" fillId="0" borderId="72" xfId="84" applyNumberFormat="1" applyFont="1" applyBorder="1" applyAlignment="1">
      <alignment horizontal="center" vertical="center" wrapText="1"/>
    </xf>
    <xf numFmtId="0" fontId="15" fillId="0" borderId="0" xfId="84" applyAlignment="1">
      <alignment horizontal="center" vertical="center"/>
    </xf>
    <xf numFmtId="0" fontId="48" fillId="0" borderId="63" xfId="84" applyFont="1" applyBorder="1" applyAlignment="1">
      <alignment horizontal="left" wrapText="1"/>
    </xf>
    <xf numFmtId="3" fontId="48" fillId="0" borderId="66" xfId="84" applyNumberFormat="1" applyFont="1" applyBorder="1"/>
    <xf numFmtId="3" fontId="48" fillId="0" borderId="85" xfId="84" applyNumberFormat="1" applyFont="1" applyBorder="1"/>
    <xf numFmtId="0" fontId="15" fillId="0" borderId="0" xfId="84" applyFont="1"/>
    <xf numFmtId="0" fontId="48" fillId="0" borderId="19" xfId="84" applyFont="1" applyBorder="1" applyAlignment="1">
      <alignment horizontal="left" wrapText="1"/>
    </xf>
    <xf numFmtId="3" fontId="48" fillId="0" borderId="23" xfId="84" applyNumberFormat="1" applyFont="1" applyBorder="1"/>
    <xf numFmtId="3" fontId="48" fillId="0" borderId="32" xfId="84" applyNumberFormat="1" applyFont="1" applyBorder="1"/>
    <xf numFmtId="3" fontId="48" fillId="0" borderId="23" xfId="84" applyNumberFormat="1" applyFont="1" applyFill="1" applyBorder="1" applyAlignment="1">
      <alignment horizontal="right" wrapText="1"/>
    </xf>
    <xf numFmtId="0" fontId="39" fillId="0" borderId="19" xfId="84" applyFont="1" applyBorder="1" applyAlignment="1">
      <alignment horizontal="left" wrapText="1"/>
    </xf>
    <xf numFmtId="3" fontId="39" fillId="0" borderId="23" xfId="84" applyNumberFormat="1" applyFont="1" applyBorder="1" applyAlignment="1">
      <alignment horizontal="right" wrapText="1"/>
    </xf>
    <xf numFmtId="3" fontId="39" fillId="0" borderId="32" xfId="84" applyNumberFormat="1" applyFont="1" applyBorder="1" applyAlignment="1">
      <alignment horizontal="right" wrapText="1"/>
    </xf>
    <xf numFmtId="3" fontId="39" fillId="0" borderId="23" xfId="84" applyNumberFormat="1" applyFont="1" applyBorder="1"/>
    <xf numFmtId="3" fontId="39" fillId="0" borderId="32" xfId="84" applyNumberFormat="1" applyFont="1" applyBorder="1"/>
    <xf numFmtId="0" fontId="48" fillId="30" borderId="19" xfId="126" applyFont="1" applyFill="1" applyBorder="1" applyAlignment="1">
      <alignment wrapText="1"/>
    </xf>
    <xf numFmtId="0" fontId="39" fillId="29" borderId="19" xfId="84" applyFont="1" applyFill="1" applyBorder="1" applyAlignment="1">
      <alignment horizontal="left" wrapText="1"/>
    </xf>
    <xf numFmtId="3" fontId="39" fillId="29" borderId="23" xfId="84" applyNumberFormat="1" applyFont="1" applyFill="1" applyBorder="1" applyAlignment="1">
      <alignment horizontal="right" wrapText="1"/>
    </xf>
    <xf numFmtId="3" fontId="39" fillId="29" borderId="32" xfId="84" applyNumberFormat="1" applyFont="1" applyFill="1" applyBorder="1" applyAlignment="1">
      <alignment horizontal="right" wrapText="1"/>
    </xf>
    <xf numFmtId="0" fontId="50" fillId="0" borderId="0" xfId="84" applyFont="1" applyBorder="1"/>
    <xf numFmtId="0" fontId="50" fillId="0" borderId="0" xfId="84" applyFont="1"/>
    <xf numFmtId="0" fontId="50" fillId="29" borderId="0" xfId="84" applyFont="1" applyFill="1" applyBorder="1"/>
    <xf numFmtId="0" fontId="50" fillId="29" borderId="0" xfId="84" applyFont="1" applyFill="1"/>
    <xf numFmtId="3" fontId="48" fillId="29" borderId="23" xfId="84" applyNumberFormat="1" applyFont="1" applyFill="1" applyBorder="1"/>
    <xf numFmtId="3" fontId="48" fillId="29" borderId="32" xfId="84" applyNumberFormat="1" applyFont="1" applyFill="1" applyBorder="1"/>
    <xf numFmtId="0" fontId="15" fillId="0" borderId="0" xfId="84" applyFont="1" applyBorder="1"/>
    <xf numFmtId="0" fontId="51" fillId="0" borderId="36" xfId="84" applyFont="1" applyBorder="1" applyAlignment="1">
      <alignment wrapText="1"/>
    </xf>
    <xf numFmtId="3" fontId="40" fillId="0" borderId="26" xfId="84" applyNumberFormat="1" applyFont="1" applyBorder="1"/>
    <xf numFmtId="3" fontId="40" fillId="0" borderId="37" xfId="84" applyNumberFormat="1" applyFont="1" applyBorder="1"/>
    <xf numFmtId="0" fontId="15" fillId="0" borderId="66" xfId="84" applyFont="1" applyBorder="1" applyAlignment="1">
      <alignment wrapText="1"/>
    </xf>
    <xf numFmtId="3" fontId="40" fillId="0" borderId="150" xfId="84" applyNumberFormat="1" applyFont="1" applyBorder="1"/>
    <xf numFmtId="3" fontId="40" fillId="0" borderId="66" xfId="84" applyNumberFormat="1" applyFont="1" applyBorder="1"/>
    <xf numFmtId="3" fontId="40" fillId="0" borderId="35" xfId="84" applyNumberFormat="1" applyFont="1" applyBorder="1"/>
    <xf numFmtId="0" fontId="15" fillId="0" borderId="0" xfId="84" applyAlignment="1">
      <alignment wrapText="1"/>
    </xf>
    <xf numFmtId="0" fontId="29" fillId="0" borderId="0" xfId="69"/>
    <xf numFmtId="0" fontId="26" fillId="0" borderId="0" xfId="69" applyFont="1"/>
    <xf numFmtId="3" fontId="26" fillId="0" borderId="0" xfId="69" applyNumberFormat="1" applyFont="1"/>
    <xf numFmtId="3" fontId="26" fillId="0" borderId="0" xfId="69" applyNumberFormat="1" applyFont="1" applyAlignment="1">
      <alignment horizontal="right"/>
    </xf>
    <xf numFmtId="0" fontId="25" fillId="0" borderId="10" xfId="69" applyFont="1" applyBorder="1" applyAlignment="1">
      <alignment horizontal="center"/>
    </xf>
    <xf numFmtId="3" fontId="25" fillId="0" borderId="10" xfId="69" applyNumberFormat="1" applyFont="1" applyBorder="1" applyAlignment="1">
      <alignment horizontal="center"/>
    </xf>
    <xf numFmtId="0" fontId="26" fillId="0" borderId="10" xfId="69" applyFont="1" applyBorder="1"/>
    <xf numFmtId="3" fontId="26" fillId="0" borderId="10" xfId="69" applyNumberFormat="1" applyFont="1" applyBorder="1"/>
    <xf numFmtId="3" fontId="26" fillId="0" borderId="10" xfId="69" applyNumberFormat="1" applyFont="1" applyFill="1" applyBorder="1"/>
    <xf numFmtId="0" fontId="25" fillId="0" borderId="10" xfId="69" applyFont="1" applyBorder="1"/>
    <xf numFmtId="3" fontId="25" fillId="0" borderId="10" xfId="69" applyNumberFormat="1" applyFont="1" applyBorder="1"/>
    <xf numFmtId="0" fontId="26" fillId="0" borderId="13" xfId="69" applyFont="1" applyBorder="1"/>
    <xf numFmtId="3" fontId="26" fillId="0" borderId="13" xfId="69" applyNumberFormat="1" applyFont="1" applyBorder="1"/>
    <xf numFmtId="0" fontId="25" fillId="0" borderId="67" xfId="69" applyFont="1" applyBorder="1" applyAlignment="1">
      <alignment horizontal="left"/>
    </xf>
    <xf numFmtId="3" fontId="26" fillId="0" borderId="67" xfId="69" applyNumberFormat="1" applyFont="1" applyBorder="1" applyAlignment="1">
      <alignment horizontal="right"/>
    </xf>
    <xf numFmtId="3" fontId="26" fillId="0" borderId="10" xfId="69" applyNumberFormat="1" applyFont="1" applyBorder="1" applyAlignment="1">
      <alignment horizontal="right"/>
    </xf>
    <xf numFmtId="3" fontId="26" fillId="0" borderId="13" xfId="69" applyNumberFormat="1" applyFont="1" applyBorder="1" applyAlignment="1">
      <alignment horizontal="right"/>
    </xf>
    <xf numFmtId="0" fontId="29" fillId="0" borderId="14" xfId="69" applyBorder="1" applyAlignment="1"/>
    <xf numFmtId="0" fontId="29" fillId="0" borderId="0" xfId="69" applyAlignment="1"/>
    <xf numFmtId="0" fontId="25" fillId="0" borderId="13" xfId="69" applyFont="1" applyBorder="1"/>
    <xf numFmtId="0" fontId="26" fillId="0" borderId="10" xfId="69" applyFont="1" applyFill="1" applyBorder="1"/>
    <xf numFmtId="0" fontId="26" fillId="31" borderId="10" xfId="69" applyFont="1" applyFill="1" applyBorder="1"/>
    <xf numFmtId="0" fontId="29" fillId="0" borderId="0" xfId="129" applyFont="1"/>
    <xf numFmtId="0" fontId="26" fillId="0" borderId="0" xfId="129" applyFont="1" applyAlignment="1">
      <alignment horizontal="justify" wrapText="1"/>
    </xf>
    <xf numFmtId="0" fontId="29" fillId="0" borderId="0" xfId="129" applyFont="1" applyAlignment="1">
      <alignment wrapText="1"/>
    </xf>
    <xf numFmtId="0" fontId="24" fillId="0" borderId="25" xfId="129" applyFont="1" applyBorder="1" applyAlignment="1">
      <alignment horizontal="left" wrapText="1"/>
    </xf>
    <xf numFmtId="0" fontId="24" fillId="0" borderId="60" xfId="129" applyFont="1" applyBorder="1" applyAlignment="1">
      <alignment horizontal="left"/>
    </xf>
    <xf numFmtId="0" fontId="21" fillId="0" borderId="58" xfId="129" applyFont="1" applyBorder="1" applyAlignment="1">
      <alignment horizontal="right"/>
    </xf>
    <xf numFmtId="0" fontId="21" fillId="0" borderId="72" xfId="129" applyFont="1" applyBorder="1" applyAlignment="1">
      <alignment horizontal="right"/>
    </xf>
    <xf numFmtId="0" fontId="20" fillId="0" borderId="151" xfId="129" applyFont="1" applyBorder="1" applyAlignment="1">
      <alignment wrapText="1"/>
    </xf>
    <xf numFmtId="0" fontId="20" fillId="0" borderId="152" xfId="129" applyFont="1" applyBorder="1" applyAlignment="1"/>
    <xf numFmtId="0" fontId="20" fillId="0" borderId="40" xfId="129" applyFont="1" applyBorder="1"/>
    <xf numFmtId="0" fontId="20" fillId="0" borderId="69" xfId="129" applyFont="1" applyBorder="1"/>
    <xf numFmtId="0" fontId="20" fillId="0" borderId="87" xfId="129" applyFont="1" applyBorder="1" applyAlignment="1">
      <alignment wrapText="1"/>
    </xf>
    <xf numFmtId="0" fontId="20" fillId="0" borderId="10" xfId="129" applyFont="1" applyBorder="1" applyAlignment="1"/>
    <xf numFmtId="0" fontId="20" fillId="0" borderId="10" xfId="129" applyFont="1" applyBorder="1"/>
    <xf numFmtId="0" fontId="20" fillId="0" borderId="90" xfId="129" applyFont="1" applyBorder="1"/>
    <xf numFmtId="0" fontId="21" fillId="0" borderId="27" xfId="129" applyFont="1" applyBorder="1" applyAlignment="1">
      <alignment wrapText="1"/>
    </xf>
    <xf numFmtId="0" fontId="21" fillId="0" borderId="103" xfId="129" applyFont="1" applyBorder="1" applyAlignment="1"/>
    <xf numFmtId="1" fontId="21" fillId="0" borderId="103" xfId="129" applyNumberFormat="1" applyFont="1" applyBorder="1"/>
    <xf numFmtId="1" fontId="21" fillId="0" borderId="104" xfId="129" applyNumberFormat="1" applyFont="1" applyBorder="1"/>
    <xf numFmtId="0" fontId="22" fillId="0" borderId="0" xfId="129" applyFont="1"/>
    <xf numFmtId="0" fontId="20" fillId="0" borderId="0" xfId="129" applyFont="1" applyAlignment="1">
      <alignment wrapText="1"/>
    </xf>
    <xf numFmtId="0" fontId="20" fillId="0" borderId="0" xfId="129" applyFont="1"/>
    <xf numFmtId="3" fontId="29" fillId="0" borderId="0" xfId="129" applyNumberFormat="1" applyFont="1"/>
    <xf numFmtId="0" fontId="21" fillId="0" borderId="57" xfId="129" applyFont="1" applyBorder="1" applyAlignment="1">
      <alignment wrapText="1"/>
    </xf>
    <xf numFmtId="0" fontId="21" fillId="0" borderId="58" xfId="129" applyFont="1" applyBorder="1" applyAlignment="1">
      <alignment horizontal="center" wrapText="1"/>
    </xf>
    <xf numFmtId="0" fontId="20" fillId="0" borderId="63" xfId="129" applyFont="1" applyBorder="1" applyAlignment="1">
      <alignment wrapText="1"/>
    </xf>
    <xf numFmtId="0" fontId="20" fillId="0" borderId="66" xfId="129" applyFont="1" applyBorder="1" applyAlignment="1">
      <alignment horizontal="center"/>
    </xf>
    <xf numFmtId="3" fontId="20" fillId="0" borderId="66" xfId="129" applyNumberFormat="1" applyFont="1" applyBorder="1"/>
    <xf numFmtId="3" fontId="20" fillId="0" borderId="85" xfId="129" applyNumberFormat="1" applyFont="1" applyBorder="1"/>
    <xf numFmtId="0" fontId="20" fillId="0" borderId="19" xfId="129" applyFont="1" applyBorder="1" applyAlignment="1">
      <alignment wrapText="1"/>
    </xf>
    <xf numFmtId="0" fontId="20" fillId="0" borderId="23" xfId="129" applyFont="1" applyBorder="1" applyAlignment="1">
      <alignment horizontal="center"/>
    </xf>
    <xf numFmtId="3" fontId="20" fillId="0" borderId="23" xfId="129" applyNumberFormat="1" applyFont="1" applyBorder="1"/>
    <xf numFmtId="3" fontId="20" fillId="0" borderId="70" xfId="129" applyNumberFormat="1" applyFont="1" applyBorder="1"/>
    <xf numFmtId="0" fontId="29" fillId="0" borderId="70" xfId="129" applyFont="1" applyBorder="1"/>
    <xf numFmtId="0" fontId="24" fillId="0" borderId="36" xfId="129" applyFont="1" applyBorder="1" applyAlignment="1">
      <alignment wrapText="1"/>
    </xf>
    <xf numFmtId="0" fontId="24" fillId="0" borderId="26" xfId="129" applyFont="1" applyBorder="1" applyAlignment="1">
      <alignment horizontal="center"/>
    </xf>
    <xf numFmtId="3" fontId="24" fillId="0" borderId="26" xfId="129" applyNumberFormat="1" applyFont="1" applyBorder="1"/>
    <xf numFmtId="3" fontId="24" fillId="0" borderId="37" xfId="129" applyNumberFormat="1" applyFont="1" applyBorder="1"/>
    <xf numFmtId="0" fontId="29" fillId="0" borderId="0" xfId="131"/>
    <xf numFmtId="0" fontId="53" fillId="0" borderId="76" xfId="132" applyFont="1" applyBorder="1" applyAlignment="1">
      <alignment horizontal="center"/>
    </xf>
    <xf numFmtId="0" fontId="53" fillId="0" borderId="77" xfId="132" applyFont="1" applyBorder="1" applyAlignment="1">
      <alignment horizontal="center"/>
    </xf>
    <xf numFmtId="0" fontId="53" fillId="0" borderId="78" xfId="132" applyFont="1" applyBorder="1" applyAlignment="1">
      <alignment horizontal="center"/>
    </xf>
    <xf numFmtId="0" fontId="54" fillId="0" borderId="153" xfId="132" applyFont="1" applyBorder="1"/>
    <xf numFmtId="0" fontId="54" fillId="0" borderId="154" xfId="132" applyFont="1" applyBorder="1"/>
    <xf numFmtId="0" fontId="55" fillId="0" borderId="154" xfId="132" applyFont="1" applyBorder="1" applyAlignment="1">
      <alignment horizontal="center"/>
    </xf>
    <xf numFmtId="0" fontId="53" fillId="0" borderId="154" xfId="132" applyFont="1" applyBorder="1" applyAlignment="1">
      <alignment horizontal="center"/>
    </xf>
    <xf numFmtId="0" fontId="53" fillId="0" borderId="79" xfId="132" applyFont="1" applyBorder="1" applyAlignment="1">
      <alignment horizontal="center"/>
    </xf>
    <xf numFmtId="0" fontId="53" fillId="0" borderId="149" xfId="132" applyFont="1" applyBorder="1" applyAlignment="1">
      <alignment horizontal="center"/>
    </xf>
    <xf numFmtId="0" fontId="53" fillId="0" borderId="155" xfId="132" applyFont="1" applyBorder="1" applyAlignment="1">
      <alignment horizontal="center"/>
    </xf>
    <xf numFmtId="0" fontId="53" fillId="0" borderId="65" xfId="132" applyFont="1" applyBorder="1" applyAlignment="1">
      <alignment horizontal="center"/>
    </xf>
    <xf numFmtId="0" fontId="50" fillId="0" borderId="19" xfId="132" applyFont="1" applyBorder="1" applyAlignment="1">
      <alignment horizontal="center"/>
    </xf>
    <xf numFmtId="0" fontId="50" fillId="0" borderId="23" xfId="132" applyFont="1" applyBorder="1" applyAlignment="1">
      <alignment wrapText="1"/>
    </xf>
    <xf numFmtId="0" fontId="50" fillId="0" borderId="23" xfId="132" applyFont="1" applyBorder="1"/>
    <xf numFmtId="168" fontId="56" fillId="0" borderId="23" xfId="132" applyNumberFormat="1" applyFont="1" applyBorder="1" applyAlignment="1">
      <alignment horizontal="right"/>
    </xf>
    <xf numFmtId="168" fontId="56" fillId="0" borderId="32" xfId="132" applyNumberFormat="1" applyFont="1" applyBorder="1" applyAlignment="1">
      <alignment horizontal="right"/>
    </xf>
    <xf numFmtId="0" fontId="15" fillId="0" borderId="19" xfId="132" applyFont="1" applyBorder="1" applyAlignment="1">
      <alignment horizontal="center"/>
    </xf>
    <xf numFmtId="0" fontId="15" fillId="0" borderId="23" xfId="132" applyFont="1" applyBorder="1"/>
    <xf numFmtId="168" fontId="49" fillId="0" borderId="23" xfId="132" applyNumberFormat="1" applyFont="1" applyBorder="1" applyAlignment="1">
      <alignment horizontal="right"/>
    </xf>
    <xf numFmtId="168" fontId="49" fillId="0" borderId="32" xfId="132" applyNumberFormat="1" applyFont="1" applyBorder="1" applyAlignment="1">
      <alignment horizontal="right"/>
    </xf>
    <xf numFmtId="0" fontId="56" fillId="0" borderId="19" xfId="132" applyFont="1" applyBorder="1" applyAlignment="1">
      <alignment horizontal="center" wrapText="1"/>
    </xf>
    <xf numFmtId="0" fontId="56" fillId="0" borderId="23" xfId="132" applyFont="1" applyBorder="1" applyAlignment="1">
      <alignment wrapText="1"/>
    </xf>
    <xf numFmtId="0" fontId="56" fillId="0" borderId="66" xfId="132" applyFont="1" applyBorder="1" applyAlignment="1">
      <alignment wrapText="1"/>
    </xf>
    <xf numFmtId="0" fontId="56" fillId="0" borderId="66" xfId="132" applyFont="1" applyBorder="1"/>
    <xf numFmtId="168" fontId="56" fillId="0" borderId="66" xfId="132" applyNumberFormat="1" applyFont="1" applyBorder="1"/>
    <xf numFmtId="0" fontId="29" fillId="0" borderId="23" xfId="131" applyBorder="1"/>
    <xf numFmtId="0" fontId="49" fillId="0" borderId="23" xfId="132" applyFont="1" applyBorder="1"/>
    <xf numFmtId="3" fontId="57" fillId="29" borderId="10" xfId="84" applyNumberFormat="1" applyFont="1" applyFill="1" applyBorder="1" applyAlignment="1">
      <alignment horizontal="right" wrapText="1"/>
    </xf>
    <xf numFmtId="3" fontId="29" fillId="0" borderId="0" xfId="131" applyNumberFormat="1"/>
    <xf numFmtId="0" fontId="49" fillId="0" borderId="23" xfId="132" applyFont="1" applyBorder="1" applyAlignment="1">
      <alignment wrapText="1"/>
    </xf>
    <xf numFmtId="3" fontId="57" fillId="29" borderId="14" xfId="84" applyNumberFormat="1" applyFont="1" applyFill="1" applyBorder="1" applyAlignment="1">
      <alignment horizontal="right" wrapText="1"/>
    </xf>
    <xf numFmtId="0" fontId="56" fillId="0" borderId="52" xfId="132" applyFont="1" applyBorder="1" applyAlignment="1">
      <alignment horizontal="center" wrapText="1"/>
    </xf>
    <xf numFmtId="0" fontId="56" fillId="0" borderId="75" xfId="132" applyFont="1" applyBorder="1" applyAlignment="1">
      <alignment wrapText="1"/>
    </xf>
    <xf numFmtId="0" fontId="15" fillId="0" borderId="75" xfId="132" applyFont="1" applyBorder="1"/>
    <xf numFmtId="168" fontId="49" fillId="0" borderId="75" xfId="132" applyNumberFormat="1" applyFont="1" applyBorder="1" applyAlignment="1">
      <alignment horizontal="right"/>
    </xf>
    <xf numFmtId="168" fontId="49" fillId="0" borderId="53" xfId="132" applyNumberFormat="1" applyFont="1" applyBorder="1" applyAlignment="1">
      <alignment horizontal="right"/>
    </xf>
    <xf numFmtId="0" fontId="50" fillId="0" borderId="57" xfId="132" applyFont="1" applyBorder="1" applyAlignment="1">
      <alignment horizontal="center"/>
    </xf>
    <xf numFmtId="0" fontId="50" fillId="0" borderId="58" xfId="132" applyFont="1" applyBorder="1"/>
    <xf numFmtId="3" fontId="50" fillId="0" borderId="58" xfId="132" applyNumberFormat="1" applyFont="1" applyBorder="1" applyAlignment="1">
      <alignment horizontal="right"/>
    </xf>
    <xf numFmtId="3" fontId="50" fillId="0" borderId="72" xfId="132" applyNumberFormat="1" applyFont="1" applyBorder="1" applyAlignment="1">
      <alignment horizontal="right"/>
    </xf>
    <xf numFmtId="0" fontId="29" fillId="0" borderId="0" xfId="127"/>
    <xf numFmtId="0" fontId="46" fillId="0" borderId="0" xfId="70"/>
    <xf numFmtId="0" fontId="29" fillId="0" borderId="0" xfId="127" applyAlignment="1">
      <alignment horizontal="center"/>
    </xf>
    <xf numFmtId="0" fontId="50" fillId="0" borderId="13" xfId="127" applyFont="1" applyBorder="1" applyAlignment="1">
      <alignment horizontal="center"/>
    </xf>
    <xf numFmtId="0" fontId="50" fillId="0" borderId="30" xfId="127" applyFont="1" applyBorder="1" applyAlignment="1">
      <alignment horizontal="center"/>
    </xf>
    <xf numFmtId="0" fontId="15" fillId="0" borderId="156" xfId="127" applyFont="1" applyBorder="1" applyAlignment="1">
      <alignment horizontal="center"/>
    </xf>
    <xf numFmtId="0" fontId="50" fillId="0" borderId="156" xfId="127" applyFont="1" applyBorder="1" applyAlignment="1">
      <alignment horizontal="center"/>
    </xf>
    <xf numFmtId="0" fontId="50" fillId="0" borderId="157" xfId="127" applyFont="1" applyBorder="1" applyAlignment="1">
      <alignment horizontal="center"/>
    </xf>
    <xf numFmtId="0" fontId="50" fillId="0" borderId="14" xfId="127" applyFont="1" applyBorder="1" applyAlignment="1">
      <alignment horizontal="center"/>
    </xf>
    <xf numFmtId="0" fontId="50" fillId="0" borderId="23" xfId="127" applyFont="1" applyBorder="1" applyAlignment="1">
      <alignment horizontal="center"/>
    </xf>
    <xf numFmtId="0" fontId="50" fillId="0" borderId="23" xfId="127" applyFont="1" applyBorder="1" applyAlignment="1">
      <alignment horizontal="center" wrapText="1"/>
    </xf>
    <xf numFmtId="0" fontId="15" fillId="0" borderId="67" xfId="127" applyFont="1" applyBorder="1" applyAlignment="1">
      <alignment horizontal="center"/>
    </xf>
    <xf numFmtId="0" fontId="50" fillId="0" borderId="73" xfId="127" applyFont="1" applyBorder="1" applyAlignment="1">
      <alignment horizontal="center"/>
    </xf>
    <xf numFmtId="0" fontId="15" fillId="0" borderId="73" xfId="127" applyFont="1" applyBorder="1" applyAlignment="1">
      <alignment horizontal="center"/>
    </xf>
    <xf numFmtId="0" fontId="50" fillId="0" borderId="10" xfId="127" applyFont="1" applyBorder="1" applyAlignment="1">
      <alignment horizontal="center"/>
    </xf>
    <xf numFmtId="0" fontId="50" fillId="0" borderId="10" xfId="127" applyFont="1" applyBorder="1" applyAlignment="1">
      <alignment wrapText="1"/>
    </xf>
    <xf numFmtId="0" fontId="15" fillId="32" borderId="10" xfId="127" applyFont="1" applyFill="1" applyBorder="1"/>
    <xf numFmtId="0" fontId="15" fillId="0" borderId="10" xfId="127" applyFont="1" applyBorder="1"/>
    <xf numFmtId="0" fontId="50" fillId="0" borderId="67" xfId="127" applyFont="1" applyBorder="1" applyAlignment="1">
      <alignment horizontal="center"/>
    </xf>
    <xf numFmtId="0" fontId="29" fillId="0" borderId="67" xfId="127" applyBorder="1"/>
    <xf numFmtId="0" fontId="15" fillId="0" borderId="67" xfId="127" applyFont="1" applyBorder="1"/>
    <xf numFmtId="0" fontId="50" fillId="0" borderId="10" xfId="127" applyFont="1" applyBorder="1"/>
    <xf numFmtId="0" fontId="29" fillId="0" borderId="10" xfId="127" applyBorder="1"/>
    <xf numFmtId="0" fontId="15" fillId="0" borderId="13" xfId="127" applyFont="1" applyBorder="1"/>
    <xf numFmtId="3" fontId="50" fillId="0" borderId="10" xfId="127" applyNumberFormat="1" applyFont="1" applyBorder="1"/>
    <xf numFmtId="3" fontId="15" fillId="0" borderId="67" xfId="127" applyNumberFormat="1" applyFont="1" applyBorder="1"/>
    <xf numFmtId="3" fontId="15" fillId="0" borderId="10" xfId="127" applyNumberFormat="1" applyFont="1" applyBorder="1"/>
    <xf numFmtId="0" fontId="50" fillId="0" borderId="13" xfId="127" applyFont="1" applyBorder="1"/>
    <xf numFmtId="3" fontId="50" fillId="0" borderId="13" xfId="127" applyNumberFormat="1" applyFont="1" applyBorder="1"/>
    <xf numFmtId="0" fontId="29" fillId="0" borderId="10" xfId="52" applyFont="1" applyBorder="1" applyAlignment="1">
      <alignment wrapText="1"/>
    </xf>
    <xf numFmtId="0" fontId="29" fillId="0" borderId="10" xfId="52" applyFont="1" applyBorder="1" applyAlignment="1">
      <alignment horizontal="center"/>
    </xf>
    <xf numFmtId="0" fontId="15" fillId="33" borderId="10" xfId="127" applyFont="1" applyFill="1" applyBorder="1" applyAlignment="1">
      <alignment horizontal="center"/>
    </xf>
    <xf numFmtId="3" fontId="49" fillId="0" borderId="10" xfId="127" applyNumberFormat="1" applyFont="1" applyBorder="1"/>
    <xf numFmtId="0" fontId="29" fillId="0" borderId="0" xfId="127" applyBorder="1"/>
    <xf numFmtId="3" fontId="15" fillId="0" borderId="13" xfId="127" applyNumberFormat="1" applyFont="1" applyBorder="1"/>
    <xf numFmtId="0" fontId="22" fillId="0" borderId="10" xfId="127" applyFont="1" applyBorder="1" applyAlignment="1">
      <alignment horizontal="center"/>
    </xf>
    <xf numFmtId="3" fontId="22" fillId="0" borderId="10" xfId="127" applyNumberFormat="1" applyFont="1" applyBorder="1"/>
    <xf numFmtId="0" fontId="20" fillId="0" borderId="0" xfId="130" applyFont="1"/>
    <xf numFmtId="0" fontId="20" fillId="0" borderId="0" xfId="130" applyFont="1" applyFill="1"/>
    <xf numFmtId="0" fontId="21" fillId="0" borderId="13" xfId="85" applyFont="1" applyBorder="1" applyAlignment="1">
      <alignment horizontal="center"/>
    </xf>
    <xf numFmtId="0" fontId="21" fillId="0" borderId="30" xfId="85" applyFont="1" applyBorder="1" applyAlignment="1">
      <alignment horizontal="center"/>
    </xf>
    <xf numFmtId="0" fontId="58" fillId="0" borderId="13" xfId="85" applyFont="1" applyFill="1" applyBorder="1" applyAlignment="1">
      <alignment horizontal="center"/>
    </xf>
    <xf numFmtId="0" fontId="58" fillId="0" borderId="13" xfId="85" applyFont="1" applyBorder="1" applyAlignment="1">
      <alignment horizontal="center"/>
    </xf>
    <xf numFmtId="0" fontId="20" fillId="0" borderId="156" xfId="85" applyFont="1" applyBorder="1" applyAlignment="1">
      <alignment horizontal="center"/>
    </xf>
    <xf numFmtId="0" fontId="20" fillId="0" borderId="157" xfId="85" applyFont="1" applyBorder="1" applyAlignment="1">
      <alignment horizontal="center"/>
    </xf>
    <xf numFmtId="0" fontId="21" fillId="0" borderId="157" xfId="85" applyFont="1" applyBorder="1" applyAlignment="1">
      <alignment horizontal="center"/>
    </xf>
    <xf numFmtId="0" fontId="58" fillId="0" borderId="157" xfId="85" applyFont="1" applyFill="1" applyBorder="1" applyAlignment="1">
      <alignment horizontal="center"/>
    </xf>
    <xf numFmtId="0" fontId="58" fillId="0" borderId="156" xfId="85" applyFont="1" applyBorder="1" applyAlignment="1">
      <alignment horizontal="center" wrapText="1"/>
    </xf>
    <xf numFmtId="0" fontId="20" fillId="0" borderId="67" xfId="85" applyFont="1" applyBorder="1" applyAlignment="1">
      <alignment horizontal="center"/>
    </xf>
    <xf numFmtId="0" fontId="20" fillId="0" borderId="73" xfId="85" applyFont="1" applyBorder="1" applyAlignment="1">
      <alignment horizontal="center"/>
    </xf>
    <xf numFmtId="0" fontId="21" fillId="0" borderId="73" xfId="85" applyFont="1" applyBorder="1" applyAlignment="1">
      <alignment horizontal="center"/>
    </xf>
    <xf numFmtId="0" fontId="20" fillId="0" borderId="73" xfId="85" applyFont="1" applyBorder="1" applyAlignment="1">
      <alignment horizontal="center" wrapText="1"/>
    </xf>
    <xf numFmtId="0" fontId="58" fillId="0" borderId="73" xfId="85" applyFont="1" applyFill="1" applyBorder="1" applyAlignment="1">
      <alignment horizontal="center"/>
    </xf>
    <xf numFmtId="0" fontId="58" fillId="0" borderId="67" xfId="85" applyFont="1" applyBorder="1" applyAlignment="1">
      <alignment wrapText="1"/>
    </xf>
    <xf numFmtId="0" fontId="21" fillId="0" borderId="10" xfId="85" applyFont="1" applyBorder="1" applyAlignment="1">
      <alignment horizontal="center"/>
    </xf>
    <xf numFmtId="0" fontId="21" fillId="0" borderId="29" xfId="85" applyFont="1" applyBorder="1" applyAlignment="1">
      <alignment horizontal="center"/>
    </xf>
    <xf numFmtId="0" fontId="58" fillId="0" borderId="29" xfId="85" applyFont="1" applyFill="1" applyBorder="1" applyAlignment="1">
      <alignment horizontal="center"/>
    </xf>
    <xf numFmtId="0" fontId="58" fillId="0" borderId="29" xfId="85" applyFont="1" applyBorder="1" applyAlignment="1">
      <alignment horizontal="center"/>
    </xf>
    <xf numFmtId="0" fontId="58" fillId="0" borderId="74" xfId="85" applyFont="1" applyBorder="1" applyAlignment="1">
      <alignment horizontal="center"/>
    </xf>
    <xf numFmtId="0" fontId="21" fillId="0" borderId="10" xfId="130" applyFont="1" applyBorder="1" applyAlignment="1">
      <alignment horizontal="center"/>
    </xf>
    <xf numFmtId="0" fontId="21" fillId="0" borderId="30" xfId="85" applyFont="1" applyBorder="1"/>
    <xf numFmtId="0" fontId="20" fillId="32" borderId="30" xfId="85" applyFont="1" applyFill="1" applyBorder="1"/>
    <xf numFmtId="0" fontId="20" fillId="0" borderId="158" xfId="85" applyFont="1" applyBorder="1"/>
    <xf numFmtId="0" fontId="20" fillId="0" borderId="159" xfId="85" applyFont="1" applyBorder="1"/>
    <xf numFmtId="0" fontId="51" fillId="0" borderId="159" xfId="85" applyFont="1" applyFill="1" applyBorder="1"/>
    <xf numFmtId="0" fontId="51" fillId="0" borderId="159" xfId="85" applyFont="1" applyBorder="1"/>
    <xf numFmtId="0" fontId="20" fillId="0" borderId="10" xfId="130" applyFont="1" applyBorder="1"/>
    <xf numFmtId="0" fontId="21" fillId="0" borderId="157" xfId="85" applyFont="1" applyBorder="1"/>
    <xf numFmtId="0" fontId="20" fillId="32" borderId="157" xfId="85" applyFont="1" applyFill="1" applyBorder="1"/>
    <xf numFmtId="0" fontId="20" fillId="0" borderId="157" xfId="85" applyFont="1" applyBorder="1"/>
    <xf numFmtId="0" fontId="51" fillId="0" borderId="157" xfId="85" applyFont="1" applyFill="1" applyBorder="1"/>
    <xf numFmtId="0" fontId="51" fillId="0" borderId="157" xfId="85" applyFont="1" applyBorder="1"/>
    <xf numFmtId="0" fontId="51" fillId="0" borderId="0" xfId="85" applyFont="1" applyBorder="1"/>
    <xf numFmtId="0" fontId="20" fillId="0" borderId="10" xfId="85" applyFont="1" applyBorder="1" applyAlignment="1">
      <alignment horizontal="center"/>
    </xf>
    <xf numFmtId="0" fontId="20" fillId="0" borderId="10" xfId="85" applyFont="1" applyBorder="1"/>
    <xf numFmtId="0" fontId="51" fillId="0" borderId="10" xfId="85" applyFont="1" applyFill="1" applyBorder="1"/>
    <xf numFmtId="0" fontId="51" fillId="0" borderId="10" xfId="85" applyFont="1" applyBorder="1"/>
    <xf numFmtId="0" fontId="51" fillId="0" borderId="12" xfId="85" applyFont="1" applyBorder="1"/>
    <xf numFmtId="0" fontId="21" fillId="0" borderId="158" xfId="85" applyFont="1" applyBorder="1"/>
    <xf numFmtId="0" fontId="20" fillId="0" borderId="30" xfId="85" applyFont="1" applyBorder="1"/>
    <xf numFmtId="0" fontId="51" fillId="0" borderId="30" xfId="85" applyFont="1" applyFill="1" applyBorder="1"/>
    <xf numFmtId="0" fontId="51" fillId="0" borderId="30" xfId="85" applyFont="1" applyBorder="1"/>
    <xf numFmtId="0" fontId="51" fillId="0" borderId="11" xfId="85" applyFont="1" applyBorder="1"/>
    <xf numFmtId="0" fontId="21" fillId="0" borderId="160" xfId="85" applyFont="1" applyBorder="1"/>
    <xf numFmtId="168" fontId="21" fillId="0" borderId="10" xfId="85" applyNumberFormat="1" applyFont="1" applyBorder="1"/>
    <xf numFmtId="168" fontId="21" fillId="0" borderId="10" xfId="85" applyNumberFormat="1" applyFont="1" applyFill="1" applyBorder="1"/>
    <xf numFmtId="0" fontId="20" fillId="0" borderId="67" xfId="130" applyFont="1" applyBorder="1" applyAlignment="1">
      <alignment wrapText="1"/>
    </xf>
    <xf numFmtId="0" fontId="20" fillId="0" borderId="67" xfId="130" applyFont="1" applyBorder="1" applyAlignment="1">
      <alignment horizontal="center"/>
    </xf>
    <xf numFmtId="3" fontId="20" fillId="0" borderId="10" xfId="85" applyNumberFormat="1" applyFont="1" applyBorder="1"/>
    <xf numFmtId="3" fontId="51" fillId="0" borderId="10" xfId="85" applyNumberFormat="1" applyFont="1" applyFill="1" applyBorder="1"/>
    <xf numFmtId="3" fontId="51" fillId="0" borderId="10" xfId="85" applyNumberFormat="1" applyFont="1" applyBorder="1"/>
    <xf numFmtId="168" fontId="58" fillId="0" borderId="10" xfId="85" applyNumberFormat="1" applyFont="1" applyBorder="1"/>
    <xf numFmtId="3" fontId="58" fillId="0" borderId="12" xfId="85" applyNumberFormat="1" applyFont="1" applyBorder="1"/>
    <xf numFmtId="3" fontId="20" fillId="0" borderId="10" xfId="130" applyNumberFormat="1" applyFont="1" applyBorder="1"/>
    <xf numFmtId="0" fontId="20" fillId="0" borderId="10" xfId="130" applyFont="1" applyBorder="1" applyAlignment="1">
      <alignment wrapText="1"/>
    </xf>
    <xf numFmtId="0" fontId="20" fillId="0" borderId="10" xfId="130" applyFont="1" applyBorder="1" applyAlignment="1">
      <alignment horizontal="center"/>
    </xf>
    <xf numFmtId="168" fontId="59" fillId="0" borderId="10" xfId="85" applyNumberFormat="1" applyFont="1" applyBorder="1"/>
    <xf numFmtId="0" fontId="21" fillId="0" borderId="10" xfId="130" applyFont="1" applyBorder="1" applyAlignment="1">
      <alignment wrapText="1"/>
    </xf>
    <xf numFmtId="3" fontId="21" fillId="0" borderId="10" xfId="85" applyNumberFormat="1" applyFont="1" applyBorder="1"/>
    <xf numFmtId="3" fontId="21" fillId="0" borderId="10" xfId="85" applyNumberFormat="1" applyFont="1" applyFill="1" applyBorder="1"/>
    <xf numFmtId="0" fontId="20" fillId="0" borderId="13" xfId="130" applyFont="1" applyBorder="1" applyAlignment="1">
      <alignment horizontal="center"/>
    </xf>
    <xf numFmtId="0" fontId="20" fillId="0" borderId="10" xfId="85" applyFont="1" applyFill="1" applyBorder="1" applyAlignment="1">
      <alignment horizontal="center"/>
    </xf>
    <xf numFmtId="0" fontId="20" fillId="0" borderId="10" xfId="130" applyFont="1" applyFill="1" applyBorder="1" applyAlignment="1">
      <alignment wrapText="1"/>
    </xf>
    <xf numFmtId="0" fontId="20" fillId="0" borderId="13" xfId="130" applyFont="1" applyFill="1" applyBorder="1" applyAlignment="1">
      <alignment horizontal="center"/>
    </xf>
    <xf numFmtId="3" fontId="20" fillId="0" borderId="10" xfId="85" applyNumberFormat="1" applyFont="1" applyFill="1" applyBorder="1"/>
    <xf numFmtId="168" fontId="59" fillId="0" borderId="10" xfId="85" applyNumberFormat="1" applyFont="1" applyFill="1" applyBorder="1"/>
    <xf numFmtId="3" fontId="59" fillId="0" borderId="12" xfId="85" applyNumberFormat="1" applyFont="1" applyFill="1" applyBorder="1"/>
    <xf numFmtId="0" fontId="29" fillId="0" borderId="0" xfId="69" applyFill="1"/>
    <xf numFmtId="3" fontId="51" fillId="0" borderId="12" xfId="85" applyNumberFormat="1" applyFont="1" applyBorder="1"/>
    <xf numFmtId="3" fontId="58" fillId="0" borderId="10" xfId="85" applyNumberFormat="1" applyFont="1" applyFill="1" applyBorder="1"/>
    <xf numFmtId="3" fontId="58" fillId="0" borderId="10" xfId="85" applyNumberFormat="1" applyFont="1" applyBorder="1"/>
    <xf numFmtId="0" fontId="21" fillId="0" borderId="10" xfId="85" applyFont="1" applyBorder="1"/>
    <xf numFmtId="0" fontId="20" fillId="32" borderId="10" xfId="85" applyFont="1" applyFill="1" applyBorder="1"/>
    <xf numFmtId="0" fontId="20" fillId="0" borderId="10" xfId="85" applyFont="1" applyBorder="1" applyAlignment="1">
      <alignment horizontal="left" wrapText="1"/>
    </xf>
    <xf numFmtId="3" fontId="20" fillId="0" borderId="10" xfId="85" applyNumberFormat="1" applyFont="1" applyBorder="1" applyAlignment="1">
      <alignment horizontal="right" wrapText="1"/>
    </xf>
    <xf numFmtId="3" fontId="51" fillId="0" borderId="10" xfId="85" applyNumberFormat="1" applyFont="1" applyFill="1" applyBorder="1" applyAlignment="1">
      <alignment horizontal="right"/>
    </xf>
    <xf numFmtId="3" fontId="51" fillId="0" borderId="10" xfId="85" applyNumberFormat="1" applyFont="1" applyBorder="1" applyAlignment="1">
      <alignment horizontal="right"/>
    </xf>
    <xf numFmtId="168" fontId="51" fillId="0" borderId="10" xfId="85" applyNumberFormat="1" applyFont="1" applyBorder="1"/>
    <xf numFmtId="0" fontId="20" fillId="0" borderId="10" xfId="85" applyFont="1" applyBorder="1" applyAlignment="1">
      <alignment wrapText="1"/>
    </xf>
    <xf numFmtId="0" fontId="20" fillId="0" borderId="10" xfId="85" applyFont="1" applyFill="1" applyBorder="1" applyAlignment="1">
      <alignment horizontal="left" wrapText="1"/>
    </xf>
    <xf numFmtId="3" fontId="20" fillId="34" borderId="10" xfId="85" applyNumberFormat="1" applyFont="1" applyFill="1" applyBorder="1" applyAlignment="1">
      <alignment horizontal="right" wrapText="1"/>
    </xf>
    <xf numFmtId="3" fontId="51" fillId="34" borderId="10" xfId="85" applyNumberFormat="1" applyFont="1" applyFill="1" applyBorder="1" applyAlignment="1">
      <alignment horizontal="right"/>
    </xf>
    <xf numFmtId="168" fontId="51" fillId="34" borderId="10" xfId="85" applyNumberFormat="1" applyFont="1" applyFill="1" applyBorder="1"/>
    <xf numFmtId="3" fontId="51" fillId="34" borderId="12" xfId="85" applyNumberFormat="1" applyFont="1" applyFill="1" applyBorder="1"/>
    <xf numFmtId="3" fontId="20" fillId="34" borderId="10" xfId="85" applyNumberFormat="1" applyFont="1" applyFill="1" applyBorder="1"/>
    <xf numFmtId="3" fontId="20" fillId="0" borderId="10" xfId="85" applyNumberFormat="1" applyFont="1" applyBorder="1" applyAlignment="1">
      <alignment wrapText="1"/>
    </xf>
    <xf numFmtId="3" fontId="51" fillId="0" borderId="10" xfId="85" applyNumberFormat="1" applyFont="1" applyFill="1" applyBorder="1" applyAlignment="1"/>
    <xf numFmtId="3" fontId="51" fillId="0" borderId="10" xfId="85" applyNumberFormat="1" applyFont="1" applyBorder="1" applyAlignment="1"/>
    <xf numFmtId="3" fontId="51" fillId="0" borderId="12" xfId="85" applyNumberFormat="1" applyFont="1" applyFill="1" applyBorder="1"/>
    <xf numFmtId="3" fontId="20" fillId="0" borderId="10" xfId="85" applyNumberFormat="1" applyFont="1" applyFill="1" applyBorder="1" applyAlignment="1">
      <alignment horizontal="right" wrapText="1"/>
    </xf>
    <xf numFmtId="168" fontId="51" fillId="0" borderId="10" xfId="85" applyNumberFormat="1" applyFont="1" applyFill="1" applyBorder="1"/>
    <xf numFmtId="0" fontId="20" fillId="0" borderId="67" xfId="130" applyFont="1" applyFill="1" applyBorder="1" applyAlignment="1">
      <alignment wrapText="1"/>
    </xf>
    <xf numFmtId="0" fontId="20" fillId="0" borderId="67" xfId="130" applyFont="1" applyFill="1" applyBorder="1" applyAlignment="1">
      <alignment horizontal="center"/>
    </xf>
    <xf numFmtId="3" fontId="20" fillId="0" borderId="67" xfId="130" applyNumberFormat="1" applyFont="1" applyFill="1" applyBorder="1"/>
    <xf numFmtId="3" fontId="20" fillId="0" borderId="67" xfId="130" applyNumberFormat="1" applyFont="1" applyFill="1" applyBorder="1" applyAlignment="1">
      <alignment horizontal="right"/>
    </xf>
    <xf numFmtId="168" fontId="20" fillId="0" borderId="10" xfId="85" applyNumberFormat="1" applyFont="1" applyFill="1" applyBorder="1"/>
    <xf numFmtId="0" fontId="20" fillId="0" borderId="158" xfId="85" applyFont="1" applyFill="1" applyBorder="1" applyAlignment="1">
      <alignment horizontal="center"/>
    </xf>
    <xf numFmtId="0" fontId="20" fillId="0" borderId="160" xfId="130" applyFont="1" applyFill="1" applyBorder="1" applyAlignment="1">
      <alignment wrapText="1"/>
    </xf>
    <xf numFmtId="0" fontId="20" fillId="0" borderId="160" xfId="130" applyFont="1" applyFill="1" applyBorder="1" applyAlignment="1">
      <alignment horizontal="center"/>
    </xf>
    <xf numFmtId="3" fontId="20" fillId="0" borderId="160" xfId="130" applyNumberFormat="1" applyFont="1" applyFill="1" applyBorder="1"/>
    <xf numFmtId="3" fontId="20" fillId="0" borderId="160" xfId="130" applyNumberFormat="1" applyFont="1" applyFill="1" applyBorder="1" applyAlignment="1">
      <alignment horizontal="right"/>
    </xf>
    <xf numFmtId="0" fontId="20" fillId="0" borderId="48" xfId="130" applyFont="1" applyFill="1" applyBorder="1"/>
    <xf numFmtId="168" fontId="51" fillId="0" borderId="158" xfId="85" applyNumberFormat="1" applyFont="1" applyFill="1" applyBorder="1"/>
    <xf numFmtId="0" fontId="29" fillId="0" borderId="48" xfId="69" applyFill="1" applyBorder="1"/>
    <xf numFmtId="0" fontId="20" fillId="0" borderId="10" xfId="85" applyFont="1" applyFill="1" applyBorder="1" applyAlignment="1">
      <alignment wrapText="1"/>
    </xf>
    <xf numFmtId="0" fontId="20" fillId="29" borderId="10" xfId="85" applyFont="1" applyFill="1" applyBorder="1" applyAlignment="1">
      <alignment horizontal="center"/>
    </xf>
    <xf numFmtId="168" fontId="20" fillId="0" borderId="10" xfId="85" applyNumberFormat="1" applyFont="1" applyBorder="1"/>
    <xf numFmtId="0" fontId="20" fillId="0" borderId="10" xfId="128" applyFont="1" applyFill="1" applyBorder="1" applyAlignment="1">
      <alignment wrapText="1"/>
    </xf>
    <xf numFmtId="0" fontId="20" fillId="0" borderId="23" xfId="69" applyFont="1" applyBorder="1" applyAlignment="1">
      <alignment horizontal="center"/>
    </xf>
    <xf numFmtId="0" fontId="20" fillId="0" borderId="23" xfId="69" applyFont="1" applyBorder="1" applyAlignment="1">
      <alignment wrapText="1"/>
    </xf>
    <xf numFmtId="0" fontId="20" fillId="0" borderId="23" xfId="69" applyFont="1" applyBorder="1"/>
    <xf numFmtId="0" fontId="20" fillId="0" borderId="23" xfId="69" applyFont="1" applyFill="1" applyBorder="1"/>
    <xf numFmtId="0" fontId="20" fillId="0" borderId="29" xfId="85" applyFont="1" applyBorder="1" applyAlignment="1">
      <alignment horizontal="left" wrapText="1"/>
    </xf>
    <xf numFmtId="0" fontId="20" fillId="0" borderId="29" xfId="85" applyFont="1" applyBorder="1" applyAlignment="1">
      <alignment horizontal="center"/>
    </xf>
    <xf numFmtId="3" fontId="20" fillId="0" borderId="29" xfId="85" applyNumberFormat="1" applyFont="1" applyBorder="1" applyAlignment="1">
      <alignment horizontal="center"/>
    </xf>
    <xf numFmtId="0" fontId="51" fillId="0" borderId="29" xfId="85" applyFont="1" applyFill="1" applyBorder="1" applyAlignment="1">
      <alignment horizontal="center"/>
    </xf>
    <xf numFmtId="0" fontId="51" fillId="0" borderId="29" xfId="85" applyFont="1" applyBorder="1" applyAlignment="1">
      <alignment horizontal="center"/>
    </xf>
    <xf numFmtId="0" fontId="20" fillId="0" borderId="0" xfId="69" applyFont="1"/>
    <xf numFmtId="168" fontId="20" fillId="34" borderId="10" xfId="85" applyNumberFormat="1" applyFont="1" applyFill="1" applyBorder="1"/>
    <xf numFmtId="0" fontId="20" fillId="0" borderId="13" xfId="85" applyFont="1" applyBorder="1" applyAlignment="1">
      <alignment horizontal="center"/>
    </xf>
    <xf numFmtId="0" fontId="20" fillId="0" borderId="13" xfId="85" applyFont="1" applyBorder="1" applyAlignment="1">
      <alignment wrapText="1"/>
    </xf>
    <xf numFmtId="0" fontId="20" fillId="29" borderId="13" xfId="85" applyFont="1" applyFill="1" applyBorder="1" applyAlignment="1">
      <alignment horizontal="center"/>
    </xf>
    <xf numFmtId="168" fontId="20" fillId="0" borderId="13" xfId="85" applyNumberFormat="1" applyFont="1" applyBorder="1"/>
    <xf numFmtId="0" fontId="20" fillId="0" borderId="23" xfId="85" applyFont="1" applyBorder="1" applyAlignment="1">
      <alignment horizontal="center"/>
    </xf>
    <xf numFmtId="0" fontId="20" fillId="0" borderId="23" xfId="85" applyFont="1" applyBorder="1" applyAlignment="1">
      <alignment wrapText="1"/>
    </xf>
    <xf numFmtId="0" fontId="20" fillId="29" borderId="23" xfId="85" applyFont="1" applyFill="1" applyBorder="1" applyAlignment="1">
      <alignment horizontal="center"/>
    </xf>
    <xf numFmtId="168" fontId="20" fillId="0" borderId="23" xfId="85" applyNumberFormat="1" applyFont="1" applyBorder="1"/>
    <xf numFmtId="168" fontId="20" fillId="0" borderId="29" xfId="85" applyNumberFormat="1" applyFont="1" applyBorder="1"/>
    <xf numFmtId="0" fontId="60" fillId="0" borderId="23" xfId="85" applyFont="1" applyFill="1" applyBorder="1" applyAlignment="1">
      <alignment horizontal="center"/>
    </xf>
    <xf numFmtId="0" fontId="60" fillId="0" borderId="23" xfId="69" applyFont="1" applyFill="1" applyBorder="1" applyAlignment="1">
      <alignment wrapText="1"/>
    </xf>
    <xf numFmtId="168" fontId="20" fillId="0" borderId="23" xfId="85" applyNumberFormat="1" applyFont="1" applyFill="1" applyBorder="1"/>
    <xf numFmtId="168" fontId="20" fillId="0" borderId="29" xfId="85" applyNumberFormat="1" applyFont="1" applyFill="1" applyBorder="1"/>
    <xf numFmtId="0" fontId="60" fillId="0" borderId="23" xfId="85" applyFont="1" applyBorder="1" applyAlignment="1">
      <alignment horizontal="center"/>
    </xf>
    <xf numFmtId="0" fontId="60" fillId="0" borderId="23" xfId="69" applyFont="1" applyBorder="1" applyAlignment="1">
      <alignment wrapText="1"/>
    </xf>
    <xf numFmtId="0" fontId="60" fillId="29" borderId="23" xfId="85" applyFont="1" applyFill="1" applyBorder="1" applyAlignment="1">
      <alignment horizontal="center"/>
    </xf>
    <xf numFmtId="0" fontId="20" fillId="0" borderId="75" xfId="85" applyFont="1" applyBorder="1" applyAlignment="1">
      <alignment horizontal="center"/>
    </xf>
    <xf numFmtId="0" fontId="20" fillId="0" borderId="75" xfId="85" applyFont="1" applyFill="1" applyBorder="1" applyAlignment="1">
      <alignment wrapText="1"/>
    </xf>
    <xf numFmtId="0" fontId="20" fillId="29" borderId="75" xfId="85" applyFont="1" applyFill="1" applyBorder="1" applyAlignment="1">
      <alignment horizontal="center"/>
    </xf>
    <xf numFmtId="168" fontId="20" fillId="0" borderId="75" xfId="85" applyNumberFormat="1" applyFont="1" applyBorder="1"/>
    <xf numFmtId="168" fontId="20" fillId="0" borderId="30" xfId="85" applyNumberFormat="1" applyFont="1" applyBorder="1"/>
    <xf numFmtId="168" fontId="51" fillId="0" borderId="159" xfId="85" applyNumberFormat="1" applyFont="1" applyFill="1" applyBorder="1"/>
    <xf numFmtId="168" fontId="51" fillId="0" borderId="158" xfId="85" applyNumberFormat="1" applyFont="1" applyBorder="1"/>
    <xf numFmtId="3" fontId="51" fillId="0" borderId="94" xfId="85" applyNumberFormat="1" applyFont="1" applyBorder="1"/>
    <xf numFmtId="3" fontId="20" fillId="0" borderId="158" xfId="85" applyNumberFormat="1" applyFont="1" applyBorder="1"/>
    <xf numFmtId="0" fontId="21" fillId="0" borderId="12" xfId="85" applyFont="1" applyBorder="1" applyAlignment="1">
      <alignment horizontal="center"/>
    </xf>
    <xf numFmtId="0" fontId="21" fillId="0" borderId="23" xfId="85" applyFont="1" applyBorder="1" applyAlignment="1">
      <alignment horizontal="center"/>
    </xf>
    <xf numFmtId="0" fontId="58" fillId="0" borderId="23" xfId="85" applyFont="1" applyFill="1" applyBorder="1" applyAlignment="1">
      <alignment horizontal="center"/>
    </xf>
    <xf numFmtId="0" fontId="58" fillId="0" borderId="23" xfId="85" applyFont="1" applyBorder="1" applyAlignment="1">
      <alignment horizontal="center"/>
    </xf>
    <xf numFmtId="0" fontId="21" fillId="0" borderId="23" xfId="130" applyFont="1" applyBorder="1" applyAlignment="1">
      <alignment horizontal="center"/>
    </xf>
    <xf numFmtId="0" fontId="20" fillId="0" borderId="33" xfId="69" applyFont="1" applyBorder="1" applyAlignment="1">
      <alignment horizontal="center"/>
    </xf>
    <xf numFmtId="3" fontId="20" fillId="0" borderId="23" xfId="69" applyNumberFormat="1" applyFont="1" applyBorder="1"/>
    <xf numFmtId="3" fontId="51" fillId="0" borderId="23" xfId="85" applyNumberFormat="1" applyFont="1" applyBorder="1"/>
    <xf numFmtId="3" fontId="20" fillId="0" borderId="23" xfId="85" applyNumberFormat="1" applyFont="1" applyBorder="1"/>
    <xf numFmtId="0" fontId="20" fillId="0" borderId="66" xfId="69" applyFont="1" applyBorder="1" applyAlignment="1">
      <alignment wrapText="1"/>
    </xf>
    <xf numFmtId="0" fontId="20" fillId="0" borderId="66" xfId="69" applyFont="1" applyBorder="1"/>
    <xf numFmtId="0" fontId="20" fillId="0" borderId="66" xfId="69" applyFont="1" applyFill="1" applyBorder="1"/>
    <xf numFmtId="0" fontId="20" fillId="0" borderId="161" xfId="69" applyFont="1" applyBorder="1"/>
    <xf numFmtId="3" fontId="51" fillId="0" borderId="86" xfId="85" applyNumberFormat="1" applyFont="1" applyBorder="1"/>
    <xf numFmtId="3" fontId="20" fillId="0" borderId="67" xfId="85" applyNumberFormat="1" applyFont="1" applyBorder="1"/>
    <xf numFmtId="0" fontId="20" fillId="0" borderId="23" xfId="85" applyFont="1" applyFill="1" applyBorder="1" applyAlignment="1">
      <alignment horizontal="center"/>
    </xf>
    <xf numFmtId="0" fontId="20" fillId="0" borderId="23" xfId="85" applyFont="1" applyFill="1" applyBorder="1" applyAlignment="1">
      <alignment wrapText="1"/>
    </xf>
    <xf numFmtId="0" fontId="20" fillId="0" borderId="31" xfId="69" applyFont="1" applyFill="1" applyBorder="1"/>
    <xf numFmtId="0" fontId="26" fillId="0" borderId="0" xfId="69" applyFont="1" applyFill="1"/>
    <xf numFmtId="0" fontId="26" fillId="0" borderId="19" xfId="76" applyFont="1" applyFill="1" applyBorder="1" applyAlignment="1">
      <alignment horizontal="left" wrapText="1"/>
    </xf>
    <xf numFmtId="0" fontId="20" fillId="29" borderId="67" xfId="85" applyFont="1" applyFill="1" applyBorder="1" applyAlignment="1">
      <alignment horizontal="center"/>
    </xf>
    <xf numFmtId="168" fontId="20" fillId="0" borderId="67" xfId="85" applyNumberFormat="1" applyFont="1" applyBorder="1"/>
    <xf numFmtId="168" fontId="51" fillId="0" borderId="67" xfId="85" applyNumberFormat="1" applyFont="1" applyFill="1" applyBorder="1"/>
    <xf numFmtId="168" fontId="51" fillId="0" borderId="67" xfId="85" applyNumberFormat="1" applyFont="1" applyBorder="1"/>
    <xf numFmtId="3" fontId="51" fillId="0" borderId="74" xfId="85" applyNumberFormat="1" applyFont="1" applyBorder="1"/>
    <xf numFmtId="0" fontId="20" fillId="0" borderId="67" xfId="85" applyFont="1" applyBorder="1" applyAlignment="1">
      <alignment wrapText="1"/>
    </xf>
    <xf numFmtId="169" fontId="20" fillId="0" borderId="10" xfId="85" applyNumberFormat="1" applyFont="1" applyBorder="1"/>
    <xf numFmtId="169" fontId="51" fillId="0" borderId="10" xfId="85" applyNumberFormat="1" applyFont="1" applyFill="1" applyBorder="1"/>
    <xf numFmtId="169" fontId="51" fillId="0" borderId="10" xfId="85" applyNumberFormat="1" applyFont="1" applyBorder="1"/>
    <xf numFmtId="0" fontId="20" fillId="0" borderId="0" xfId="69" applyFont="1" applyFill="1"/>
    <xf numFmtId="0" fontId="25" fillId="0" borderId="71" xfId="84" applyFont="1" applyBorder="1" applyAlignment="1">
      <alignment horizontal="center"/>
    </xf>
    <xf numFmtId="3" fontId="26" fillId="0" borderId="85" xfId="84" applyNumberFormat="1" applyFont="1" applyBorder="1"/>
    <xf numFmtId="3" fontId="26" fillId="0" borderId="32" xfId="84" applyNumberFormat="1" applyFont="1" applyBorder="1"/>
    <xf numFmtId="0" fontId="25" fillId="0" borderId="32" xfId="84" applyFont="1" applyBorder="1"/>
    <xf numFmtId="0" fontId="26" fillId="0" borderId="32" xfId="84" applyFont="1" applyBorder="1"/>
    <xf numFmtId="3" fontId="26" fillId="0" borderId="53" xfId="84" applyNumberFormat="1" applyFont="1" applyBorder="1"/>
    <xf numFmtId="3" fontId="26" fillId="0" borderId="37" xfId="84" applyNumberFormat="1" applyFont="1" applyBorder="1"/>
    <xf numFmtId="3" fontId="47" fillId="0" borderId="24" xfId="84" applyNumberFormat="1" applyFont="1" applyBorder="1" applyAlignment="1">
      <alignment horizontal="center" vertical="center" wrapText="1"/>
    </xf>
    <xf numFmtId="3" fontId="22" fillId="29" borderId="69" xfId="84" applyNumberFormat="1" applyFont="1" applyFill="1" applyBorder="1"/>
    <xf numFmtId="3" fontId="34" fillId="29" borderId="32" xfId="84" applyNumberFormat="1" applyFont="1" applyFill="1" applyBorder="1"/>
    <xf numFmtId="3" fontId="45" fillId="29" borderId="32" xfId="84" applyNumberFormat="1" applyFont="1" applyFill="1" applyBorder="1"/>
    <xf numFmtId="3" fontId="34" fillId="29" borderId="37" xfId="84" applyNumberFormat="1" applyFont="1" applyFill="1" applyBorder="1"/>
    <xf numFmtId="3" fontId="47" fillId="0" borderId="64" xfId="84" applyNumberFormat="1" applyFont="1" applyBorder="1" applyAlignment="1">
      <alignment horizontal="center" vertical="center" wrapText="1"/>
    </xf>
    <xf numFmtId="0" fontId="29" fillId="0" borderId="34" xfId="84" applyFont="1" applyBorder="1"/>
    <xf numFmtId="3" fontId="25" fillId="0" borderId="122" xfId="72" applyNumberFormat="1" applyFont="1" applyFill="1" applyBorder="1" applyAlignment="1">
      <alignment horizontal="right"/>
    </xf>
    <xf numFmtId="3" fontId="25" fillId="0" borderId="123" xfId="72" applyNumberFormat="1" applyFont="1" applyFill="1" applyBorder="1" applyAlignment="1">
      <alignment horizontal="right"/>
    </xf>
    <xf numFmtId="3" fontId="39" fillId="0" borderId="24" xfId="84" applyNumberFormat="1" applyFont="1" applyBorder="1" applyAlignment="1">
      <alignment horizontal="center" wrapText="1"/>
    </xf>
    <xf numFmtId="0" fontId="25" fillId="0" borderId="0" xfId="84" applyFont="1" applyAlignment="1">
      <alignment horizontal="center" wrapText="1"/>
    </xf>
    <xf numFmtId="0" fontId="22" fillId="29" borderId="100" xfId="84" applyFont="1" applyFill="1" applyBorder="1" applyAlignment="1">
      <alignment horizontal="center" vertical="center" wrapText="1"/>
    </xf>
    <xf numFmtId="0" fontId="22" fillId="29" borderId="22" xfId="84" applyFont="1" applyFill="1" applyBorder="1" applyAlignment="1">
      <alignment horizontal="center" vertical="center" wrapText="1"/>
    </xf>
    <xf numFmtId="0" fontId="22" fillId="29" borderId="65" xfId="84" applyFont="1" applyFill="1" applyBorder="1" applyAlignment="1">
      <alignment horizontal="center" vertical="center" wrapText="1"/>
    </xf>
    <xf numFmtId="0" fontId="22" fillId="29" borderId="84" xfId="84" applyFont="1" applyFill="1" applyBorder="1" applyAlignment="1">
      <alignment horizontal="center" vertical="center" wrapText="1"/>
    </xf>
    <xf numFmtId="0" fontId="22" fillId="29" borderId="101" xfId="84" applyFont="1" applyFill="1" applyBorder="1" applyAlignment="1">
      <alignment horizontal="center" vertical="center" wrapText="1"/>
    </xf>
    <xf numFmtId="0" fontId="22" fillId="29" borderId="128" xfId="84" applyFont="1" applyFill="1" applyBorder="1" applyAlignment="1">
      <alignment horizontal="center" vertical="center" wrapText="1"/>
    </xf>
    <xf numFmtId="0" fontId="22" fillId="29" borderId="14" xfId="84" applyFont="1" applyFill="1" applyBorder="1" applyAlignment="1">
      <alignment horizontal="center" vertical="center" wrapText="1"/>
    </xf>
    <xf numFmtId="0" fontId="22" fillId="29" borderId="96" xfId="84" applyFont="1" applyFill="1" applyBorder="1" applyAlignment="1">
      <alignment horizontal="center" vertical="center" wrapText="1"/>
    </xf>
    <xf numFmtId="0" fontId="22" fillId="29" borderId="24" xfId="84" applyFont="1" applyFill="1" applyBorder="1" applyAlignment="1">
      <alignment horizontal="center" vertical="center" wrapText="1"/>
    </xf>
    <xf numFmtId="0" fontId="22" fillId="29" borderId="47" xfId="84" applyFont="1" applyFill="1" applyBorder="1" applyAlignment="1">
      <alignment horizontal="center" vertical="center" wrapText="1"/>
    </xf>
    <xf numFmtId="0" fontId="22" fillId="29" borderId="71" xfId="84" applyFont="1" applyFill="1" applyBorder="1" applyAlignment="1">
      <alignment horizontal="center" vertical="center" wrapText="1"/>
    </xf>
    <xf numFmtId="0" fontId="22" fillId="29" borderId="25" xfId="84" applyFont="1" applyFill="1" applyBorder="1" applyAlignment="1">
      <alignment horizontal="center" vertical="center" wrapText="1"/>
    </xf>
    <xf numFmtId="0" fontId="22" fillId="29" borderId="61" xfId="84" applyFont="1" applyFill="1" applyBorder="1" applyAlignment="1">
      <alignment horizontal="center" vertical="center" wrapText="1"/>
    </xf>
    <xf numFmtId="0" fontId="22" fillId="29" borderId="91" xfId="84" applyFont="1" applyFill="1" applyBorder="1" applyAlignment="1">
      <alignment horizontal="center" vertical="center" wrapText="1"/>
    </xf>
    <xf numFmtId="0" fontId="22" fillId="29" borderId="59" xfId="84" applyFont="1" applyFill="1" applyBorder="1" applyAlignment="1">
      <alignment horizontal="center" vertical="center" wrapText="1"/>
    </xf>
    <xf numFmtId="0" fontId="22" fillId="29" borderId="60" xfId="84" applyFont="1" applyFill="1" applyBorder="1" applyAlignment="1">
      <alignment horizontal="center" vertical="center" wrapText="1"/>
    </xf>
    <xf numFmtId="0" fontId="22" fillId="0" borderId="22" xfId="84" applyFont="1" applyBorder="1" applyAlignment="1">
      <alignment horizontal="center"/>
    </xf>
    <xf numFmtId="0" fontId="22" fillId="29" borderId="129" xfId="84" applyFont="1" applyFill="1" applyBorder="1" applyAlignment="1">
      <alignment horizontal="center" vertical="center" wrapText="1"/>
    </xf>
    <xf numFmtId="0" fontId="22" fillId="29" borderId="130" xfId="84" applyFont="1" applyFill="1" applyBorder="1" applyAlignment="1">
      <alignment horizontal="center" vertical="center" wrapText="1"/>
    </xf>
    <xf numFmtId="0" fontId="25" fillId="0" borderId="0" xfId="84" applyFont="1" applyBorder="1" applyAlignment="1">
      <alignment horizontal="center"/>
    </xf>
    <xf numFmtId="0" fontId="22" fillId="29" borderId="131" xfId="84" applyFont="1" applyFill="1" applyBorder="1" applyAlignment="1">
      <alignment horizontal="center" vertical="center" wrapText="1"/>
    </xf>
    <xf numFmtId="0" fontId="22" fillId="29" borderId="38" xfId="84" applyFont="1" applyFill="1" applyBorder="1" applyAlignment="1">
      <alignment horizontal="center" vertical="center" wrapText="1"/>
    </xf>
    <xf numFmtId="0" fontId="21" fillId="29" borderId="76" xfId="84" applyFont="1" applyFill="1" applyBorder="1" applyAlignment="1">
      <alignment horizontal="center" vertical="center" wrapText="1"/>
    </xf>
    <xf numFmtId="0" fontId="21" fillId="29" borderId="46" xfId="84" applyFont="1" applyFill="1" applyBorder="1" applyAlignment="1">
      <alignment horizontal="center" vertical="center" wrapText="1"/>
    </xf>
    <xf numFmtId="0" fontId="21" fillId="29" borderId="132" xfId="84" applyFont="1" applyFill="1" applyBorder="1" applyAlignment="1">
      <alignment horizontal="center" vertical="center" wrapText="1"/>
    </xf>
    <xf numFmtId="0" fontId="21" fillId="29" borderId="77" xfId="84" applyFont="1" applyFill="1" applyBorder="1" applyAlignment="1">
      <alignment horizontal="center" vertical="center" wrapText="1"/>
    </xf>
    <xf numFmtId="0" fontId="21" fillId="29" borderId="106" xfId="84" applyFont="1" applyFill="1" applyBorder="1" applyAlignment="1">
      <alignment horizontal="center" vertical="center" wrapText="1"/>
    </xf>
    <xf numFmtId="0" fontId="21" fillId="0" borderId="57" xfId="84" applyFont="1" applyFill="1" applyBorder="1" applyAlignment="1">
      <alignment horizontal="center" vertical="center" wrapText="1"/>
    </xf>
    <xf numFmtId="0" fontId="21" fillId="0" borderId="58" xfId="84" applyFont="1" applyFill="1" applyBorder="1" applyAlignment="1">
      <alignment horizontal="center" vertical="center" wrapText="1"/>
    </xf>
    <xf numFmtId="0" fontId="21" fillId="0" borderId="72" xfId="84" applyFont="1" applyFill="1" applyBorder="1" applyAlignment="1">
      <alignment horizontal="center" vertical="center" wrapText="1"/>
    </xf>
    <xf numFmtId="0" fontId="21" fillId="0" borderId="0" xfId="0" applyFont="1" applyAlignment="1">
      <alignment horizontal="center"/>
    </xf>
    <xf numFmtId="3" fontId="21" fillId="0" borderId="40" xfId="0" applyNumberFormat="1" applyFont="1" applyBorder="1" applyAlignment="1">
      <alignment horizontal="center" wrapText="1"/>
    </xf>
    <xf numFmtId="3" fontId="21" fillId="0" borderId="26" xfId="0" applyNumberFormat="1" applyFont="1" applyBorder="1" applyAlignment="1">
      <alignment horizontal="center" wrapText="1"/>
    </xf>
    <xf numFmtId="3" fontId="21" fillId="0" borderId="69" xfId="0" applyNumberFormat="1" applyFont="1" applyBorder="1" applyAlignment="1">
      <alignment horizontal="center" wrapText="1"/>
    </xf>
    <xf numFmtId="3" fontId="21" fillId="0" borderId="37" xfId="0" applyNumberFormat="1" applyFont="1" applyBorder="1" applyAlignment="1">
      <alignment horizontal="center" wrapText="1"/>
    </xf>
    <xf numFmtId="0" fontId="21" fillId="29" borderId="135" xfId="77" applyFont="1" applyFill="1" applyBorder="1" applyAlignment="1">
      <alignment horizontal="center" vertical="center"/>
    </xf>
    <xf numFmtId="0" fontId="21" fillId="29" borderId="117" xfId="77" applyFont="1" applyFill="1" applyBorder="1" applyAlignment="1">
      <alignment horizontal="center" vertical="center"/>
    </xf>
    <xf numFmtId="0" fontId="21" fillId="0" borderId="39" xfId="77" applyFont="1" applyFill="1" applyBorder="1" applyAlignment="1">
      <alignment horizontal="center" vertical="center"/>
    </xf>
    <xf numFmtId="0" fontId="21" fillId="0" borderId="36" xfId="77" applyFont="1" applyFill="1" applyBorder="1" applyAlignment="1">
      <alignment horizontal="center" vertical="center"/>
    </xf>
    <xf numFmtId="0" fontId="21" fillId="0" borderId="40" xfId="77" applyFont="1" applyBorder="1" applyAlignment="1">
      <alignment horizontal="center" vertical="center"/>
    </xf>
    <xf numFmtId="0" fontId="21" fillId="0" borderId="26" xfId="77" applyFont="1" applyBorder="1" applyAlignment="1">
      <alignment horizontal="center" vertical="center"/>
    </xf>
    <xf numFmtId="0" fontId="21" fillId="0" borderId="40" xfId="77" applyFont="1" applyFill="1" applyBorder="1" applyAlignment="1">
      <alignment horizontal="center" vertical="center"/>
    </xf>
    <xf numFmtId="0" fontId="21" fillId="0" borderId="26" xfId="77" applyFont="1" applyFill="1" applyBorder="1" applyAlignment="1">
      <alignment horizontal="center" vertical="center"/>
    </xf>
    <xf numFmtId="0" fontId="21" fillId="29" borderId="40" xfId="77" applyFont="1" applyFill="1" applyBorder="1" applyAlignment="1">
      <alignment horizontal="center" vertical="center"/>
    </xf>
    <xf numFmtId="0" fontId="21" fillId="29" borderId="26" xfId="77" applyFont="1" applyFill="1" applyBorder="1" applyAlignment="1">
      <alignment horizontal="center" vertical="center"/>
    </xf>
    <xf numFmtId="0" fontId="25" fillId="0" borderId="0" xfId="0" applyFont="1" applyAlignment="1">
      <alignment horizontal="center"/>
    </xf>
    <xf numFmtId="0" fontId="21" fillId="0" borderId="76" xfId="84" applyFont="1" applyFill="1" applyBorder="1" applyAlignment="1">
      <alignment horizontal="center" wrapText="1"/>
    </xf>
    <xf numFmtId="0" fontId="21" fillId="0" borderId="46" xfId="84" applyFont="1" applyFill="1" applyBorder="1" applyAlignment="1">
      <alignment horizontal="center" wrapText="1"/>
    </xf>
    <xf numFmtId="0" fontId="21" fillId="0" borderId="132" xfId="84" applyFont="1" applyFill="1" applyBorder="1" applyAlignment="1">
      <alignment horizontal="center" wrapText="1"/>
    </xf>
    <xf numFmtId="0" fontId="22" fillId="0" borderId="0" xfId="76" applyFont="1" applyBorder="1" applyAlignment="1">
      <alignment horizontal="center"/>
    </xf>
    <xf numFmtId="0" fontId="22" fillId="0" borderId="0" xfId="84" applyFont="1" applyBorder="1" applyAlignment="1">
      <alignment horizontal="center"/>
    </xf>
    <xf numFmtId="0" fontId="21" fillId="0" borderId="76" xfId="84" applyFont="1" applyBorder="1" applyAlignment="1">
      <alignment horizontal="center" wrapText="1"/>
    </xf>
    <xf numFmtId="0" fontId="21" fillId="0" borderId="106" xfId="84" applyFont="1" applyBorder="1" applyAlignment="1">
      <alignment horizontal="center" wrapText="1"/>
    </xf>
    <xf numFmtId="0" fontId="21" fillId="0" borderId="132" xfId="84" applyFont="1" applyBorder="1" applyAlignment="1">
      <alignment horizontal="center" wrapText="1"/>
    </xf>
    <xf numFmtId="0" fontId="21" fillId="0" borderId="57" xfId="84" applyFont="1" applyBorder="1" applyAlignment="1">
      <alignment horizontal="center" wrapText="1"/>
    </xf>
    <xf numFmtId="0" fontId="21" fillId="0" borderId="58" xfId="84" applyFont="1" applyBorder="1" applyAlignment="1">
      <alignment horizontal="center" wrapText="1"/>
    </xf>
    <xf numFmtId="0" fontId="21" fillId="0" borderId="72" xfId="84" applyFont="1" applyBorder="1" applyAlignment="1">
      <alignment horizontal="center" wrapText="1"/>
    </xf>
    <xf numFmtId="0" fontId="21" fillId="0" borderId="62" xfId="84" applyFont="1" applyBorder="1" applyAlignment="1">
      <alignment horizontal="center" wrapText="1"/>
    </xf>
    <xf numFmtId="0" fontId="21" fillId="0" borderId="46" xfId="84" applyFont="1" applyBorder="1" applyAlignment="1">
      <alignment horizontal="center" wrapText="1"/>
    </xf>
    <xf numFmtId="0" fontId="20" fillId="0" borderId="131" xfId="84" applyFont="1" applyBorder="1" applyAlignment="1">
      <alignment horizontal="center" vertical="center" wrapText="1"/>
    </xf>
    <xf numFmtId="0" fontId="20" fillId="0" borderId="133" xfId="84" applyFont="1" applyBorder="1" applyAlignment="1">
      <alignment horizontal="center" vertical="center" wrapText="1"/>
    </xf>
    <xf numFmtId="0" fontId="21" fillId="0" borderId="131" xfId="84" applyFont="1" applyBorder="1" applyAlignment="1">
      <alignment horizontal="center" vertical="center" wrapText="1"/>
    </xf>
    <xf numFmtId="0" fontId="21" fillId="0" borderId="38" xfId="84" applyFont="1" applyBorder="1" applyAlignment="1">
      <alignment horizontal="center" vertical="center" wrapText="1"/>
    </xf>
    <xf numFmtId="0" fontId="21" fillId="0" borderId="106" xfId="84" applyFont="1" applyFill="1" applyBorder="1" applyAlignment="1">
      <alignment horizontal="center"/>
    </xf>
    <xf numFmtId="0" fontId="21" fillId="0" borderId="46" xfId="84" applyFont="1" applyFill="1" applyBorder="1" applyAlignment="1">
      <alignment horizontal="center"/>
    </xf>
    <xf numFmtId="0" fontId="21" fillId="0" borderId="77" xfId="76" applyFont="1" applyBorder="1" applyAlignment="1">
      <alignment horizontal="center" wrapText="1"/>
    </xf>
    <xf numFmtId="0" fontId="21" fillId="0" borderId="106" xfId="76" applyFont="1" applyBorder="1" applyAlignment="1">
      <alignment horizontal="center" wrapText="1"/>
    </xf>
    <xf numFmtId="0" fontId="21" fillId="0" borderId="133" xfId="84" applyFont="1" applyBorder="1" applyAlignment="1">
      <alignment horizontal="center" vertical="center" wrapText="1"/>
    </xf>
    <xf numFmtId="0" fontId="21" fillId="0" borderId="134" xfId="84" applyFont="1" applyBorder="1" applyAlignment="1">
      <alignment horizontal="center" vertical="center"/>
    </xf>
    <xf numFmtId="0" fontId="21" fillId="0" borderId="78" xfId="84" applyFont="1" applyBorder="1" applyAlignment="1">
      <alignment horizontal="center" vertical="center"/>
    </xf>
    <xf numFmtId="0" fontId="21" fillId="0" borderId="57" xfId="84" applyFont="1" applyBorder="1" applyAlignment="1">
      <alignment horizontal="center"/>
    </xf>
    <xf numFmtId="0" fontId="21" fillId="0" borderId="58" xfId="84" applyFont="1" applyBorder="1" applyAlignment="1">
      <alignment horizontal="center"/>
    </xf>
    <xf numFmtId="0" fontId="21" fillId="0" borderId="72" xfId="84" applyFont="1" applyBorder="1" applyAlignment="1">
      <alignment horizontal="center"/>
    </xf>
    <xf numFmtId="0" fontId="21" fillId="0" borderId="76" xfId="84" applyFont="1" applyFill="1" applyBorder="1" applyAlignment="1">
      <alignment horizontal="center"/>
    </xf>
    <xf numFmtId="0" fontId="21" fillId="0" borderId="132" xfId="84" applyFont="1" applyFill="1" applyBorder="1" applyAlignment="1">
      <alignment horizontal="center"/>
    </xf>
    <xf numFmtId="0" fontId="21" fillId="0" borderId="57" xfId="84" applyFont="1" applyFill="1" applyBorder="1" applyAlignment="1">
      <alignment horizontal="center"/>
    </xf>
    <xf numFmtId="0" fontId="21" fillId="0" borderId="58" xfId="84" applyFont="1" applyFill="1" applyBorder="1" applyAlignment="1">
      <alignment horizontal="center"/>
    </xf>
    <xf numFmtId="0" fontId="21" fillId="0" borderId="72" xfId="84" applyFont="1" applyFill="1" applyBorder="1" applyAlignment="1">
      <alignment horizontal="center"/>
    </xf>
    <xf numFmtId="0" fontId="21" fillId="0" borderId="57" xfId="84" applyFont="1" applyFill="1" applyBorder="1" applyAlignment="1">
      <alignment horizontal="center" wrapText="1"/>
    </xf>
    <xf numFmtId="0" fontId="21" fillId="0" borderId="116" xfId="84" applyFont="1" applyFill="1" applyBorder="1" applyAlignment="1">
      <alignment horizontal="center" wrapText="1"/>
    </xf>
    <xf numFmtId="0" fontId="21" fillId="0" borderId="72" xfId="84" applyFont="1" applyFill="1" applyBorder="1" applyAlignment="1">
      <alignment horizontal="center" wrapText="1"/>
    </xf>
    <xf numFmtId="0" fontId="21" fillId="0" borderId="77" xfId="84" applyFont="1" applyFill="1" applyBorder="1" applyAlignment="1">
      <alignment horizontal="center"/>
    </xf>
    <xf numFmtId="0" fontId="21" fillId="0" borderId="22" xfId="74" applyFont="1" applyBorder="1" applyAlignment="1">
      <alignment horizontal="center"/>
    </xf>
    <xf numFmtId="0" fontId="25" fillId="0" borderId="0" xfId="76" applyFont="1" applyAlignment="1">
      <alignment horizontal="center"/>
    </xf>
    <xf numFmtId="0" fontId="25" fillId="0" borderId="22" xfId="81" applyFont="1" applyFill="1" applyBorder="1" applyAlignment="1">
      <alignment horizontal="center" wrapText="1"/>
    </xf>
    <xf numFmtId="0" fontId="21" fillId="0" borderId="22" xfId="74" applyFont="1" applyBorder="1" applyAlignment="1">
      <alignment horizontal="center" wrapText="1"/>
    </xf>
    <xf numFmtId="3" fontId="25" fillId="0" borderId="22" xfId="72" applyNumberFormat="1" applyFont="1" applyBorder="1" applyAlignment="1">
      <alignment horizontal="center" wrapText="1"/>
    </xf>
    <xf numFmtId="0" fontId="25" fillId="0" borderId="0" xfId="76" applyFont="1" applyBorder="1" applyAlignment="1">
      <alignment horizontal="center"/>
    </xf>
    <xf numFmtId="3" fontId="22" fillId="0" borderId="0" xfId="76" applyNumberFormat="1" applyFont="1" applyAlignment="1">
      <alignment horizontal="center"/>
    </xf>
    <xf numFmtId="0" fontId="22" fillId="0" borderId="0" xfId="76" applyFont="1" applyAlignment="1">
      <alignment horizontal="center" wrapText="1"/>
    </xf>
    <xf numFmtId="3" fontId="0" fillId="0" borderId="0" xfId="76" applyNumberFormat="1" applyFont="1" applyAlignment="1">
      <alignment horizontal="center"/>
    </xf>
    <xf numFmtId="3" fontId="29" fillId="0" borderId="0" xfId="76" applyNumberFormat="1" applyFont="1" applyAlignment="1">
      <alignment horizontal="center"/>
    </xf>
    <xf numFmtId="0" fontId="25" fillId="0" borderId="0" xfId="123" applyFont="1" applyAlignment="1">
      <alignment horizontal="center" wrapText="1"/>
    </xf>
    <xf numFmtId="0" fontId="25" fillId="0" borderId="0" xfId="123" applyFont="1" applyBorder="1" applyAlignment="1">
      <alignment horizontal="center"/>
    </xf>
    <xf numFmtId="0" fontId="21" fillId="0" borderId="0" xfId="130" applyFont="1" applyBorder="1" applyAlignment="1">
      <alignment horizontal="center"/>
    </xf>
    <xf numFmtId="0" fontId="21" fillId="0" borderId="13" xfId="85" applyFont="1" applyBorder="1" applyAlignment="1">
      <alignment horizontal="center" wrapText="1"/>
    </xf>
    <xf numFmtId="0" fontId="21" fillId="0" borderId="156" xfId="85" applyFont="1" applyBorder="1" applyAlignment="1">
      <alignment horizontal="center" wrapText="1"/>
    </xf>
    <xf numFmtId="0" fontId="21" fillId="0" borderId="10" xfId="85" applyFont="1" applyBorder="1" applyAlignment="1">
      <alignment horizontal="center" wrapText="1"/>
    </xf>
    <xf numFmtId="0" fontId="58" fillId="0" borderId="10" xfId="85" applyFont="1" applyBorder="1" applyAlignment="1">
      <alignment horizontal="center" wrapText="1"/>
    </xf>
    <xf numFmtId="0" fontId="58" fillId="0" borderId="12" xfId="85" applyFont="1" applyBorder="1" applyAlignment="1">
      <alignment horizontal="center" wrapText="1"/>
    </xf>
    <xf numFmtId="0" fontId="22" fillId="0" borderId="0" xfId="127" applyFont="1" applyBorder="1" applyAlignment="1">
      <alignment horizontal="center"/>
    </xf>
    <xf numFmtId="0" fontId="50" fillId="0" borderId="13" xfId="127" applyFont="1" applyBorder="1" applyAlignment="1">
      <alignment horizontal="center"/>
    </xf>
    <xf numFmtId="0" fontId="22" fillId="0" borderId="0" xfId="131" applyFont="1" applyAlignment="1">
      <alignment horizontal="center"/>
    </xf>
    <xf numFmtId="0" fontId="25" fillId="0" borderId="0" xfId="75" applyFont="1" applyBorder="1" applyAlignment="1">
      <alignment horizontal="center" wrapText="1"/>
    </xf>
    <xf numFmtId="3" fontId="24" fillId="0" borderId="0" xfId="75" applyNumberFormat="1" applyFont="1" applyFill="1" applyAlignment="1">
      <alignment horizontal="left" wrapText="1"/>
    </xf>
    <xf numFmtId="3" fontId="24" fillId="0" borderId="0" xfId="75" applyNumberFormat="1" applyFont="1" applyFill="1" applyAlignment="1">
      <alignment horizontal="center" wrapText="1"/>
    </xf>
    <xf numFmtId="0" fontId="1" fillId="0" borderId="0" xfId="92" applyAlignment="1">
      <alignment horizontal="center" wrapText="1"/>
    </xf>
    <xf numFmtId="0" fontId="25" fillId="0" borderId="0" xfId="129" applyFont="1" applyBorder="1" applyAlignment="1">
      <alignment horizontal="center" wrapText="1"/>
    </xf>
    <xf numFmtId="3" fontId="26" fillId="0" borderId="0" xfId="69" applyNumberFormat="1" applyFont="1" applyBorder="1" applyAlignment="1">
      <alignment horizontal="right"/>
    </xf>
    <xf numFmtId="0" fontId="25" fillId="0" borderId="0" xfId="69" applyFont="1" applyBorder="1" applyAlignment="1">
      <alignment horizontal="center"/>
    </xf>
    <xf numFmtId="0" fontId="29" fillId="0" borderId="14" xfId="69" applyBorder="1" applyAlignment="1">
      <alignment horizontal="center"/>
    </xf>
    <xf numFmtId="0" fontId="26" fillId="0" borderId="0" xfId="0" applyFont="1" applyFill="1" applyBorder="1" applyAlignment="1">
      <alignment horizontal="right"/>
    </xf>
    <xf numFmtId="0" fontId="25" fillId="0" borderId="0" xfId="0" applyFont="1" applyFill="1" applyBorder="1" applyAlignment="1">
      <alignment horizontal="center"/>
    </xf>
    <xf numFmtId="0" fontId="39" fillId="0" borderId="0" xfId="84" applyFont="1" applyAlignment="1">
      <alignment horizontal="center" wrapText="1"/>
    </xf>
  </cellXfs>
  <cellStyles count="133">
    <cellStyle name="20% - 1. jelölőszín" xfId="1" builtinId="30" customBuiltin="1"/>
    <cellStyle name="20% - 1. jelölőszín 2" xfId="93"/>
    <cellStyle name="20% - 2. jelölőszín" xfId="2" builtinId="34" customBuiltin="1"/>
    <cellStyle name="20% - 2. jelölőszín 2" xfId="94"/>
    <cellStyle name="20% - 3. jelölőszín" xfId="3" builtinId="38" customBuiltin="1"/>
    <cellStyle name="20% - 3. jelölőszín 2" xfId="95"/>
    <cellStyle name="20% - 4. jelölőszín" xfId="4" builtinId="42" customBuiltin="1"/>
    <cellStyle name="20% - 4. jelölőszín 2" xfId="96"/>
    <cellStyle name="20% - 5. jelölőszín" xfId="5" builtinId="46" customBuiltin="1"/>
    <cellStyle name="20% - 5. jelölőszín 2" xfId="97"/>
    <cellStyle name="20% - 6. jelölőszín" xfId="6" builtinId="50" customBuiltin="1"/>
    <cellStyle name="20% - 6. jelölőszín 2" xfId="98"/>
    <cellStyle name="20% - Accent1" xfId="7"/>
    <cellStyle name="20% - Accent2" xfId="8"/>
    <cellStyle name="20% - Accent3" xfId="9"/>
    <cellStyle name="20% - Accent4" xfId="10"/>
    <cellStyle name="20% - Accent5" xfId="11"/>
    <cellStyle name="20% - Accent6" xfId="12"/>
    <cellStyle name="40% - 1. jelölőszín" xfId="13" builtinId="31" customBuiltin="1"/>
    <cellStyle name="40% - 1. jelölőszín 2" xfId="99"/>
    <cellStyle name="40% - 2. jelölőszín" xfId="14" builtinId="35" customBuiltin="1"/>
    <cellStyle name="40% - 2. jelölőszín 2" xfId="100"/>
    <cellStyle name="40% - 3. jelölőszín" xfId="15" builtinId="39" customBuiltin="1"/>
    <cellStyle name="40% - 3. jelölőszín 2" xfId="101"/>
    <cellStyle name="40% - 4. jelölőszín" xfId="16" builtinId="43" customBuiltin="1"/>
    <cellStyle name="40% - 4. jelölőszín 2" xfId="102"/>
    <cellStyle name="40% - 5. jelölőszín" xfId="17" builtinId="47" customBuiltin="1"/>
    <cellStyle name="40% - 5. jelölőszín 2" xfId="103"/>
    <cellStyle name="40% - 6. jelölőszín" xfId="18" builtinId="51" customBuiltin="1"/>
    <cellStyle name="40% - 6. jelölőszín 2" xfId="104"/>
    <cellStyle name="40% - Accent1" xfId="19"/>
    <cellStyle name="40% - Accent2" xfId="20"/>
    <cellStyle name="40% - Accent3" xfId="21"/>
    <cellStyle name="40% - Accent4" xfId="22"/>
    <cellStyle name="40% - Accent5" xfId="23"/>
    <cellStyle name="40% - Accent6" xfId="24"/>
    <cellStyle name="60% - 1. jelölőszín" xfId="25" builtinId="32" customBuiltin="1"/>
    <cellStyle name="60% - 1. jelölőszín 2" xfId="105"/>
    <cellStyle name="60% - 2. jelölőszín" xfId="26" builtinId="36" customBuiltin="1"/>
    <cellStyle name="60% - 2. jelölőszín 2" xfId="106"/>
    <cellStyle name="60% - 3. jelölőszín" xfId="27" builtinId="40" customBuiltin="1"/>
    <cellStyle name="60% - 3. jelölőszín 2" xfId="107"/>
    <cellStyle name="60% - 4. jelölőszín" xfId="28" builtinId="44" customBuiltin="1"/>
    <cellStyle name="60% - 4. jelölőszín 2" xfId="108"/>
    <cellStyle name="60% - 5. jelölőszín" xfId="29" builtinId="48" customBuiltin="1"/>
    <cellStyle name="60% - 5. jelölőszín 2" xfId="109"/>
    <cellStyle name="60% - 6. jelölőszín" xfId="30" builtinId="52" customBuiltin="1"/>
    <cellStyle name="60% - 6. jelölőszín 2" xfId="110"/>
    <cellStyle name="60% - Accent1" xfId="31"/>
    <cellStyle name="60% - Accent2" xfId="32"/>
    <cellStyle name="60% - Accent3" xfId="33"/>
    <cellStyle name="60% - Accent4" xfId="34"/>
    <cellStyle name="60% - Accent5" xfId="35"/>
    <cellStyle name="60% - Accent6" xfId="36"/>
    <cellStyle name="Accent1" xfId="37"/>
    <cellStyle name="Accent2" xfId="38"/>
    <cellStyle name="Accent3" xfId="39"/>
    <cellStyle name="Accent4" xfId="40"/>
    <cellStyle name="Accent5" xfId="41"/>
    <cellStyle name="Accent6" xfId="42"/>
    <cellStyle name="Bad" xfId="43"/>
    <cellStyle name="Bevitel" xfId="44" builtinId="20" customBuiltin="1"/>
    <cellStyle name="Bevitel 2" xfId="111"/>
    <cellStyle name="Calculation" xfId="45"/>
    <cellStyle name="Check Cell" xfId="46"/>
    <cellStyle name="Cím" xfId="47" builtinId="15" customBuiltin="1"/>
    <cellStyle name="Cím 2" xfId="112"/>
    <cellStyle name="Címsor 1" xfId="48" builtinId="16" customBuiltin="1"/>
    <cellStyle name="Címsor 1 2" xfId="113"/>
    <cellStyle name="Címsor 2" xfId="49" builtinId="17" customBuiltin="1"/>
    <cellStyle name="Címsor 2 2" xfId="114"/>
    <cellStyle name="Címsor 3" xfId="50" builtinId="18" customBuiltin="1"/>
    <cellStyle name="Címsor 3 2" xfId="115"/>
    <cellStyle name="Címsor 4" xfId="51" builtinId="19" customBuiltin="1"/>
    <cellStyle name="Címsor 4 2" xfId="116"/>
    <cellStyle name="Excel Built-in Normál_2012. évi költségvetés I. módosítás VÉGLEGES" xfId="52"/>
    <cellStyle name="Excel Built-in Normál_2013 évi költségvetéshez 2013.02.19._2014 évi költségvetés Tündi táblák" xfId="127"/>
    <cellStyle name="Excel Built-in Normál_Munka4_2013 évi költségvetéshez 2013.02.19." xfId="128"/>
    <cellStyle name="Explanatory Text" xfId="53"/>
    <cellStyle name="Ezres" xfId="54" builtinId="3"/>
    <cellStyle name="Ezres 2" xfId="55"/>
    <cellStyle name="Ezres 3" xfId="56"/>
    <cellStyle name="Ezres 4" xfId="117"/>
    <cellStyle name="Figyelmeztetés" xfId="57" builtinId="11" customBuiltin="1"/>
    <cellStyle name="Figyelmeztetés 2" xfId="118"/>
    <cellStyle name="Good" xfId="58"/>
    <cellStyle name="Heading 1" xfId="59"/>
    <cellStyle name="Heading 2" xfId="60"/>
    <cellStyle name="Heading 3" xfId="61"/>
    <cellStyle name="Heading 4" xfId="62"/>
    <cellStyle name="Hivatkozott cella" xfId="63" builtinId="24" customBuiltin="1"/>
    <cellStyle name="Hivatkozott cella 2" xfId="119"/>
    <cellStyle name="Input" xfId="64"/>
    <cellStyle name="Jegyzet" xfId="65" builtinId="10" customBuiltin="1"/>
    <cellStyle name="Jegyzet 2" xfId="120"/>
    <cellStyle name="Kimenet" xfId="66" builtinId="21" customBuiltin="1"/>
    <cellStyle name="Kimenet 2" xfId="121"/>
    <cellStyle name="Linked Cell" xfId="67"/>
    <cellStyle name="Neutral" xfId="68"/>
    <cellStyle name="Normál" xfId="0" builtinId="0"/>
    <cellStyle name="Normál 2" xfId="69"/>
    <cellStyle name="Normál 3" xfId="70"/>
    <cellStyle name="Normál 4" xfId="92"/>
    <cellStyle name="Normál_2007. ktgvetés II. forduló_2013. évi költségvetés I." xfId="71"/>
    <cellStyle name="Normál_2007_Koncepció táblák_2013. évi költségvetés I." xfId="72"/>
    <cellStyle name="Normál_2012. évi költségvetés előirányzat nyilvántartás VÉGLEGES 2." xfId="73"/>
    <cellStyle name="Normál_2012. évi költségvetés I. módosítás VÉGLEGES" xfId="129"/>
    <cellStyle name="Normál_2012. évi költségvetés IV. módosítás" xfId="74"/>
    <cellStyle name="Normál_2013 évi költségvetéshez 2013.02.19." xfId="130"/>
    <cellStyle name="Normál_2013 évi költségvetéshez 2013.02.19._2014 évi költségvetés Tündi táblák" xfId="75"/>
    <cellStyle name="Normál_2013. évi költségvetés I." xfId="76"/>
    <cellStyle name="Normál_2013. évi költségvetés I._2013. évi költségvetés előirányzat nyilvántartás" xfId="77"/>
    <cellStyle name="Normál_2013. évi költségvetés I._2013. évi költségvetés II. forduló testületi előterjesztés" xfId="125"/>
    <cellStyle name="Normál_2013. évi költségvetés I._iNTÉZMÉNYI NORMATÍVA 2014" xfId="78"/>
    <cellStyle name="Normál_2013. évi költségvetés II. forduló testületi előterjesztés" xfId="123"/>
    <cellStyle name="Normál_2013. évi költségvetés II. forduló testületi előterjesztés2." xfId="131"/>
    <cellStyle name="Normál_2014. évi kv. 6. tábla_kitöltve_szűkített II.fordulóhoz 2" xfId="79"/>
    <cellStyle name="Normál_4. sz. melléklet" xfId="132"/>
    <cellStyle name="Normal_KARSZJ3" xfId="80"/>
    <cellStyle name="Normál_költségvetés10melléklet_2013. évi költségvetés I." xfId="81"/>
    <cellStyle name="Normal_KTRSZJ" xfId="82"/>
    <cellStyle name="Normál_Másolat eredetijeKÖLTSÉGVETÉS2005új1" xfId="83"/>
    <cellStyle name="Normál_Másolat eredetijeKÖLTSÉGVETÉS2005új1 2" xfId="126"/>
    <cellStyle name="Normál_Másolat eredetijeKÖLTSÉGVETÉS2005új1_2013. évi költségvetés I." xfId="84"/>
    <cellStyle name="Normál_Másolat eredetijeKÖLTSÉGVETÉS2005új1_2013. évi költségvetés II. forduló testületi előterjesztés" xfId="124"/>
    <cellStyle name="Normál_Munka4_2013 évi költségvetéshez 2013.02.19." xfId="85"/>
    <cellStyle name="Note" xfId="86"/>
    <cellStyle name="Output" xfId="87"/>
    <cellStyle name="Összesen" xfId="88" builtinId="25" customBuiltin="1"/>
    <cellStyle name="Összesen 2" xfId="122"/>
    <cellStyle name="Title" xfId="89"/>
    <cellStyle name="Total" xfId="90"/>
    <cellStyle name="Warning Text" xfId="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HamarEva\LOCALS~1\Temp\M&#225;solat%20eredetijeksh19000282011.11.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kincst&#225;r/REPASY%20TAF/2017/2017.%20&#233;vi%20k&#246;lts&#233;gvet&#233;s%20m&#243;dos&#237;t&#225;s/&#214;nkorm&#225;nyzat/&#214;NKORM&#193;NYZAT%202017.&#233;vi%20k&#246;lts&#233;gvet&#233;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kumentumok\el&#337;terjeszt&#233;s\2017.%20&#233;vi%20el&#337;terjeszt&#233;sek\2017.%20&#233;vi%20k&#246;lts&#233;gvet&#233;s\&#214;nkorm&#225;nyzat\&#214;NKORM&#193;NYZAT%202017.&#233;vi%20k&#246;lts&#233;gvet&#233;s%20II.%20fordul&#243;%20V&#201;GLEG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
      <sheetName val="2c. tábla (2)"/>
      <sheetName val="3.sz. tábla  (2)"/>
      <sheetName val="4.sz.tábla "/>
      <sheetName val="4a. sz. tábla  (3)"/>
      <sheetName val="5.tábla (2)"/>
      <sheetName val="5b. sz. tábla  (2)"/>
      <sheetName val="6.sz.tábla  (4)"/>
      <sheetName val="7. sz. tábla 1"/>
      <sheetName val="8. sz. tábla  (3)"/>
      <sheetName val="8a. sz. tábla  (4)"/>
      <sheetName val="9. sz. tábla (2)"/>
      <sheetName val="10. tábla EU pályázatok"/>
      <sheetName val="11. sz. tábla "/>
    </sheetNames>
    <sheetDataSet>
      <sheetData sheetId="0">
        <row r="30">
          <cell r="B30">
            <v>276288740</v>
          </cell>
        </row>
      </sheetData>
      <sheetData sheetId="1">
        <row r="6">
          <cell r="B6">
            <v>879671876</v>
          </cell>
        </row>
        <row r="41">
          <cell r="F41">
            <v>16109950</v>
          </cell>
        </row>
        <row r="75">
          <cell r="F75">
            <v>24232422</v>
          </cell>
        </row>
        <row r="76">
          <cell r="F76">
            <v>2204300</v>
          </cell>
        </row>
      </sheetData>
      <sheetData sheetId="2"/>
      <sheetData sheetId="3"/>
      <sheetData sheetId="4"/>
      <sheetData sheetId="5">
        <row r="11">
          <cell r="D11">
            <v>5589100</v>
          </cell>
        </row>
        <row r="12">
          <cell r="C12">
            <v>181706032</v>
          </cell>
        </row>
      </sheetData>
      <sheetData sheetId="6">
        <row r="7">
          <cell r="U7">
            <v>0</v>
          </cell>
        </row>
      </sheetData>
      <sheetData sheetId="7"/>
      <sheetData sheetId="8"/>
      <sheetData sheetId="9"/>
      <sheetData sheetId="10"/>
      <sheetData sheetId="11"/>
      <sheetData sheetId="12"/>
      <sheetData sheetId="13"/>
      <sheetData sheetId="14">
        <row r="90">
          <cell r="C90">
            <v>585462.07999999996</v>
          </cell>
        </row>
      </sheetData>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3)"/>
      <sheetName val="2c. tábla (3)"/>
      <sheetName val="3.sz. tábla  (2)"/>
      <sheetName val="4.sz.tábla "/>
      <sheetName val="4a. sz. tábla  (3)"/>
      <sheetName val="5.tábla (2)"/>
      <sheetName val="5b. sz. tábla  (2)"/>
      <sheetName val="6.sz.tábla  (4)"/>
      <sheetName val="7. sz. tábla 1"/>
      <sheetName val="8. sz. tábla  (3)"/>
      <sheetName val="8a. sz. tábla  (4)"/>
      <sheetName val="9. sz. tábla (2)"/>
      <sheetName val="10. tábla többéves VÉGLEGES "/>
      <sheetName val="11. sz. tábla"/>
      <sheetName val="12. sz. tábla"/>
      <sheetName val="13. sz. EU projektek (4)"/>
      <sheetName val="14. sz. stabilitási tv  (3)"/>
      <sheetName val="15.16. sz. tábla (2)"/>
      <sheetName val="17. sz. tábla "/>
      <sheetName val="18.sz.tábla  (4)"/>
    </sheetNames>
    <sheetDataSet>
      <sheetData sheetId="0">
        <row r="29">
          <cell r="D29">
            <v>76175628</v>
          </cell>
        </row>
        <row r="30">
          <cell r="D30">
            <v>200113112</v>
          </cell>
        </row>
      </sheetData>
      <sheetData sheetId="1">
        <row r="44">
          <cell r="M44">
            <v>351539893</v>
          </cell>
        </row>
        <row r="49">
          <cell r="D49">
            <v>35410309</v>
          </cell>
        </row>
        <row r="66">
          <cell r="M66">
            <v>1600000</v>
          </cell>
        </row>
        <row r="70">
          <cell r="M70">
            <v>68818959</v>
          </cell>
        </row>
        <row r="74">
          <cell r="M74">
            <v>791176379</v>
          </cell>
        </row>
        <row r="77">
          <cell r="M77">
            <v>1193980000</v>
          </cell>
        </row>
      </sheetData>
      <sheetData sheetId="2">
        <row r="27">
          <cell r="AG27">
            <v>1017000</v>
          </cell>
        </row>
      </sheetData>
      <sheetData sheetId="3"/>
      <sheetData sheetId="4"/>
      <sheetData sheetId="5"/>
      <sheetData sheetId="6"/>
      <sheetData sheetId="7"/>
      <sheetData sheetId="8"/>
      <sheetData sheetId="9"/>
      <sheetData sheetId="10"/>
      <sheetData sheetId="11"/>
      <sheetData sheetId="12">
        <row r="7">
          <cell r="D7">
            <v>1142330655</v>
          </cell>
          <cell r="H7">
            <v>480785229</v>
          </cell>
        </row>
        <row r="8">
          <cell r="D8">
            <v>1675900000</v>
          </cell>
          <cell r="H8">
            <v>108154075</v>
          </cell>
        </row>
        <row r="9">
          <cell r="D9">
            <v>602267389</v>
          </cell>
          <cell r="H9">
            <v>914182302</v>
          </cell>
        </row>
        <row r="10">
          <cell r="D10">
            <v>5600000</v>
          </cell>
          <cell r="H10">
            <v>32322176</v>
          </cell>
        </row>
        <row r="11">
          <cell r="H11">
            <v>1009956391</v>
          </cell>
        </row>
        <row r="20">
          <cell r="H20">
            <v>44090809</v>
          </cell>
        </row>
        <row r="30">
          <cell r="D30">
            <v>1798268854</v>
          </cell>
          <cell r="H30">
            <v>3738509802</v>
          </cell>
        </row>
        <row r="31">
          <cell r="D31">
            <v>171355383</v>
          </cell>
          <cell r="H31">
            <v>6571000</v>
          </cell>
        </row>
        <row r="32">
          <cell r="D32">
            <v>85818959</v>
          </cell>
          <cell r="H32">
            <v>93139339</v>
          </cell>
        </row>
        <row r="33">
          <cell r="H33">
            <v>688455332</v>
          </cell>
        </row>
        <row r="43">
          <cell r="H43">
            <v>74242424</v>
          </cell>
        </row>
      </sheetData>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J57"/>
  <sheetViews>
    <sheetView tabSelected="1" view="pageLayout" topLeftCell="A6" zoomScaleNormal="75" zoomScaleSheetLayoutView="89" workbookViewId="0">
      <selection activeCell="G10" sqref="G10"/>
    </sheetView>
  </sheetViews>
  <sheetFormatPr defaultColWidth="9.109375" defaultRowHeight="15" x14ac:dyDescent="0.25"/>
  <cols>
    <col min="1" max="1" width="40.44140625" style="21" customWidth="1"/>
    <col min="2" max="2" width="17.109375" style="874" customWidth="1"/>
    <col min="3" max="3" width="18.6640625" style="874" customWidth="1"/>
    <col min="4" max="4" width="18.109375" style="874" customWidth="1"/>
    <col min="5" max="16384" width="9.109375" style="13"/>
  </cols>
  <sheetData>
    <row r="1" spans="1:4" ht="15" hidden="1" customHeight="1" x14ac:dyDescent="0.25">
      <c r="A1" s="1478" t="s">
        <v>887</v>
      </c>
      <c r="B1" s="1478"/>
      <c r="C1" s="1478"/>
      <c r="D1" s="1478"/>
    </row>
    <row r="2" spans="1:4" ht="15.75" hidden="1" customHeight="1" x14ac:dyDescent="0.25">
      <c r="A2" s="1478"/>
      <c r="B2" s="1478"/>
      <c r="C2" s="1478"/>
      <c r="D2" s="1478"/>
    </row>
    <row r="3" spans="1:4" ht="31.5" customHeight="1" x14ac:dyDescent="0.25">
      <c r="A3" s="1478"/>
      <c r="B3" s="1478"/>
      <c r="C3" s="1478"/>
      <c r="D3" s="1478"/>
    </row>
    <row r="4" spans="1:4" ht="16.5" customHeight="1" thickBot="1" x14ac:dyDescent="0.35">
      <c r="A4" s="895"/>
      <c r="B4" s="895"/>
      <c r="C4" s="895"/>
      <c r="D4" s="895"/>
    </row>
    <row r="5" spans="1:4" s="14" customFormat="1" ht="56.25" customHeight="1" thickBot="1" x14ac:dyDescent="0.35">
      <c r="A5" s="599" t="s">
        <v>631</v>
      </c>
      <c r="B5" s="1477" t="s">
        <v>75</v>
      </c>
      <c r="C5" s="875" t="s">
        <v>228</v>
      </c>
      <c r="D5" s="1461" t="s">
        <v>229</v>
      </c>
    </row>
    <row r="6" spans="1:4" ht="30" x14ac:dyDescent="0.25">
      <c r="A6" s="597" t="s">
        <v>777</v>
      </c>
      <c r="B6" s="598">
        <f>'2.sz.tábla   (2)'!K6</f>
        <v>1142330655</v>
      </c>
      <c r="C6" s="598">
        <f>'2.sz.tábla   (2)'!L6</f>
        <v>1486989512</v>
      </c>
      <c r="D6" s="1462">
        <f>C6-B6</f>
        <v>344658857</v>
      </c>
    </row>
    <row r="7" spans="1:4" ht="30" x14ac:dyDescent="0.25">
      <c r="A7" s="107" t="s">
        <v>778</v>
      </c>
      <c r="B7" s="226">
        <f>'2.sz.tábla   (2)'!K21</f>
        <v>1798268854</v>
      </c>
      <c r="C7" s="226">
        <f>'2.sz.tábla   (2)'!L21</f>
        <v>2362779525</v>
      </c>
      <c r="D7" s="1463">
        <f t="shared" ref="D7:D12" si="0">C7-B7</f>
        <v>564510671</v>
      </c>
    </row>
    <row r="8" spans="1:4" ht="21.75" customHeight="1" x14ac:dyDescent="0.25">
      <c r="A8" s="107" t="s">
        <v>779</v>
      </c>
      <c r="B8" s="226">
        <f>'2.sz.tábla   (2)'!K29</f>
        <v>1675900000</v>
      </c>
      <c r="C8" s="226">
        <f>'2.sz.tábla   (2)'!L29</f>
        <v>1675900000</v>
      </c>
      <c r="D8" s="1463">
        <f t="shared" si="0"/>
        <v>0</v>
      </c>
    </row>
    <row r="9" spans="1:4" ht="30" customHeight="1" x14ac:dyDescent="0.25">
      <c r="A9" s="107" t="s">
        <v>780</v>
      </c>
      <c r="B9" s="226">
        <f>'2.sz.tábla   (2)'!K42</f>
        <v>602267389</v>
      </c>
      <c r="C9" s="226">
        <f>'2.sz.tábla   (2)'!L42</f>
        <v>602267389</v>
      </c>
      <c r="D9" s="1463">
        <f t="shared" si="0"/>
        <v>0</v>
      </c>
    </row>
    <row r="10" spans="1:4" ht="30.75" customHeight="1" x14ac:dyDescent="0.25">
      <c r="A10" s="107" t="s">
        <v>781</v>
      </c>
      <c r="B10" s="226">
        <f>'2.sz.tábla   (2)'!K57</f>
        <v>171355383</v>
      </c>
      <c r="C10" s="226">
        <f>'2.sz.tábla   (2)'!L57</f>
        <v>171355383</v>
      </c>
      <c r="D10" s="1463">
        <f t="shared" si="0"/>
        <v>0</v>
      </c>
    </row>
    <row r="11" spans="1:4" ht="27" customHeight="1" x14ac:dyDescent="0.25">
      <c r="A11" s="108" t="s">
        <v>782</v>
      </c>
      <c r="B11" s="226">
        <f>'2.sz.tábla   (2)'!K65</f>
        <v>5600000</v>
      </c>
      <c r="C11" s="226">
        <f>'2.sz.tábla   (2)'!L65</f>
        <v>6150575</v>
      </c>
      <c r="D11" s="1463">
        <f t="shared" si="0"/>
        <v>550575</v>
      </c>
    </row>
    <row r="12" spans="1:4" ht="35.25" customHeight="1" x14ac:dyDescent="0.25">
      <c r="A12" s="108" t="s">
        <v>783</v>
      </c>
      <c r="B12" s="226">
        <f>'2.sz.tábla   (2)'!K69</f>
        <v>85818959</v>
      </c>
      <c r="C12" s="226">
        <f>'2.sz.tábla   (2)'!L69</f>
        <v>275818959</v>
      </c>
      <c r="D12" s="1463">
        <f t="shared" si="0"/>
        <v>190000000</v>
      </c>
    </row>
    <row r="13" spans="1:4" s="17" customFormat="1" ht="24" customHeight="1" x14ac:dyDescent="0.3">
      <c r="A13" s="109" t="s">
        <v>784</v>
      </c>
      <c r="B13" s="227">
        <f>SUM(B6:B12)</f>
        <v>5481541240</v>
      </c>
      <c r="C13" s="227">
        <f>SUM(C6:C12)</f>
        <v>6581261343</v>
      </c>
      <c r="D13" s="896">
        <f>SUM(D6:D12)</f>
        <v>1099720103</v>
      </c>
    </row>
    <row r="14" spans="1:4" s="17" customFormat="1" ht="24" customHeight="1" x14ac:dyDescent="0.3">
      <c r="A14" s="110" t="s">
        <v>785</v>
      </c>
      <c r="B14" s="227"/>
      <c r="C14" s="876"/>
      <c r="D14" s="1464"/>
    </row>
    <row r="15" spans="1:4" ht="48.75" customHeight="1" x14ac:dyDescent="0.25">
      <c r="A15" s="107" t="s">
        <v>646</v>
      </c>
      <c r="B15" s="226">
        <f>'2.sz.tábla   (2)'!K75</f>
        <v>791176379</v>
      </c>
      <c r="C15" s="226">
        <f>'2.sz.tábla   (2)'!L75</f>
        <v>1057086156</v>
      </c>
      <c r="D15" s="1463">
        <f>C15-B15</f>
        <v>265909777</v>
      </c>
    </row>
    <row r="16" spans="1:4" ht="48.75" customHeight="1" x14ac:dyDescent="0.25">
      <c r="A16" s="107" t="s">
        <v>786</v>
      </c>
      <c r="B16" s="226">
        <f>'2.sz.tábla   (2)'!K78</f>
        <v>1193980000</v>
      </c>
      <c r="C16" s="226">
        <f>'2.sz.tábla   (2)'!L78</f>
        <v>2505160000</v>
      </c>
      <c r="D16" s="1463">
        <f>C16-B16</f>
        <v>1311180000</v>
      </c>
    </row>
    <row r="17" spans="1:10" s="17" customFormat="1" ht="33" customHeight="1" x14ac:dyDescent="0.3">
      <c r="A17" s="109" t="s">
        <v>787</v>
      </c>
      <c r="B17" s="228">
        <f>SUM(B15:B16)</f>
        <v>1985156379</v>
      </c>
      <c r="C17" s="228">
        <f>SUM(C15:C16)</f>
        <v>3562246156</v>
      </c>
      <c r="D17" s="897">
        <f>SUM(D15:D16)</f>
        <v>1577089777</v>
      </c>
    </row>
    <row r="18" spans="1:10" s="17" customFormat="1" ht="18" customHeight="1" x14ac:dyDescent="0.3">
      <c r="A18" s="111" t="s">
        <v>788</v>
      </c>
      <c r="B18" s="229">
        <f>B13+B17</f>
        <v>7466697619</v>
      </c>
      <c r="C18" s="229">
        <f>C13+C17</f>
        <v>10143507499</v>
      </c>
      <c r="D18" s="898">
        <f>D13+D17</f>
        <v>2676809880</v>
      </c>
    </row>
    <row r="19" spans="1:10" s="17" customFormat="1" ht="14.25" customHeight="1" x14ac:dyDescent="0.3">
      <c r="A19" s="111"/>
      <c r="B19" s="226"/>
      <c r="C19" s="876"/>
      <c r="D19" s="1464"/>
      <c r="E19" s="16"/>
      <c r="F19" s="16"/>
      <c r="G19" s="16"/>
      <c r="H19" s="16"/>
      <c r="I19" s="16"/>
      <c r="J19" s="16"/>
    </row>
    <row r="20" spans="1:10" s="19" customFormat="1" ht="20.100000000000001" customHeight="1" x14ac:dyDescent="0.3">
      <c r="A20" s="109" t="s">
        <v>789</v>
      </c>
      <c r="B20" s="227">
        <f>SUM(B21:B23)</f>
        <v>2545400173</v>
      </c>
      <c r="C20" s="227">
        <f>SUM(C21:C23)</f>
        <v>2957819951</v>
      </c>
      <c r="D20" s="896">
        <f>SUM(D21:D23)</f>
        <v>412419778</v>
      </c>
      <c r="E20" s="18"/>
      <c r="F20" s="18"/>
      <c r="G20" s="18"/>
      <c r="H20" s="18"/>
      <c r="I20" s="18"/>
      <c r="J20" s="18"/>
    </row>
    <row r="21" spans="1:10" s="19" customFormat="1" ht="20.100000000000001" customHeight="1" x14ac:dyDescent="0.25">
      <c r="A21" s="107" t="s">
        <v>790</v>
      </c>
      <c r="B21" s="226">
        <f>'5.tábla (2)'!B115</f>
        <v>1877506459</v>
      </c>
      <c r="C21" s="226">
        <f>'5.tábla (2)'!C115</f>
        <v>2261332404</v>
      </c>
      <c r="D21" s="1463">
        <f>C21-B21</f>
        <v>383825945</v>
      </c>
      <c r="E21" s="18"/>
      <c r="F21" s="18"/>
      <c r="G21" s="18"/>
      <c r="H21" s="18"/>
      <c r="I21" s="18"/>
      <c r="J21" s="18"/>
    </row>
    <row r="22" spans="1:10" s="19" customFormat="1" ht="20.100000000000001" customHeight="1" x14ac:dyDescent="0.25">
      <c r="A22" s="107" t="s">
        <v>791</v>
      </c>
      <c r="B22" s="226">
        <f>'5.tábla (2)'!B20</f>
        <v>384058714</v>
      </c>
      <c r="C22" s="226">
        <f>'5.tábla (2)'!C20</f>
        <v>397002002</v>
      </c>
      <c r="D22" s="1463">
        <f>C22-B22</f>
        <v>12943288</v>
      </c>
      <c r="E22" s="18"/>
      <c r="F22" s="18"/>
      <c r="G22" s="18"/>
      <c r="H22" s="18"/>
      <c r="I22" s="18"/>
      <c r="J22" s="18"/>
    </row>
    <row r="23" spans="1:10" s="17" customFormat="1" ht="20.100000000000001" customHeight="1" x14ac:dyDescent="0.25">
      <c r="A23" s="107" t="s">
        <v>792</v>
      </c>
      <c r="B23" s="226">
        <f>'4.sz.tábla '!AL7-'4.sz.tábla '!V7</f>
        <v>283835000</v>
      </c>
      <c r="C23" s="226">
        <f>'4.sz.tábla '!AM7-'4.sz.tábla '!W7</f>
        <v>299485545</v>
      </c>
      <c r="D23" s="1463">
        <f>C23-B23</f>
        <v>15650545</v>
      </c>
      <c r="E23" s="20"/>
      <c r="F23" s="16"/>
      <c r="G23" s="16"/>
      <c r="H23" s="16"/>
      <c r="I23" s="16"/>
      <c r="J23" s="16"/>
    </row>
    <row r="24" spans="1:10" ht="13.5" customHeight="1" x14ac:dyDescent="0.25">
      <c r="A24" s="107"/>
      <c r="B24" s="226"/>
      <c r="C24" s="877"/>
      <c r="D24" s="1465"/>
    </row>
    <row r="25" spans="1:10" s="17" customFormat="1" ht="20.100000000000001" customHeight="1" x14ac:dyDescent="0.3">
      <c r="A25" s="109" t="s">
        <v>793</v>
      </c>
      <c r="B25" s="228">
        <f>SUM(B26:B28)</f>
        <v>4526675473</v>
      </c>
      <c r="C25" s="228">
        <f>SUM(C26:C28)</f>
        <v>4817922757</v>
      </c>
      <c r="D25" s="897">
        <f>SUM(D26:D28)</f>
        <v>291247284</v>
      </c>
    </row>
    <row r="26" spans="1:10" ht="20.100000000000001" customHeight="1" x14ac:dyDescent="0.25">
      <c r="A26" s="107" t="s">
        <v>794</v>
      </c>
      <c r="B26" s="226">
        <f>'7. sz. tábla 1'!B161</f>
        <v>4426965134</v>
      </c>
      <c r="C26" s="226">
        <f>'7. sz. tábla 1'!C161</f>
        <v>4711254035</v>
      </c>
      <c r="D26" s="1463">
        <f>C26-B26</f>
        <v>284288901</v>
      </c>
    </row>
    <row r="27" spans="1:10" s="17" customFormat="1" ht="20.100000000000001" customHeight="1" x14ac:dyDescent="0.25">
      <c r="A27" s="107" t="s">
        <v>795</v>
      </c>
      <c r="B27" s="226">
        <f>'4.sz.tábla '!V9</f>
        <v>6571000</v>
      </c>
      <c r="C27" s="226">
        <f>'4a. sz. tábla  (3)'!D29</f>
        <v>12423318</v>
      </c>
      <c r="D27" s="1463">
        <f>C27-B27</f>
        <v>5852318</v>
      </c>
    </row>
    <row r="28" spans="1:10" ht="20.100000000000001" customHeight="1" x14ac:dyDescent="0.25">
      <c r="A28" s="107" t="s">
        <v>796</v>
      </c>
      <c r="B28" s="226">
        <f>'6.sz.tábla  (4)'!B121</f>
        <v>93139339</v>
      </c>
      <c r="C28" s="226">
        <f>'6.sz.tábla  (4)'!C121</f>
        <v>94245404</v>
      </c>
      <c r="D28" s="1463">
        <f>C28-B28</f>
        <v>1106065</v>
      </c>
    </row>
    <row r="29" spans="1:10" ht="12.75" customHeight="1" x14ac:dyDescent="0.3">
      <c r="A29" s="109"/>
      <c r="B29" s="226"/>
      <c r="C29" s="877"/>
      <c r="D29" s="1465"/>
    </row>
    <row r="30" spans="1:10" s="17" customFormat="1" ht="20.100000000000001" customHeight="1" x14ac:dyDescent="0.3">
      <c r="A30" s="109" t="s">
        <v>797</v>
      </c>
      <c r="B30" s="228">
        <f>SUM(B31:B32)</f>
        <v>276288740</v>
      </c>
      <c r="C30" s="228">
        <f>SUM(C31:C32)</f>
        <v>939084558</v>
      </c>
      <c r="D30" s="897">
        <f>SUM(D31:D32)</f>
        <v>662795818</v>
      </c>
    </row>
    <row r="31" spans="1:10" s="17" customFormat="1" ht="20.100000000000001" customHeight="1" x14ac:dyDescent="0.25">
      <c r="A31" s="107" t="s">
        <v>798</v>
      </c>
      <c r="B31" s="226">
        <v>76175628</v>
      </c>
      <c r="C31" s="226">
        <v>55851676</v>
      </c>
      <c r="D31" s="1463">
        <f>C31-B31</f>
        <v>-20323952</v>
      </c>
    </row>
    <row r="32" spans="1:10" s="17" customFormat="1" ht="20.100000000000001" customHeight="1" x14ac:dyDescent="0.25">
      <c r="A32" s="107" t="s">
        <v>799</v>
      </c>
      <c r="B32" s="226">
        <f>B39</f>
        <v>200113112</v>
      </c>
      <c r="C32" s="226">
        <f>C39</f>
        <v>883232882</v>
      </c>
      <c r="D32" s="1463">
        <f>C32-B32</f>
        <v>683119770</v>
      </c>
    </row>
    <row r="33" spans="1:4" s="17" customFormat="1" ht="23.25" customHeight="1" x14ac:dyDescent="0.3">
      <c r="A33" s="109" t="s">
        <v>800</v>
      </c>
      <c r="B33" s="228">
        <f>SUM(B30,B25,B20)</f>
        <v>7348364386</v>
      </c>
      <c r="C33" s="228">
        <f>SUM(C30,C25,C20)</f>
        <v>8714827266</v>
      </c>
      <c r="D33" s="897">
        <f>SUM(D30,D25,D20)</f>
        <v>1366462880</v>
      </c>
    </row>
    <row r="34" spans="1:4" ht="20.100000000000001" customHeight="1" x14ac:dyDescent="0.25">
      <c r="A34" s="107" t="s">
        <v>801</v>
      </c>
      <c r="B34" s="226">
        <f>'7. sz. tábla 1'!B163</f>
        <v>74242424</v>
      </c>
      <c r="C34" s="226">
        <f>'7. sz. tábla 1'!C163</f>
        <v>74242424</v>
      </c>
      <c r="D34" s="1463">
        <f>C34-B34</f>
        <v>0</v>
      </c>
    </row>
    <row r="35" spans="1:4" ht="28.5" customHeight="1" x14ac:dyDescent="0.25">
      <c r="A35" s="107" t="s">
        <v>664</v>
      </c>
      <c r="B35" s="226">
        <f>'7. sz. tábla 1'!B165</f>
        <v>44090809</v>
      </c>
      <c r="C35" s="226">
        <f>'7. sz. tábla 1'!C165</f>
        <v>44090809</v>
      </c>
      <c r="D35" s="1463">
        <f>C35-B35</f>
        <v>0</v>
      </c>
    </row>
    <row r="36" spans="1:4" ht="22.5" customHeight="1" x14ac:dyDescent="0.25">
      <c r="A36" s="107" t="s">
        <v>697</v>
      </c>
      <c r="B36" s="226"/>
      <c r="C36" s="226">
        <f>'7. sz. tábla 1'!C164</f>
        <v>1310347000</v>
      </c>
      <c r="D36" s="1465"/>
    </row>
    <row r="37" spans="1:4" s="17" customFormat="1" ht="21.75" customHeight="1" x14ac:dyDescent="0.3">
      <c r="A37" s="109" t="s">
        <v>802</v>
      </c>
      <c r="B37" s="228">
        <f>SUM(B34:B36)</f>
        <v>118333233</v>
      </c>
      <c r="C37" s="228">
        <f>SUM(C34:C36)</f>
        <v>1428680233</v>
      </c>
      <c r="D37" s="897">
        <f>SUM(D34:D36)</f>
        <v>0</v>
      </c>
    </row>
    <row r="38" spans="1:4" s="17" customFormat="1" ht="20.100000000000001" customHeight="1" x14ac:dyDescent="0.3">
      <c r="A38" s="111" t="s">
        <v>803</v>
      </c>
      <c r="B38" s="229">
        <f>SUM(B33,B37)</f>
        <v>7466697619</v>
      </c>
      <c r="C38" s="229">
        <f>SUM(C33,C37)</f>
        <v>10143507499</v>
      </c>
      <c r="D38" s="898">
        <f>SUM(D33,D37)</f>
        <v>1366462880</v>
      </c>
    </row>
    <row r="39" spans="1:4" s="19" customFormat="1" ht="20.100000000000001" customHeight="1" x14ac:dyDescent="0.25">
      <c r="A39" s="112" t="s">
        <v>804</v>
      </c>
      <c r="B39" s="230">
        <f>SUM(B40:B52)</f>
        <v>200113112</v>
      </c>
      <c r="C39" s="230">
        <f>SUM(C40:C57)</f>
        <v>883232882</v>
      </c>
      <c r="D39" s="899">
        <f>SUM(D40:D52)</f>
        <v>-145916609</v>
      </c>
    </row>
    <row r="40" spans="1:4" s="19" customFormat="1" ht="17.25" customHeight="1" x14ac:dyDescent="0.25">
      <c r="A40" s="113" t="s">
        <v>805</v>
      </c>
      <c r="B40" s="226">
        <v>800000</v>
      </c>
      <c r="C40" s="879">
        <v>800000</v>
      </c>
      <c r="D40" s="1463">
        <f t="shared" ref="D40:D57" si="1">C40-B40</f>
        <v>0</v>
      </c>
    </row>
    <row r="41" spans="1:4" s="19" customFormat="1" ht="15" customHeight="1" x14ac:dyDescent="0.25">
      <c r="A41" s="113" t="s">
        <v>806</v>
      </c>
      <c r="B41" s="226">
        <v>7768000</v>
      </c>
      <c r="C41" s="879">
        <v>7768000</v>
      </c>
      <c r="D41" s="1463">
        <f t="shared" si="1"/>
        <v>0</v>
      </c>
    </row>
    <row r="42" spans="1:4" s="19" customFormat="1" ht="17.25" customHeight="1" x14ac:dyDescent="0.25">
      <c r="A42" s="113" t="s">
        <v>807</v>
      </c>
      <c r="B42" s="226">
        <v>5000000</v>
      </c>
      <c r="C42" s="879">
        <v>3532935</v>
      </c>
      <c r="D42" s="1463">
        <f t="shared" si="1"/>
        <v>-1467065</v>
      </c>
    </row>
    <row r="43" spans="1:4" x14ac:dyDescent="0.25">
      <c r="A43" s="113" t="s">
        <v>808</v>
      </c>
      <c r="B43" s="226">
        <v>19589955</v>
      </c>
      <c r="C43" s="877">
        <v>19589955</v>
      </c>
      <c r="D43" s="1463">
        <f t="shared" si="1"/>
        <v>0</v>
      </c>
    </row>
    <row r="44" spans="1:4" x14ac:dyDescent="0.25">
      <c r="A44" s="113" t="s">
        <v>809</v>
      </c>
      <c r="B44" s="226">
        <v>3000000</v>
      </c>
      <c r="C44" s="877">
        <v>3000000</v>
      </c>
      <c r="D44" s="1463">
        <f t="shared" si="1"/>
        <v>0</v>
      </c>
    </row>
    <row r="45" spans="1:4" x14ac:dyDescent="0.25">
      <c r="A45" s="113" t="s">
        <v>810</v>
      </c>
      <c r="B45" s="226">
        <v>4000000</v>
      </c>
      <c r="C45" s="877">
        <v>4000000</v>
      </c>
      <c r="D45" s="1463">
        <f t="shared" si="1"/>
        <v>0</v>
      </c>
    </row>
    <row r="46" spans="1:4" x14ac:dyDescent="0.25">
      <c r="A46" s="113" t="s">
        <v>10</v>
      </c>
      <c r="B46" s="226">
        <v>2589753</v>
      </c>
      <c r="C46" s="877">
        <v>2589753</v>
      </c>
      <c r="D46" s="1463">
        <f t="shared" si="1"/>
        <v>0</v>
      </c>
    </row>
    <row r="47" spans="1:4" x14ac:dyDescent="0.25">
      <c r="A47" s="113" t="s">
        <v>881</v>
      </c>
      <c r="B47" s="226">
        <v>0</v>
      </c>
      <c r="C47" s="877">
        <v>2895936</v>
      </c>
      <c r="D47" s="1463">
        <f t="shared" si="1"/>
        <v>2895936</v>
      </c>
    </row>
    <row r="48" spans="1:4" ht="28.5" customHeight="1" x14ac:dyDescent="0.25">
      <c r="A48" s="113" t="s">
        <v>450</v>
      </c>
      <c r="B48" s="226">
        <v>0</v>
      </c>
      <c r="C48" s="877">
        <v>7933804</v>
      </c>
      <c r="D48" s="1463">
        <f t="shared" si="1"/>
        <v>7933804</v>
      </c>
    </row>
    <row r="49" spans="1:4" ht="27.6" x14ac:dyDescent="0.25">
      <c r="A49" s="113" t="s">
        <v>701</v>
      </c>
      <c r="B49" s="226">
        <v>78000</v>
      </c>
      <c r="C49" s="877">
        <v>78000</v>
      </c>
      <c r="D49" s="1463">
        <f t="shared" si="1"/>
        <v>0</v>
      </c>
    </row>
    <row r="50" spans="1:4" ht="27.6" x14ac:dyDescent="0.25">
      <c r="A50" s="113" t="s">
        <v>811</v>
      </c>
      <c r="B50" s="226">
        <v>1398120</v>
      </c>
      <c r="C50" s="877">
        <v>1398120</v>
      </c>
      <c r="D50" s="1463">
        <f t="shared" si="1"/>
        <v>0</v>
      </c>
    </row>
    <row r="51" spans="1:4" ht="27.6" x14ac:dyDescent="0.25">
      <c r="A51" s="113" t="s">
        <v>17</v>
      </c>
      <c r="B51" s="226">
        <v>155279284</v>
      </c>
      <c r="C51" s="877">
        <v>0</v>
      </c>
      <c r="D51" s="1463">
        <f t="shared" si="1"/>
        <v>-155279284</v>
      </c>
    </row>
    <row r="52" spans="1:4" ht="27.6" x14ac:dyDescent="0.25">
      <c r="A52" s="880" t="s">
        <v>11</v>
      </c>
      <c r="B52" s="881">
        <v>610000</v>
      </c>
      <c r="C52" s="882">
        <v>610000</v>
      </c>
      <c r="D52" s="1466">
        <f t="shared" si="1"/>
        <v>0</v>
      </c>
    </row>
    <row r="53" spans="1:4" ht="26.4" x14ac:dyDescent="0.25">
      <c r="A53" s="900" t="s">
        <v>882</v>
      </c>
      <c r="B53" s="226"/>
      <c r="C53" s="877">
        <v>3456290</v>
      </c>
      <c r="D53" s="1466">
        <f t="shared" si="1"/>
        <v>3456290</v>
      </c>
    </row>
    <row r="54" spans="1:4" ht="26.4" x14ac:dyDescent="0.25">
      <c r="A54" s="900" t="s">
        <v>883</v>
      </c>
      <c r="B54" s="226"/>
      <c r="C54" s="877">
        <v>166877644</v>
      </c>
      <c r="D54" s="1466">
        <f t="shared" si="1"/>
        <v>166877644</v>
      </c>
    </row>
    <row r="55" spans="1:4" ht="26.4" x14ac:dyDescent="0.25">
      <c r="A55" s="900" t="s">
        <v>884</v>
      </c>
      <c r="B55" s="226"/>
      <c r="C55" s="877">
        <v>553280000</v>
      </c>
      <c r="D55" s="1466">
        <f t="shared" si="1"/>
        <v>553280000</v>
      </c>
    </row>
    <row r="56" spans="1:4" ht="26.4" x14ac:dyDescent="0.25">
      <c r="A56" s="900" t="s">
        <v>885</v>
      </c>
      <c r="B56" s="877"/>
      <c r="C56" s="877">
        <v>58287222</v>
      </c>
      <c r="D56" s="1466">
        <f t="shared" si="1"/>
        <v>58287222</v>
      </c>
    </row>
    <row r="57" spans="1:4" ht="40.200000000000003" thickBot="1" x14ac:dyDescent="0.3">
      <c r="A57" s="901" t="s">
        <v>886</v>
      </c>
      <c r="B57" s="878"/>
      <c r="C57" s="878">
        <v>47135223</v>
      </c>
      <c r="D57" s="1467">
        <f t="shared" si="1"/>
        <v>47135223</v>
      </c>
    </row>
  </sheetData>
  <sheetProtection selectLockedCells="1" selectUnlockedCells="1"/>
  <mergeCells count="1">
    <mergeCell ref="A1:D3"/>
  </mergeCells>
  <phoneticPr fontId="28" type="noConversion"/>
  <printOptions horizontalCentered="1"/>
  <pageMargins left="0.4597222222222222" right="0.57986111111111116" top="1.1201388888888888" bottom="0.98402777777777772" header="0.45" footer="0.51180555555555551"/>
  <pageSetup paperSize="9" scale="53" firstPageNumber="0" orientation="portrait" r:id="rId1"/>
  <headerFooter alignWithMargins="0">
    <oddHeader xml:space="preserve">&amp;C
1. melléklet az önkormányzat 2017. évi költségvetéséről szóló 8/2017. (II.24.) önkormányzati rendeletéhez
&amp;R
&amp;P. oldal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P100"/>
  <sheetViews>
    <sheetView view="pageLayout" topLeftCell="D3" zoomScale="91" zoomScaleNormal="75" zoomScaleSheetLayoutView="89" zoomScalePageLayoutView="91" workbookViewId="0">
      <selection activeCell="P10" sqref="P10"/>
    </sheetView>
  </sheetViews>
  <sheetFormatPr defaultColWidth="9.109375" defaultRowHeight="13.2" x14ac:dyDescent="0.25"/>
  <cols>
    <col min="1" max="1" width="25.6640625" style="20" customWidth="1"/>
    <col min="2" max="3" width="14.6640625" style="20" customWidth="1"/>
    <col min="4" max="4" width="15" style="20" customWidth="1"/>
    <col min="5" max="5" width="12.109375" style="20" customWidth="1"/>
    <col min="6" max="6" width="11.88671875" style="20" customWidth="1"/>
    <col min="7" max="7" width="12.33203125" style="20" customWidth="1"/>
    <col min="8" max="9" width="12.88671875" style="20" customWidth="1"/>
    <col min="10" max="10" width="15.109375" style="20" customWidth="1"/>
    <col min="11" max="11" width="14.44140625" style="20" bestFit="1" customWidth="1"/>
    <col min="12" max="12" width="16.44140625" style="20" bestFit="1" customWidth="1"/>
    <col min="13" max="13" width="16.88671875" style="20" customWidth="1"/>
    <col min="14" max="14" width="13.109375" style="22" bestFit="1" customWidth="1"/>
    <col min="15" max="15" width="9.109375" style="22"/>
    <col min="16" max="16" width="9.33203125" style="22" bestFit="1" customWidth="1"/>
    <col min="17" max="17" width="0.33203125" style="22" customWidth="1"/>
    <col min="18" max="16384" width="9.109375" style="22"/>
  </cols>
  <sheetData>
    <row r="1" spans="1:14" ht="13.8" hidden="1" thickBot="1" x14ac:dyDescent="0.3">
      <c r="A1" s="93"/>
      <c r="B1" s="92"/>
      <c r="C1" s="92"/>
      <c r="D1" s="92"/>
      <c r="E1" s="92"/>
      <c r="F1" s="92"/>
      <c r="G1" s="92"/>
      <c r="H1" s="92"/>
      <c r="I1" s="92"/>
      <c r="J1" s="92"/>
      <c r="K1" s="92"/>
      <c r="L1" s="92"/>
      <c r="M1" s="92"/>
    </row>
    <row r="2" spans="1:14" ht="13.8" hidden="1" thickBot="1" x14ac:dyDescent="0.3">
      <c r="A2" s="94"/>
    </row>
    <row r="3" spans="1:14" ht="13.8" thickBot="1" x14ac:dyDescent="0.3">
      <c r="A3" s="1495" t="s">
        <v>945</v>
      </c>
      <c r="B3" s="1495"/>
      <c r="C3" s="1495"/>
      <c r="D3" s="1495"/>
      <c r="E3" s="1495"/>
      <c r="F3" s="1495"/>
      <c r="G3" s="1495"/>
      <c r="H3" s="1495"/>
      <c r="I3" s="1495"/>
      <c r="J3" s="1495"/>
      <c r="K3" s="1495"/>
      <c r="L3" s="1495"/>
      <c r="M3" s="1495"/>
    </row>
    <row r="4" spans="1:14" s="23" customFormat="1" ht="27.75" customHeight="1" thickBot="1" x14ac:dyDescent="0.25">
      <c r="A4" s="305" t="s">
        <v>631</v>
      </c>
      <c r="B4" s="1487" t="s">
        <v>812</v>
      </c>
      <c r="C4" s="1488"/>
      <c r="D4" s="1489"/>
      <c r="E4" s="1496" t="s">
        <v>813</v>
      </c>
      <c r="F4" s="1497"/>
      <c r="G4" s="1497"/>
      <c r="H4" s="1490" t="s">
        <v>814</v>
      </c>
      <c r="I4" s="1491"/>
      <c r="J4" s="1492"/>
      <c r="K4" s="1490" t="s">
        <v>815</v>
      </c>
      <c r="L4" s="1491"/>
      <c r="M4" s="1492"/>
    </row>
    <row r="5" spans="1:14" s="24" customFormat="1" ht="53.25" customHeight="1" thickBot="1" x14ac:dyDescent="0.3">
      <c r="A5" s="1099"/>
      <c r="B5" s="1468" t="s">
        <v>75</v>
      </c>
      <c r="C5" s="601" t="s">
        <v>228</v>
      </c>
      <c r="D5" s="602" t="s">
        <v>229</v>
      </c>
      <c r="E5" s="1468" t="s">
        <v>75</v>
      </c>
      <c r="F5" s="601" t="s">
        <v>228</v>
      </c>
      <c r="G5" s="602" t="s">
        <v>229</v>
      </c>
      <c r="H5" s="1468" t="s">
        <v>75</v>
      </c>
      <c r="I5" s="601" t="s">
        <v>228</v>
      </c>
      <c r="J5" s="602" t="s">
        <v>229</v>
      </c>
      <c r="K5" s="1468" t="s">
        <v>75</v>
      </c>
      <c r="L5" s="601" t="s">
        <v>228</v>
      </c>
      <c r="M5" s="602" t="s">
        <v>229</v>
      </c>
    </row>
    <row r="6" spans="1:14" s="24" customFormat="1" ht="39.6" x14ac:dyDescent="0.25">
      <c r="A6" s="129" t="s">
        <v>777</v>
      </c>
      <c r="B6" s="605">
        <f>B7+B15+B16+B17+B18+B19</f>
        <v>1011904875</v>
      </c>
      <c r="C6" s="605">
        <f>C7+C15+C16+C17+C18+C19</f>
        <v>1351753707</v>
      </c>
      <c r="D6" s="1469">
        <f>C6-B6</f>
        <v>339848832</v>
      </c>
      <c r="E6" s="603">
        <f>E7+E15+E16+E17+E18+E19</f>
        <v>21498780</v>
      </c>
      <c r="F6" s="603">
        <f>F7+F15+F16+F17+F18+F19</f>
        <v>22112074</v>
      </c>
      <c r="G6" s="606">
        <f>F6-E6</f>
        <v>613294</v>
      </c>
      <c r="H6" s="603">
        <f>H7+H15+H16+H17+H18+H19</f>
        <v>108927000</v>
      </c>
      <c r="I6" s="331">
        <f>I7+I15+I16+I17+I18+I19</f>
        <v>113123731</v>
      </c>
      <c r="J6" s="606">
        <f>I6-H6</f>
        <v>4196731</v>
      </c>
      <c r="K6" s="603">
        <f>K7+K15+K16+K17+K18+K19</f>
        <v>1142330655</v>
      </c>
      <c r="L6" s="331">
        <f>L7+L15+L16+L17+L18+L19</f>
        <v>1486989512</v>
      </c>
      <c r="M6" s="606">
        <f>L6-K6</f>
        <v>344658857</v>
      </c>
    </row>
    <row r="7" spans="1:14" s="26" customFormat="1" ht="26.4" x14ac:dyDescent="0.25">
      <c r="A7" s="130" t="s">
        <v>816</v>
      </c>
      <c r="B7" s="867">
        <f>SUM(B8:B14)</f>
        <v>879671876</v>
      </c>
      <c r="C7" s="252">
        <f>SUM(C8:C14)</f>
        <v>903353760</v>
      </c>
      <c r="D7" s="1470">
        <f>C7-B7</f>
        <v>23681884</v>
      </c>
      <c r="E7" s="306"/>
      <c r="F7" s="252"/>
      <c r="G7" s="607">
        <f>F7-E7</f>
        <v>0</v>
      </c>
      <c r="H7" s="306"/>
      <c r="I7" s="252"/>
      <c r="J7" s="607">
        <f>I7-H7</f>
        <v>0</v>
      </c>
      <c r="K7" s="306">
        <f>SUM(K8:K14)</f>
        <v>879671876</v>
      </c>
      <c r="L7" s="252">
        <f>SUM(L8:L14)</f>
        <v>903353760</v>
      </c>
      <c r="M7" s="386">
        <f t="shared" ref="M7:M26" si="0">L7-K7</f>
        <v>23681884</v>
      </c>
      <c r="N7" s="25"/>
    </row>
    <row r="8" spans="1:14" s="26" customFormat="1" ht="26.4" x14ac:dyDescent="0.25">
      <c r="A8" s="131" t="s">
        <v>817</v>
      </c>
      <c r="B8" s="306">
        <v>427352737</v>
      </c>
      <c r="C8" s="123">
        <v>427352737</v>
      </c>
      <c r="D8" s="1470">
        <f t="shared" ref="D8:D26" si="1">C8-B8</f>
        <v>0</v>
      </c>
      <c r="E8" s="306"/>
      <c r="F8" s="123"/>
      <c r="G8" s="607">
        <f t="shared" ref="G8:G25" si="2">F8-E8</f>
        <v>0</v>
      </c>
      <c r="H8" s="306"/>
      <c r="I8" s="123"/>
      <c r="J8" s="607">
        <f t="shared" ref="J8:J26" si="3">I8-H8</f>
        <v>0</v>
      </c>
      <c r="K8" s="619">
        <f t="shared" ref="K8:K20" si="4">SUM(B8+E8+H8)</f>
        <v>427352737</v>
      </c>
      <c r="L8" s="123">
        <f t="shared" ref="L8:L14" si="5">SUM(C8+F8+I8)</f>
        <v>427352737</v>
      </c>
      <c r="M8" s="386">
        <f t="shared" si="0"/>
        <v>0</v>
      </c>
      <c r="N8" s="25"/>
    </row>
    <row r="9" spans="1:14" s="26" customFormat="1" ht="39.6" x14ac:dyDescent="0.25">
      <c r="A9" s="131" t="s">
        <v>818</v>
      </c>
      <c r="B9" s="306">
        <v>263108980</v>
      </c>
      <c r="C9" s="123">
        <v>264871280</v>
      </c>
      <c r="D9" s="1470">
        <f t="shared" si="1"/>
        <v>1762300</v>
      </c>
      <c r="E9" s="306"/>
      <c r="F9" s="123"/>
      <c r="G9" s="607">
        <f t="shared" si="2"/>
        <v>0</v>
      </c>
      <c r="H9" s="306"/>
      <c r="I9" s="123"/>
      <c r="J9" s="607">
        <f t="shared" si="3"/>
        <v>0</v>
      </c>
      <c r="K9" s="619">
        <f t="shared" si="4"/>
        <v>263108980</v>
      </c>
      <c r="L9" s="123">
        <f t="shared" si="5"/>
        <v>264871280</v>
      </c>
      <c r="M9" s="386">
        <f t="shared" si="0"/>
        <v>1762300</v>
      </c>
      <c r="N9" s="25"/>
    </row>
    <row r="10" spans="1:14" s="26" customFormat="1" ht="39.6" x14ac:dyDescent="0.25">
      <c r="A10" s="132" t="s">
        <v>819</v>
      </c>
      <c r="B10" s="306">
        <v>173304879</v>
      </c>
      <c r="C10" s="123">
        <v>186543549</v>
      </c>
      <c r="D10" s="1470">
        <f t="shared" si="1"/>
        <v>13238670</v>
      </c>
      <c r="E10" s="306"/>
      <c r="F10" s="123"/>
      <c r="G10" s="607">
        <f t="shared" si="2"/>
        <v>0</v>
      </c>
      <c r="H10" s="306"/>
      <c r="I10" s="123"/>
      <c r="J10" s="607">
        <f t="shared" si="3"/>
        <v>0</v>
      </c>
      <c r="K10" s="619">
        <f t="shared" si="4"/>
        <v>173304879</v>
      </c>
      <c r="L10" s="123">
        <f t="shared" si="5"/>
        <v>186543549</v>
      </c>
      <c r="M10" s="386">
        <f t="shared" si="0"/>
        <v>13238670</v>
      </c>
      <c r="N10" s="25"/>
    </row>
    <row r="11" spans="1:14" s="26" customFormat="1" ht="26.4" x14ac:dyDescent="0.25">
      <c r="A11" s="132" t="s">
        <v>820</v>
      </c>
      <c r="B11" s="306">
        <v>15905280</v>
      </c>
      <c r="C11" s="123">
        <v>17377221</v>
      </c>
      <c r="D11" s="1470">
        <f t="shared" si="1"/>
        <v>1471941</v>
      </c>
      <c r="E11" s="306"/>
      <c r="F11" s="123"/>
      <c r="G11" s="607">
        <f t="shared" si="2"/>
        <v>0</v>
      </c>
      <c r="H11" s="306"/>
      <c r="I11" s="123"/>
      <c r="J11" s="607">
        <f t="shared" si="3"/>
        <v>0</v>
      </c>
      <c r="K11" s="619">
        <f t="shared" si="4"/>
        <v>15905280</v>
      </c>
      <c r="L11" s="123">
        <f t="shared" si="5"/>
        <v>17377221</v>
      </c>
      <c r="M11" s="386">
        <f t="shared" si="0"/>
        <v>1471941</v>
      </c>
      <c r="N11" s="25"/>
    </row>
    <row r="12" spans="1:14" s="24" customFormat="1" ht="39.6" x14ac:dyDescent="0.25">
      <c r="A12" s="132" t="s">
        <v>734</v>
      </c>
      <c r="B12" s="306"/>
      <c r="C12" s="123">
        <v>3884841</v>
      </c>
      <c r="D12" s="1470">
        <f t="shared" si="1"/>
        <v>3884841</v>
      </c>
      <c r="E12" s="306"/>
      <c r="F12" s="123"/>
      <c r="G12" s="607">
        <f t="shared" si="2"/>
        <v>0</v>
      </c>
      <c r="H12" s="306"/>
      <c r="I12" s="123"/>
      <c r="J12" s="607">
        <f t="shared" si="3"/>
        <v>0</v>
      </c>
      <c r="K12" s="619">
        <f t="shared" si="4"/>
        <v>0</v>
      </c>
      <c r="L12" s="123">
        <f t="shared" si="5"/>
        <v>3884841</v>
      </c>
      <c r="M12" s="386">
        <f t="shared" si="0"/>
        <v>3884841</v>
      </c>
    </row>
    <row r="13" spans="1:14" s="24" customFormat="1" ht="26.4" x14ac:dyDescent="0.25">
      <c r="A13" s="132" t="s">
        <v>765</v>
      </c>
      <c r="B13" s="306"/>
      <c r="C13" s="123">
        <v>3324132</v>
      </c>
      <c r="D13" s="1470">
        <f t="shared" si="1"/>
        <v>3324132</v>
      </c>
      <c r="E13" s="306"/>
      <c r="F13" s="123"/>
      <c r="G13" s="607">
        <f t="shared" si="2"/>
        <v>0</v>
      </c>
      <c r="H13" s="306"/>
      <c r="I13" s="123"/>
      <c r="J13" s="607">
        <f t="shared" si="3"/>
        <v>0</v>
      </c>
      <c r="K13" s="619">
        <f t="shared" si="4"/>
        <v>0</v>
      </c>
      <c r="L13" s="123">
        <f t="shared" si="5"/>
        <v>3324132</v>
      </c>
      <c r="M13" s="386">
        <f t="shared" si="0"/>
        <v>3324132</v>
      </c>
    </row>
    <row r="14" spans="1:14" s="24" customFormat="1" x14ac:dyDescent="0.25">
      <c r="A14" s="132" t="s">
        <v>865</v>
      </c>
      <c r="B14" s="306"/>
      <c r="C14" s="123"/>
      <c r="D14" s="1470">
        <f t="shared" si="1"/>
        <v>0</v>
      </c>
      <c r="E14" s="306"/>
      <c r="F14" s="123"/>
      <c r="G14" s="607">
        <f t="shared" si="2"/>
        <v>0</v>
      </c>
      <c r="H14" s="306"/>
      <c r="I14" s="123"/>
      <c r="J14" s="607">
        <f t="shared" si="3"/>
        <v>0</v>
      </c>
      <c r="K14" s="619">
        <f t="shared" si="4"/>
        <v>0</v>
      </c>
      <c r="L14" s="123">
        <f t="shared" si="5"/>
        <v>0</v>
      </c>
      <c r="M14" s="386">
        <f t="shared" si="0"/>
        <v>0</v>
      </c>
    </row>
    <row r="15" spans="1:14" s="24" customFormat="1" x14ac:dyDescent="0.25">
      <c r="A15" s="132" t="s">
        <v>653</v>
      </c>
      <c r="B15" s="306"/>
      <c r="C15" s="123"/>
      <c r="D15" s="1470">
        <f t="shared" si="1"/>
        <v>0</v>
      </c>
      <c r="E15" s="306"/>
      <c r="F15" s="123"/>
      <c r="G15" s="607">
        <f t="shared" si="2"/>
        <v>0</v>
      </c>
      <c r="H15" s="306"/>
      <c r="I15" s="123"/>
      <c r="J15" s="607">
        <f t="shared" si="3"/>
        <v>0</v>
      </c>
      <c r="K15" s="619">
        <f t="shared" si="4"/>
        <v>0</v>
      </c>
      <c r="L15" s="123"/>
      <c r="M15" s="386">
        <f t="shared" si="0"/>
        <v>0</v>
      </c>
    </row>
    <row r="16" spans="1:14" s="27" customFormat="1" ht="52.8" x14ac:dyDescent="0.25">
      <c r="A16" s="132" t="s">
        <v>821</v>
      </c>
      <c r="B16" s="306"/>
      <c r="C16" s="252"/>
      <c r="D16" s="1470">
        <f t="shared" si="1"/>
        <v>0</v>
      </c>
      <c r="E16" s="306"/>
      <c r="F16" s="252"/>
      <c r="G16" s="607">
        <f t="shared" si="2"/>
        <v>0</v>
      </c>
      <c r="H16" s="306"/>
      <c r="I16" s="252"/>
      <c r="J16" s="607">
        <f t="shared" si="3"/>
        <v>0</v>
      </c>
      <c r="K16" s="619">
        <f t="shared" si="4"/>
        <v>0</v>
      </c>
      <c r="L16" s="123">
        <f>C16+F16+I16</f>
        <v>0</v>
      </c>
      <c r="M16" s="386">
        <f t="shared" si="0"/>
        <v>0</v>
      </c>
    </row>
    <row r="17" spans="1:14" s="27" customFormat="1" ht="52.8" x14ac:dyDescent="0.25">
      <c r="A17" s="132" t="s">
        <v>822</v>
      </c>
      <c r="B17" s="306"/>
      <c r="C17" s="252"/>
      <c r="D17" s="1470">
        <f t="shared" si="1"/>
        <v>0</v>
      </c>
      <c r="E17" s="306"/>
      <c r="F17" s="252"/>
      <c r="G17" s="607">
        <f t="shared" si="2"/>
        <v>0</v>
      </c>
      <c r="H17" s="306"/>
      <c r="I17" s="252"/>
      <c r="J17" s="607">
        <f t="shared" si="3"/>
        <v>0</v>
      </c>
      <c r="K17" s="619">
        <f t="shared" si="4"/>
        <v>0</v>
      </c>
      <c r="L17" s="123">
        <f>C17+F17+I17</f>
        <v>0</v>
      </c>
      <c r="M17" s="386">
        <f t="shared" si="0"/>
        <v>0</v>
      </c>
    </row>
    <row r="18" spans="1:14" s="27" customFormat="1" ht="52.8" x14ac:dyDescent="0.25">
      <c r="A18" s="132" t="s">
        <v>823</v>
      </c>
      <c r="B18" s="306"/>
      <c r="C18" s="252"/>
      <c r="D18" s="1470">
        <f t="shared" si="1"/>
        <v>0</v>
      </c>
      <c r="E18" s="306"/>
      <c r="F18" s="252"/>
      <c r="G18" s="607">
        <f t="shared" si="2"/>
        <v>0</v>
      </c>
      <c r="H18" s="306"/>
      <c r="I18" s="252"/>
      <c r="J18" s="607">
        <f t="shared" si="3"/>
        <v>0</v>
      </c>
      <c r="K18" s="619">
        <f t="shared" si="4"/>
        <v>0</v>
      </c>
      <c r="L18" s="123">
        <f>C18+F18+I18</f>
        <v>0</v>
      </c>
      <c r="M18" s="386">
        <f t="shared" si="0"/>
        <v>0</v>
      </c>
    </row>
    <row r="19" spans="1:14" s="24" customFormat="1" ht="39.6" x14ac:dyDescent="0.25">
      <c r="A19" s="132" t="s">
        <v>824</v>
      </c>
      <c r="B19" s="306">
        <v>132232999</v>
      </c>
      <c r="C19" s="123">
        <v>448399947</v>
      </c>
      <c r="D19" s="1470">
        <f t="shared" si="1"/>
        <v>316166948</v>
      </c>
      <c r="E19" s="867">
        <f>'2.a tábla ÚJ '!O13</f>
        <v>21498780</v>
      </c>
      <c r="F19" s="252">
        <f>'2.a tábla ÚJ '!P13</f>
        <v>22112074</v>
      </c>
      <c r="G19" s="607">
        <f t="shared" si="2"/>
        <v>613294</v>
      </c>
      <c r="H19" s="867">
        <f>'2.a tábla ÚJ '!K13</f>
        <v>108927000</v>
      </c>
      <c r="I19" s="252">
        <f>'2.a tábla ÚJ '!L13</f>
        <v>113123731</v>
      </c>
      <c r="J19" s="607">
        <f t="shared" si="3"/>
        <v>4196731</v>
      </c>
      <c r="K19" s="619">
        <f t="shared" si="4"/>
        <v>262658779</v>
      </c>
      <c r="L19" s="123">
        <f>C19+F19+I19</f>
        <v>583635752</v>
      </c>
      <c r="M19" s="386">
        <f t="shared" si="0"/>
        <v>320976973</v>
      </c>
    </row>
    <row r="20" spans="1:14" s="24" customFormat="1" ht="39.6" x14ac:dyDescent="0.25">
      <c r="A20" s="132" t="s">
        <v>825</v>
      </c>
      <c r="B20" s="306"/>
      <c r="C20" s="123"/>
      <c r="D20" s="1470">
        <f t="shared" si="1"/>
        <v>0</v>
      </c>
      <c r="E20" s="306"/>
      <c r="F20" s="123"/>
      <c r="G20" s="607">
        <f t="shared" si="2"/>
        <v>0</v>
      </c>
      <c r="H20" s="867">
        <f>'2.a tábla ÚJ '!K14</f>
        <v>103000000</v>
      </c>
      <c r="I20" s="252">
        <f>'2.a tábla ÚJ '!L14</f>
        <v>107196731</v>
      </c>
      <c r="J20" s="607">
        <f t="shared" si="3"/>
        <v>4196731</v>
      </c>
      <c r="K20" s="619">
        <f t="shared" si="4"/>
        <v>103000000</v>
      </c>
      <c r="L20" s="123">
        <f>C20+F20+I20</f>
        <v>107196731</v>
      </c>
      <c r="M20" s="386">
        <f t="shared" si="0"/>
        <v>4196731</v>
      </c>
    </row>
    <row r="21" spans="1:14" s="24" customFormat="1" ht="39.6" x14ac:dyDescent="0.25">
      <c r="A21" s="133" t="s">
        <v>778</v>
      </c>
      <c r="B21" s="892">
        <f>B22+B23+B24+B25+B26</f>
        <v>1798268854</v>
      </c>
      <c r="C21" s="122">
        <f>C22+C23+C24+C25+C26</f>
        <v>2362779525</v>
      </c>
      <c r="D21" s="1471">
        <f>C21-B21</f>
        <v>564510671</v>
      </c>
      <c r="E21" s="134">
        <f>E22+E23+E24+E25+E26</f>
        <v>0</v>
      </c>
      <c r="F21" s="122"/>
      <c r="G21" s="609">
        <f t="shared" si="2"/>
        <v>0</v>
      </c>
      <c r="H21" s="134">
        <f>H22+H23+H24+H25+H26</f>
        <v>0</v>
      </c>
      <c r="I21" s="122">
        <f>I22+I23+I24+I25+I26</f>
        <v>0</v>
      </c>
      <c r="J21" s="609">
        <f t="shared" si="3"/>
        <v>0</v>
      </c>
      <c r="K21" s="134">
        <f>K22+K23+K24+K25+K26</f>
        <v>1798268854</v>
      </c>
      <c r="L21" s="122">
        <f>L22+L23+L24+L25+L26</f>
        <v>2362779525</v>
      </c>
      <c r="M21" s="387">
        <f t="shared" si="0"/>
        <v>564510671</v>
      </c>
    </row>
    <row r="22" spans="1:14" s="24" customFormat="1" ht="26.4" x14ac:dyDescent="0.25">
      <c r="A22" s="132" t="s">
        <v>826</v>
      </c>
      <c r="B22" s="306">
        <v>163583000</v>
      </c>
      <c r="C22" s="123">
        <v>163348384</v>
      </c>
      <c r="D22" s="1470">
        <f t="shared" si="1"/>
        <v>-234616</v>
      </c>
      <c r="E22" s="306"/>
      <c r="F22" s="123"/>
      <c r="G22" s="607">
        <f t="shared" si="2"/>
        <v>0</v>
      </c>
      <c r="H22" s="306"/>
      <c r="I22" s="123"/>
      <c r="J22" s="607">
        <f t="shared" si="3"/>
        <v>0</v>
      </c>
      <c r="K22" s="619">
        <f>SUM(B22+E22+H22)</f>
        <v>163583000</v>
      </c>
      <c r="L22" s="123">
        <f>C22+F22+I22</f>
        <v>163348384</v>
      </c>
      <c r="M22" s="386">
        <f t="shared" si="0"/>
        <v>-234616</v>
      </c>
    </row>
    <row r="23" spans="1:14" s="24" customFormat="1" ht="52.8" x14ac:dyDescent="0.25">
      <c r="A23" s="132" t="s">
        <v>827</v>
      </c>
      <c r="B23" s="306"/>
      <c r="C23" s="123"/>
      <c r="D23" s="1470">
        <f t="shared" si="1"/>
        <v>0</v>
      </c>
      <c r="E23" s="306"/>
      <c r="F23" s="123"/>
      <c r="G23" s="607">
        <f t="shared" si="2"/>
        <v>0</v>
      </c>
      <c r="H23" s="306"/>
      <c r="I23" s="123"/>
      <c r="J23" s="607">
        <f t="shared" si="3"/>
        <v>0</v>
      </c>
      <c r="K23" s="619">
        <f>SUM(B23+E23+H23)</f>
        <v>0</v>
      </c>
      <c r="L23" s="123">
        <f>C23+F23+I23</f>
        <v>0</v>
      </c>
      <c r="M23" s="386">
        <f t="shared" si="0"/>
        <v>0</v>
      </c>
    </row>
    <row r="24" spans="1:14" s="24" customFormat="1" ht="52.8" x14ac:dyDescent="0.25">
      <c r="A24" s="132" t="s">
        <v>828</v>
      </c>
      <c r="B24" s="306">
        <v>0</v>
      </c>
      <c r="C24" s="123"/>
      <c r="D24" s="1470">
        <f t="shared" si="1"/>
        <v>0</v>
      </c>
      <c r="E24" s="306"/>
      <c r="F24" s="123"/>
      <c r="G24" s="607">
        <f t="shared" si="2"/>
        <v>0</v>
      </c>
      <c r="H24" s="306"/>
      <c r="I24" s="123"/>
      <c r="J24" s="607">
        <f t="shared" si="3"/>
        <v>0</v>
      </c>
      <c r="K24" s="619">
        <f>SUM(B24+E24+H24)</f>
        <v>0</v>
      </c>
      <c r="L24" s="123">
        <f>C24+F24+I24</f>
        <v>0</v>
      </c>
      <c r="M24" s="386">
        <f t="shared" si="0"/>
        <v>0</v>
      </c>
    </row>
    <row r="25" spans="1:14" s="24" customFormat="1" ht="52.8" x14ac:dyDescent="0.25">
      <c r="A25" s="132" t="s">
        <v>829</v>
      </c>
      <c r="B25" s="306"/>
      <c r="C25" s="123"/>
      <c r="D25" s="1470">
        <f t="shared" si="1"/>
        <v>0</v>
      </c>
      <c r="E25" s="306"/>
      <c r="F25" s="123"/>
      <c r="G25" s="607">
        <f t="shared" si="2"/>
        <v>0</v>
      </c>
      <c r="H25" s="306"/>
      <c r="I25" s="123"/>
      <c r="J25" s="607">
        <f t="shared" si="3"/>
        <v>0</v>
      </c>
      <c r="K25" s="619">
        <f>SUM(B25+E25+H25)</f>
        <v>0</v>
      </c>
      <c r="L25" s="123">
        <f>C25+F25+I25</f>
        <v>0</v>
      </c>
      <c r="M25" s="386">
        <f t="shared" si="0"/>
        <v>0</v>
      </c>
    </row>
    <row r="26" spans="1:14" s="24" customFormat="1" ht="40.200000000000003" thickBot="1" x14ac:dyDescent="0.3">
      <c r="A26" s="886" t="s">
        <v>654</v>
      </c>
      <c r="B26" s="604">
        <v>1634685854</v>
      </c>
      <c r="C26" s="308">
        <v>2199431141</v>
      </c>
      <c r="D26" s="1472">
        <f t="shared" si="1"/>
        <v>564745287</v>
      </c>
      <c r="E26" s="604"/>
      <c r="F26" s="308"/>
      <c r="G26" s="608">
        <f>F26-E26</f>
        <v>0</v>
      </c>
      <c r="H26" s="604"/>
      <c r="I26" s="308"/>
      <c r="J26" s="608">
        <f t="shared" si="3"/>
        <v>0</v>
      </c>
      <c r="K26" s="887">
        <f>SUM(B26+E26+H26)</f>
        <v>1634685854</v>
      </c>
      <c r="L26" s="308">
        <f>C26+F26+I26</f>
        <v>2199431141</v>
      </c>
      <c r="M26" s="610">
        <f t="shared" si="0"/>
        <v>564745287</v>
      </c>
    </row>
    <row r="27" spans="1:14" s="24" customFormat="1" ht="27" customHeight="1" thickBot="1" x14ac:dyDescent="0.3">
      <c r="A27" s="318" t="s">
        <v>631</v>
      </c>
      <c r="B27" s="1487" t="s">
        <v>812</v>
      </c>
      <c r="C27" s="1488"/>
      <c r="D27" s="1489"/>
      <c r="E27" s="1490" t="s">
        <v>813</v>
      </c>
      <c r="F27" s="1491"/>
      <c r="G27" s="1492"/>
      <c r="H27" s="1493" t="s">
        <v>814</v>
      </c>
      <c r="I27" s="1494"/>
      <c r="J27" s="1491"/>
      <c r="K27" s="1490" t="s">
        <v>815</v>
      </c>
      <c r="L27" s="1491"/>
      <c r="M27" s="1492"/>
    </row>
    <row r="28" spans="1:14" s="24" customFormat="1" ht="54" customHeight="1" thickBot="1" x14ac:dyDescent="0.3">
      <c r="A28" s="1099"/>
      <c r="B28" s="1473" t="s">
        <v>75</v>
      </c>
      <c r="C28" s="614" t="s">
        <v>228</v>
      </c>
      <c r="D28" s="615" t="s">
        <v>229</v>
      </c>
      <c r="E28" s="1473" t="s">
        <v>75</v>
      </c>
      <c r="F28" s="614" t="s">
        <v>228</v>
      </c>
      <c r="G28" s="615" t="s">
        <v>229</v>
      </c>
      <c r="H28" s="1473" t="s">
        <v>75</v>
      </c>
      <c r="I28" s="614" t="s">
        <v>228</v>
      </c>
      <c r="J28" s="615" t="s">
        <v>229</v>
      </c>
      <c r="K28" s="1473" t="s">
        <v>75</v>
      </c>
      <c r="L28" s="614" t="s">
        <v>228</v>
      </c>
      <c r="M28" s="615" t="s">
        <v>229</v>
      </c>
    </row>
    <row r="29" spans="1:14" s="24" customFormat="1" x14ac:dyDescent="0.25">
      <c r="A29" s="129" t="s">
        <v>779</v>
      </c>
      <c r="B29" s="616">
        <f>B30+B33+B41</f>
        <v>1675400000</v>
      </c>
      <c r="C29" s="617">
        <f>C30+C33+C41</f>
        <v>1675400000</v>
      </c>
      <c r="D29" s="618">
        <f>C29-B29</f>
        <v>0</v>
      </c>
      <c r="E29" s="616">
        <f>E30+E33+E41</f>
        <v>500000</v>
      </c>
      <c r="F29" s="617">
        <f>F30+F33+F41</f>
        <v>500000</v>
      </c>
      <c r="G29" s="618">
        <f>F29-E29</f>
        <v>0</v>
      </c>
      <c r="H29" s="616"/>
      <c r="I29" s="617"/>
      <c r="J29" s="618"/>
      <c r="K29" s="616">
        <f t="shared" ref="K29:K53" si="6">SUM(B29+E29+H29)</f>
        <v>1675900000</v>
      </c>
      <c r="L29" s="617">
        <f t="shared" ref="L29:L56" si="7">SUM(C29+F29+I29)</f>
        <v>1675900000</v>
      </c>
      <c r="M29" s="883">
        <f>L29-K29</f>
        <v>0</v>
      </c>
      <c r="N29" s="28"/>
    </row>
    <row r="30" spans="1:14" s="24" customFormat="1" x14ac:dyDescent="0.25">
      <c r="A30" s="132" t="s">
        <v>831</v>
      </c>
      <c r="B30" s="619">
        <f>SUM(B31:B32)</f>
        <v>440000000</v>
      </c>
      <c r="C30" s="96">
        <f>SUM(C31:C32)</f>
        <v>440000000</v>
      </c>
      <c r="D30" s="620">
        <f>C30-B30</f>
        <v>0</v>
      </c>
      <c r="E30" s="619"/>
      <c r="F30" s="96"/>
      <c r="G30" s="620"/>
      <c r="H30" s="619"/>
      <c r="I30" s="96"/>
      <c r="J30" s="620"/>
      <c r="K30" s="619">
        <f t="shared" si="6"/>
        <v>440000000</v>
      </c>
      <c r="L30" s="96">
        <f t="shared" si="7"/>
        <v>440000000</v>
      </c>
      <c r="M30" s="884">
        <f>L30-K30</f>
        <v>0</v>
      </c>
    </row>
    <row r="31" spans="1:14" s="24" customFormat="1" x14ac:dyDescent="0.25">
      <c r="A31" s="130" t="s">
        <v>832</v>
      </c>
      <c r="B31" s="619">
        <v>410000000</v>
      </c>
      <c r="C31" s="96">
        <v>410000000</v>
      </c>
      <c r="D31" s="620">
        <f t="shared" ref="D31:D62" si="8">C31-B31</f>
        <v>0</v>
      </c>
      <c r="E31" s="619"/>
      <c r="F31" s="96"/>
      <c r="G31" s="620"/>
      <c r="H31" s="619"/>
      <c r="I31" s="96"/>
      <c r="J31" s="620"/>
      <c r="K31" s="619">
        <f t="shared" si="6"/>
        <v>410000000</v>
      </c>
      <c r="L31" s="96">
        <f t="shared" si="7"/>
        <v>410000000</v>
      </c>
      <c r="M31" s="884">
        <f t="shared" ref="M31:M62" si="9">L31-K31</f>
        <v>0</v>
      </c>
    </row>
    <row r="32" spans="1:14" s="24" customFormat="1" x14ac:dyDescent="0.25">
      <c r="A32" s="130" t="s">
        <v>833</v>
      </c>
      <c r="B32" s="619">
        <v>30000000</v>
      </c>
      <c r="C32" s="96">
        <v>30000000</v>
      </c>
      <c r="D32" s="620">
        <f t="shared" si="8"/>
        <v>0</v>
      </c>
      <c r="E32" s="619"/>
      <c r="F32" s="96"/>
      <c r="G32" s="620"/>
      <c r="H32" s="619"/>
      <c r="I32" s="96"/>
      <c r="J32" s="620"/>
      <c r="K32" s="619">
        <f t="shared" si="6"/>
        <v>30000000</v>
      </c>
      <c r="L32" s="96">
        <f t="shared" si="7"/>
        <v>30000000</v>
      </c>
      <c r="M32" s="884">
        <f t="shared" si="9"/>
        <v>0</v>
      </c>
    </row>
    <row r="33" spans="1:14" s="24" customFormat="1" ht="27" customHeight="1" x14ac:dyDescent="0.25">
      <c r="A33" s="132" t="s">
        <v>834</v>
      </c>
      <c r="B33" s="619">
        <f>B34+B36+B37</f>
        <v>1149000000</v>
      </c>
      <c r="C33" s="96">
        <f>C34+C36+C37</f>
        <v>1149000000</v>
      </c>
      <c r="D33" s="620">
        <f t="shared" si="8"/>
        <v>0</v>
      </c>
      <c r="E33" s="619"/>
      <c r="F33" s="96"/>
      <c r="G33" s="620"/>
      <c r="H33" s="619"/>
      <c r="I33" s="96"/>
      <c r="J33" s="620"/>
      <c r="K33" s="619">
        <f t="shared" si="6"/>
        <v>1149000000</v>
      </c>
      <c r="L33" s="96">
        <f t="shared" si="7"/>
        <v>1149000000</v>
      </c>
      <c r="M33" s="884">
        <f t="shared" si="9"/>
        <v>0</v>
      </c>
    </row>
    <row r="34" spans="1:14" s="24" customFormat="1" ht="25.5" customHeight="1" x14ac:dyDescent="0.25">
      <c r="A34" s="132" t="s">
        <v>835</v>
      </c>
      <c r="B34" s="619">
        <f>SUM(B35)</f>
        <v>762000000</v>
      </c>
      <c r="C34" s="96">
        <f>SUM(C35)</f>
        <v>762000000</v>
      </c>
      <c r="D34" s="620">
        <f t="shared" si="8"/>
        <v>0</v>
      </c>
      <c r="E34" s="619"/>
      <c r="F34" s="96"/>
      <c r="G34" s="620"/>
      <c r="H34" s="619"/>
      <c r="I34" s="96"/>
      <c r="J34" s="620"/>
      <c r="K34" s="619">
        <f t="shared" si="6"/>
        <v>762000000</v>
      </c>
      <c r="L34" s="96">
        <f t="shared" si="7"/>
        <v>762000000</v>
      </c>
      <c r="M34" s="884">
        <f t="shared" si="9"/>
        <v>0</v>
      </c>
    </row>
    <row r="35" spans="1:14" s="24" customFormat="1" x14ac:dyDescent="0.25">
      <c r="A35" s="132" t="s">
        <v>836</v>
      </c>
      <c r="B35" s="619">
        <v>762000000</v>
      </c>
      <c r="C35" s="96">
        <v>762000000</v>
      </c>
      <c r="D35" s="620">
        <f t="shared" si="8"/>
        <v>0</v>
      </c>
      <c r="E35" s="619"/>
      <c r="F35" s="96"/>
      <c r="G35" s="620"/>
      <c r="H35" s="619"/>
      <c r="I35" s="96"/>
      <c r="J35" s="620"/>
      <c r="K35" s="619">
        <f t="shared" si="6"/>
        <v>762000000</v>
      </c>
      <c r="L35" s="96">
        <f t="shared" si="7"/>
        <v>762000000</v>
      </c>
      <c r="M35" s="884">
        <f t="shared" si="9"/>
        <v>0</v>
      </c>
    </row>
    <row r="36" spans="1:14" s="24" customFormat="1" x14ac:dyDescent="0.25">
      <c r="A36" s="132" t="s">
        <v>837</v>
      </c>
      <c r="B36" s="619">
        <v>52000000</v>
      </c>
      <c r="C36" s="96">
        <v>52000000</v>
      </c>
      <c r="D36" s="620">
        <f t="shared" si="8"/>
        <v>0</v>
      </c>
      <c r="E36" s="619"/>
      <c r="F36" s="96"/>
      <c r="G36" s="620"/>
      <c r="H36" s="619"/>
      <c r="I36" s="96"/>
      <c r="J36" s="620"/>
      <c r="K36" s="619">
        <f t="shared" si="6"/>
        <v>52000000</v>
      </c>
      <c r="L36" s="96">
        <f t="shared" si="7"/>
        <v>52000000</v>
      </c>
      <c r="M36" s="884">
        <f t="shared" si="9"/>
        <v>0</v>
      </c>
    </row>
    <row r="37" spans="1:14" s="24" customFormat="1" ht="26.4" x14ac:dyDescent="0.25">
      <c r="A37" s="132" t="s">
        <v>838</v>
      </c>
      <c r="B37" s="619">
        <f>SUM(B38:B40)</f>
        <v>335000000</v>
      </c>
      <c r="C37" s="96">
        <f>SUM(C38:C40)</f>
        <v>335000000</v>
      </c>
      <c r="D37" s="620">
        <f t="shared" si="8"/>
        <v>0</v>
      </c>
      <c r="E37" s="619"/>
      <c r="F37" s="96"/>
      <c r="G37" s="620"/>
      <c r="H37" s="619"/>
      <c r="I37" s="96"/>
      <c r="J37" s="620"/>
      <c r="K37" s="619">
        <f t="shared" si="6"/>
        <v>335000000</v>
      </c>
      <c r="L37" s="96">
        <f t="shared" si="7"/>
        <v>335000000</v>
      </c>
      <c r="M37" s="884">
        <f t="shared" si="9"/>
        <v>0</v>
      </c>
    </row>
    <row r="38" spans="1:14" s="24" customFormat="1" x14ac:dyDescent="0.25">
      <c r="A38" s="132" t="s">
        <v>839</v>
      </c>
      <c r="B38" s="619">
        <v>335000000</v>
      </c>
      <c r="C38" s="96">
        <v>335000000</v>
      </c>
      <c r="D38" s="620">
        <f t="shared" si="8"/>
        <v>0</v>
      </c>
      <c r="E38" s="619"/>
      <c r="F38" s="96"/>
      <c r="G38" s="620"/>
      <c r="H38" s="619"/>
      <c r="I38" s="96"/>
      <c r="J38" s="620"/>
      <c r="K38" s="619">
        <f t="shared" si="6"/>
        <v>335000000</v>
      </c>
      <c r="L38" s="96">
        <f t="shared" si="7"/>
        <v>335000000</v>
      </c>
      <c r="M38" s="884">
        <f t="shared" si="9"/>
        <v>0</v>
      </c>
    </row>
    <row r="39" spans="1:14" s="24" customFormat="1" x14ac:dyDescent="0.25">
      <c r="A39" s="132" t="s">
        <v>840</v>
      </c>
      <c r="B39" s="619">
        <v>0</v>
      </c>
      <c r="C39" s="96"/>
      <c r="D39" s="620">
        <f t="shared" si="8"/>
        <v>0</v>
      </c>
      <c r="E39" s="619"/>
      <c r="F39" s="96"/>
      <c r="G39" s="620"/>
      <c r="H39" s="619"/>
      <c r="I39" s="96"/>
      <c r="J39" s="620"/>
      <c r="K39" s="619">
        <f t="shared" si="6"/>
        <v>0</v>
      </c>
      <c r="L39" s="96">
        <f t="shared" si="7"/>
        <v>0</v>
      </c>
      <c r="M39" s="884">
        <f t="shared" si="9"/>
        <v>0</v>
      </c>
    </row>
    <row r="40" spans="1:14" s="24" customFormat="1" x14ac:dyDescent="0.25">
      <c r="A40" s="132" t="s">
        <v>634</v>
      </c>
      <c r="B40" s="619"/>
      <c r="C40" s="96">
        <v>0</v>
      </c>
      <c r="D40" s="620">
        <f t="shared" si="8"/>
        <v>0</v>
      </c>
      <c r="E40" s="619"/>
      <c r="F40" s="96"/>
      <c r="G40" s="620"/>
      <c r="H40" s="619"/>
      <c r="I40" s="96"/>
      <c r="J40" s="620"/>
      <c r="K40" s="619">
        <f t="shared" si="6"/>
        <v>0</v>
      </c>
      <c r="L40" s="96">
        <f t="shared" si="7"/>
        <v>0</v>
      </c>
      <c r="M40" s="884">
        <f t="shared" si="9"/>
        <v>0</v>
      </c>
    </row>
    <row r="41" spans="1:14" s="24" customFormat="1" ht="39.6" x14ac:dyDescent="0.25">
      <c r="A41" s="132" t="s">
        <v>8</v>
      </c>
      <c r="B41" s="619">
        <v>86400000</v>
      </c>
      <c r="C41" s="96">
        <v>86400000</v>
      </c>
      <c r="D41" s="620">
        <f t="shared" si="8"/>
        <v>0</v>
      </c>
      <c r="E41" s="774">
        <f>'2.a tábla ÚJ '!O20</f>
        <v>500000</v>
      </c>
      <c r="F41" s="776">
        <f>'2.a tábla ÚJ '!P20</f>
        <v>500000</v>
      </c>
      <c r="G41" s="620">
        <f>F41-E41</f>
        <v>0</v>
      </c>
      <c r="H41" s="619"/>
      <c r="I41" s="96"/>
      <c r="J41" s="620"/>
      <c r="K41" s="619">
        <f t="shared" si="6"/>
        <v>86900000</v>
      </c>
      <c r="L41" s="96">
        <f t="shared" si="7"/>
        <v>86900000</v>
      </c>
      <c r="M41" s="884">
        <f t="shared" si="9"/>
        <v>0</v>
      </c>
    </row>
    <row r="42" spans="1:14" s="30" customFormat="1" ht="27" customHeight="1" x14ac:dyDescent="0.25">
      <c r="A42" s="611" t="s">
        <v>780</v>
      </c>
      <c r="B42" s="621">
        <f>B43+B44+B46+B47+B50+B51+B52+B53+B56+B54+B55</f>
        <v>548809439</v>
      </c>
      <c r="C42" s="95">
        <f>C43+C44+C46+C47+C50+C51+C52+C53+C56+C54+C55</f>
        <v>548809439</v>
      </c>
      <c r="D42" s="622">
        <f t="shared" si="8"/>
        <v>0</v>
      </c>
      <c r="E42" s="775">
        <f>E43+E44+E46+E47+E50+E51+E52+E53+E56</f>
        <v>16109950</v>
      </c>
      <c r="F42" s="777">
        <f>F43+F44+F46+F47+F50+F51+F52+F53+F56</f>
        <v>16109950</v>
      </c>
      <c r="G42" s="622">
        <f t="shared" ref="G42:G57" si="10">F42-E42</f>
        <v>0</v>
      </c>
      <c r="H42" s="621">
        <f>SUM(H43+H44+H46+H47+H50+H51+H52+H53+H56)</f>
        <v>37348000</v>
      </c>
      <c r="I42" s="95">
        <f>SUM(I43+I44+I46+I47+I50+I51+I52+I53+I56)</f>
        <v>37348000</v>
      </c>
      <c r="J42" s="622">
        <f>I42-H42</f>
        <v>0</v>
      </c>
      <c r="K42" s="621">
        <f t="shared" si="6"/>
        <v>602267389</v>
      </c>
      <c r="L42" s="95">
        <f t="shared" si="7"/>
        <v>602267389</v>
      </c>
      <c r="M42" s="885">
        <f>L42-K42</f>
        <v>0</v>
      </c>
      <c r="N42" s="29"/>
    </row>
    <row r="43" spans="1:14" s="31" customFormat="1" ht="25.5" customHeight="1" x14ac:dyDescent="0.25">
      <c r="A43" s="130" t="s">
        <v>735</v>
      </c>
      <c r="B43" s="619">
        <v>5967322</v>
      </c>
      <c r="C43" s="96">
        <v>5967322</v>
      </c>
      <c r="D43" s="620">
        <f t="shared" si="8"/>
        <v>0</v>
      </c>
      <c r="E43" s="774"/>
      <c r="F43" s="776"/>
      <c r="G43" s="620">
        <f t="shared" si="10"/>
        <v>0</v>
      </c>
      <c r="H43" s="774"/>
      <c r="I43" s="776"/>
      <c r="J43" s="620"/>
      <c r="K43" s="619">
        <f t="shared" si="6"/>
        <v>5967322</v>
      </c>
      <c r="L43" s="96">
        <f t="shared" si="7"/>
        <v>5967322</v>
      </c>
      <c r="M43" s="884">
        <f t="shared" si="9"/>
        <v>0</v>
      </c>
    </row>
    <row r="44" spans="1:14" s="32" customFormat="1" ht="22.5" customHeight="1" x14ac:dyDescent="0.25">
      <c r="A44" s="130" t="s">
        <v>736</v>
      </c>
      <c r="B44" s="774">
        <v>337189893</v>
      </c>
      <c r="C44" s="776">
        <v>337189893</v>
      </c>
      <c r="D44" s="620">
        <f t="shared" si="8"/>
        <v>0</v>
      </c>
      <c r="E44" s="774">
        <f>'2.a tábla ÚJ '!O23</f>
        <v>12300000</v>
      </c>
      <c r="F44" s="776">
        <f>'2.a tábla ÚJ '!P23</f>
        <v>12300000</v>
      </c>
      <c r="G44" s="620">
        <f t="shared" si="10"/>
        <v>0</v>
      </c>
      <c r="H44" s="774">
        <f>'2.a tábla ÚJ '!K23</f>
        <v>35860000</v>
      </c>
      <c r="I44" s="776">
        <f>'2.a tábla ÚJ '!L23</f>
        <v>35860000</v>
      </c>
      <c r="J44" s="620">
        <f>I44-H44</f>
        <v>0</v>
      </c>
      <c r="K44" s="619">
        <f t="shared" si="6"/>
        <v>385349893</v>
      </c>
      <c r="L44" s="96">
        <f t="shared" si="7"/>
        <v>385349893</v>
      </c>
      <c r="M44" s="884">
        <f t="shared" si="9"/>
        <v>0</v>
      </c>
    </row>
    <row r="45" spans="1:14" s="32" customFormat="1" ht="22.5" customHeight="1" x14ac:dyDescent="0.25">
      <c r="A45" s="130" t="s">
        <v>547</v>
      </c>
      <c r="B45" s="774">
        <v>337189893</v>
      </c>
      <c r="C45" s="776">
        <v>337189893</v>
      </c>
      <c r="D45" s="620">
        <f t="shared" si="8"/>
        <v>0</v>
      </c>
      <c r="E45" s="774">
        <f>'2.a tábla ÚJ '!O24</f>
        <v>8100000</v>
      </c>
      <c r="F45" s="776">
        <f>'2.a tábla ÚJ '!P24</f>
        <v>8100000</v>
      </c>
      <c r="G45" s="620">
        <f t="shared" si="10"/>
        <v>0</v>
      </c>
      <c r="H45" s="774">
        <f>'2.a tábla ÚJ '!K24</f>
        <v>6250000</v>
      </c>
      <c r="I45" s="776">
        <f>'2.a tábla ÚJ '!L24</f>
        <v>6250000</v>
      </c>
      <c r="J45" s="620">
        <f t="shared" ref="J45:J57" si="11">I45-H45</f>
        <v>0</v>
      </c>
      <c r="K45" s="619">
        <f t="shared" si="6"/>
        <v>351539893</v>
      </c>
      <c r="L45" s="96">
        <f t="shared" si="7"/>
        <v>351539893</v>
      </c>
      <c r="M45" s="884">
        <f t="shared" si="9"/>
        <v>0</v>
      </c>
    </row>
    <row r="46" spans="1:14" s="32" customFormat="1" ht="24.75" customHeight="1" x14ac:dyDescent="0.25">
      <c r="A46" s="132" t="s">
        <v>843</v>
      </c>
      <c r="B46" s="774">
        <v>21105228</v>
      </c>
      <c r="C46" s="776">
        <v>21105228</v>
      </c>
      <c r="D46" s="620">
        <f t="shared" si="8"/>
        <v>0</v>
      </c>
      <c r="E46" s="774">
        <f>'2.a tábla ÚJ '!O25</f>
        <v>385000</v>
      </c>
      <c r="F46" s="776">
        <f>'2.a tábla ÚJ '!P25</f>
        <v>385000</v>
      </c>
      <c r="G46" s="620">
        <f t="shared" si="10"/>
        <v>0</v>
      </c>
      <c r="H46" s="774">
        <f>'2.a tábla ÚJ '!K25</f>
        <v>0</v>
      </c>
      <c r="I46" s="776">
        <f>'2.a tábla ÚJ '!L25</f>
        <v>0</v>
      </c>
      <c r="J46" s="620">
        <f t="shared" si="11"/>
        <v>0</v>
      </c>
      <c r="K46" s="619">
        <f t="shared" si="6"/>
        <v>21490228</v>
      </c>
      <c r="L46" s="96">
        <f t="shared" si="7"/>
        <v>21490228</v>
      </c>
      <c r="M46" s="884">
        <f t="shared" si="9"/>
        <v>0</v>
      </c>
    </row>
    <row r="47" spans="1:14" s="32" customFormat="1" ht="22.5" customHeight="1" x14ac:dyDescent="0.25">
      <c r="A47" s="100" t="s">
        <v>844</v>
      </c>
      <c r="B47" s="774">
        <f>SUM(B48:B49)</f>
        <v>18264000</v>
      </c>
      <c r="C47" s="776">
        <f>SUM(C48:C49)</f>
        <v>18264000</v>
      </c>
      <c r="D47" s="620">
        <f t="shared" si="8"/>
        <v>0</v>
      </c>
      <c r="E47" s="774"/>
      <c r="F47" s="776"/>
      <c r="G47" s="620">
        <f t="shared" si="10"/>
        <v>0</v>
      </c>
      <c r="H47" s="774"/>
      <c r="I47" s="776"/>
      <c r="J47" s="620">
        <f t="shared" si="11"/>
        <v>0</v>
      </c>
      <c r="K47" s="619">
        <f t="shared" si="6"/>
        <v>18264000</v>
      </c>
      <c r="L47" s="96">
        <f t="shared" si="7"/>
        <v>18264000</v>
      </c>
      <c r="M47" s="884">
        <f t="shared" si="9"/>
        <v>0</v>
      </c>
    </row>
    <row r="48" spans="1:14" s="32" customFormat="1" ht="20.25" customHeight="1" x14ac:dyDescent="0.25">
      <c r="A48" s="264" t="s">
        <v>733</v>
      </c>
      <c r="B48" s="774">
        <v>4264000</v>
      </c>
      <c r="C48" s="776">
        <v>4264000</v>
      </c>
      <c r="D48" s="620">
        <f t="shared" si="8"/>
        <v>0</v>
      </c>
      <c r="E48" s="774"/>
      <c r="F48" s="776"/>
      <c r="G48" s="620">
        <f t="shared" si="10"/>
        <v>0</v>
      </c>
      <c r="H48" s="774"/>
      <c r="I48" s="776"/>
      <c r="J48" s="620">
        <f t="shared" si="11"/>
        <v>0</v>
      </c>
      <c r="K48" s="619">
        <f t="shared" si="6"/>
        <v>4264000</v>
      </c>
      <c r="L48" s="96">
        <f t="shared" si="7"/>
        <v>4264000</v>
      </c>
      <c r="M48" s="884">
        <f t="shared" si="9"/>
        <v>0</v>
      </c>
    </row>
    <row r="49" spans="1:14" s="32" customFormat="1" ht="24.75" customHeight="1" x14ac:dyDescent="0.25">
      <c r="A49" s="264" t="s">
        <v>845</v>
      </c>
      <c r="B49" s="774">
        <v>14000000</v>
      </c>
      <c r="C49" s="776">
        <v>14000000</v>
      </c>
      <c r="D49" s="620">
        <f t="shared" si="8"/>
        <v>0</v>
      </c>
      <c r="E49" s="774"/>
      <c r="F49" s="776"/>
      <c r="G49" s="620">
        <f t="shared" si="10"/>
        <v>0</v>
      </c>
      <c r="H49" s="774"/>
      <c r="I49" s="776"/>
      <c r="J49" s="620">
        <f t="shared" si="11"/>
        <v>0</v>
      </c>
      <c r="K49" s="619">
        <f t="shared" si="6"/>
        <v>14000000</v>
      </c>
      <c r="L49" s="96">
        <f t="shared" si="7"/>
        <v>14000000</v>
      </c>
      <c r="M49" s="884">
        <f t="shared" si="9"/>
        <v>0</v>
      </c>
    </row>
    <row r="50" spans="1:14" s="32" customFormat="1" ht="19.5" customHeight="1" x14ac:dyDescent="0.25">
      <c r="A50" s="264" t="s">
        <v>846</v>
      </c>
      <c r="B50" s="774">
        <v>35410309</v>
      </c>
      <c r="C50" s="776">
        <v>35410309</v>
      </c>
      <c r="D50" s="620">
        <f t="shared" si="8"/>
        <v>0</v>
      </c>
      <c r="E50" s="774"/>
      <c r="F50" s="776"/>
      <c r="G50" s="620">
        <f t="shared" si="10"/>
        <v>0</v>
      </c>
      <c r="H50" s="774">
        <f>'2.a tábla ÚJ '!K27</f>
        <v>1017000</v>
      </c>
      <c r="I50" s="776">
        <f>'2.a tábla ÚJ '!L27</f>
        <v>1017000</v>
      </c>
      <c r="J50" s="620">
        <f t="shared" si="11"/>
        <v>0</v>
      </c>
      <c r="K50" s="619">
        <f t="shared" si="6"/>
        <v>36427309</v>
      </c>
      <c r="L50" s="96">
        <f t="shared" si="7"/>
        <v>36427309</v>
      </c>
      <c r="M50" s="884">
        <f t="shared" si="9"/>
        <v>0</v>
      </c>
    </row>
    <row r="51" spans="1:14" s="32" customFormat="1" ht="22.5" customHeight="1" x14ac:dyDescent="0.25">
      <c r="A51" s="130" t="s">
        <v>847</v>
      </c>
      <c r="B51" s="774">
        <v>98272687</v>
      </c>
      <c r="C51" s="776">
        <v>98272687</v>
      </c>
      <c r="D51" s="620">
        <f t="shared" si="8"/>
        <v>0</v>
      </c>
      <c r="E51" s="774">
        <f>'2.a tábla ÚJ '!O28</f>
        <v>3424950</v>
      </c>
      <c r="F51" s="776">
        <f>'2.a tábla ÚJ '!P28</f>
        <v>3424950</v>
      </c>
      <c r="G51" s="620">
        <f t="shared" si="10"/>
        <v>0</v>
      </c>
      <c r="H51" s="774">
        <f>'2.a tábla ÚJ '!K28</f>
        <v>451000</v>
      </c>
      <c r="I51" s="776">
        <f>'2.a tábla ÚJ '!L28</f>
        <v>451000</v>
      </c>
      <c r="J51" s="620">
        <f t="shared" si="11"/>
        <v>0</v>
      </c>
      <c r="K51" s="619">
        <f t="shared" si="6"/>
        <v>102148637</v>
      </c>
      <c r="L51" s="96">
        <f t="shared" si="7"/>
        <v>102148637</v>
      </c>
      <c r="M51" s="884">
        <f t="shared" si="9"/>
        <v>0</v>
      </c>
    </row>
    <row r="52" spans="1:14" s="32" customFormat="1" ht="20.25" customHeight="1" x14ac:dyDescent="0.25">
      <c r="A52" s="130" t="s">
        <v>848</v>
      </c>
      <c r="B52" s="774"/>
      <c r="C52" s="776"/>
      <c r="D52" s="620">
        <f t="shared" si="8"/>
        <v>0</v>
      </c>
      <c r="E52" s="774"/>
      <c r="F52" s="776"/>
      <c r="G52" s="620">
        <f t="shared" si="10"/>
        <v>0</v>
      </c>
      <c r="H52" s="774">
        <f>'2.a tábla ÚJ '!K29</f>
        <v>0</v>
      </c>
      <c r="I52" s="776">
        <f>'2.a tábla ÚJ '!L29</f>
        <v>0</v>
      </c>
      <c r="J52" s="620">
        <f t="shared" si="11"/>
        <v>0</v>
      </c>
      <c r="K52" s="619">
        <f t="shared" si="6"/>
        <v>0</v>
      </c>
      <c r="L52" s="96">
        <f t="shared" si="7"/>
        <v>0</v>
      </c>
      <c r="M52" s="884">
        <f t="shared" si="9"/>
        <v>0</v>
      </c>
    </row>
    <row r="53" spans="1:14" s="32" customFormat="1" ht="15" customHeight="1" x14ac:dyDescent="0.25">
      <c r="A53" s="130" t="s">
        <v>849</v>
      </c>
      <c r="B53" s="774">
        <v>30000000</v>
      </c>
      <c r="C53" s="776">
        <v>30000000</v>
      </c>
      <c r="D53" s="620">
        <f t="shared" si="8"/>
        <v>0</v>
      </c>
      <c r="E53" s="619"/>
      <c r="F53" s="96"/>
      <c r="G53" s="620">
        <f t="shared" si="10"/>
        <v>0</v>
      </c>
      <c r="H53" s="774"/>
      <c r="I53" s="776"/>
      <c r="J53" s="620">
        <f t="shared" si="11"/>
        <v>0</v>
      </c>
      <c r="K53" s="619">
        <f t="shared" si="6"/>
        <v>30000000</v>
      </c>
      <c r="L53" s="96">
        <f t="shared" si="7"/>
        <v>30000000</v>
      </c>
      <c r="M53" s="884">
        <f t="shared" si="9"/>
        <v>0</v>
      </c>
    </row>
    <row r="54" spans="1:14" s="32" customFormat="1" ht="26.25" customHeight="1" x14ac:dyDescent="0.25">
      <c r="A54" s="130" t="s">
        <v>739</v>
      </c>
      <c r="B54" s="774"/>
      <c r="C54" s="776"/>
      <c r="D54" s="620">
        <f t="shared" si="8"/>
        <v>0</v>
      </c>
      <c r="E54" s="619"/>
      <c r="F54" s="96"/>
      <c r="G54" s="620">
        <f t="shared" si="10"/>
        <v>0</v>
      </c>
      <c r="H54" s="774"/>
      <c r="I54" s="776"/>
      <c r="J54" s="620">
        <f t="shared" si="11"/>
        <v>0</v>
      </c>
      <c r="K54" s="619">
        <f>SUM(B54+E54+H54)</f>
        <v>0</v>
      </c>
      <c r="L54" s="96">
        <f t="shared" si="7"/>
        <v>0</v>
      </c>
      <c r="M54" s="884">
        <f t="shared" si="9"/>
        <v>0</v>
      </c>
    </row>
    <row r="55" spans="1:14" s="32" customFormat="1" ht="26.25" customHeight="1" x14ac:dyDescent="0.25">
      <c r="A55" s="130" t="s">
        <v>737</v>
      </c>
      <c r="B55" s="774"/>
      <c r="C55" s="776"/>
      <c r="D55" s="620">
        <f t="shared" si="8"/>
        <v>0</v>
      </c>
      <c r="E55" s="619"/>
      <c r="F55" s="96"/>
      <c r="G55" s="620">
        <f t="shared" si="10"/>
        <v>0</v>
      </c>
      <c r="H55" s="774"/>
      <c r="I55" s="776"/>
      <c r="J55" s="620">
        <f t="shared" si="11"/>
        <v>0</v>
      </c>
      <c r="K55" s="619">
        <f>SUM(B55+E55+H55)</f>
        <v>0</v>
      </c>
      <c r="L55" s="96">
        <f t="shared" si="7"/>
        <v>0</v>
      </c>
      <c r="M55" s="884">
        <f t="shared" si="9"/>
        <v>0</v>
      </c>
    </row>
    <row r="56" spans="1:14" s="32" customFormat="1" ht="26.4" x14ac:dyDescent="0.25">
      <c r="A56" s="264" t="s">
        <v>738</v>
      </c>
      <c r="B56" s="774">
        <v>2600000</v>
      </c>
      <c r="C56" s="776">
        <v>2600000</v>
      </c>
      <c r="D56" s="620">
        <f t="shared" si="8"/>
        <v>0</v>
      </c>
      <c r="E56" s="619"/>
      <c r="F56" s="96"/>
      <c r="G56" s="620">
        <f t="shared" si="10"/>
        <v>0</v>
      </c>
      <c r="H56" s="774">
        <f>'2.a tábla ÚJ '!K33</f>
        <v>20000</v>
      </c>
      <c r="I56" s="776">
        <f>'2.a tábla ÚJ '!L33</f>
        <v>20000</v>
      </c>
      <c r="J56" s="620">
        <f t="shared" si="11"/>
        <v>0</v>
      </c>
      <c r="K56" s="619">
        <f>SUM(B56+E56+H56)</f>
        <v>2620000</v>
      </c>
      <c r="L56" s="96">
        <f t="shared" si="7"/>
        <v>2620000</v>
      </c>
      <c r="M56" s="884">
        <f t="shared" si="9"/>
        <v>0</v>
      </c>
    </row>
    <row r="57" spans="1:14" s="30" customFormat="1" ht="27.75" customHeight="1" x14ac:dyDescent="0.25">
      <c r="A57" s="133" t="s">
        <v>781</v>
      </c>
      <c r="B57" s="775">
        <f>SUM(B58:B62)</f>
        <v>171355383</v>
      </c>
      <c r="C57" s="777">
        <f>SUM(C58:C62)</f>
        <v>171355383</v>
      </c>
      <c r="D57" s="622">
        <f t="shared" si="8"/>
        <v>0</v>
      </c>
      <c r="E57" s="621">
        <f>SUM(E58:E62)</f>
        <v>0</v>
      </c>
      <c r="F57" s="95">
        <f>SUM(F58:F62)</f>
        <v>0</v>
      </c>
      <c r="G57" s="622">
        <f t="shared" si="10"/>
        <v>0</v>
      </c>
      <c r="H57" s="775">
        <f>SUM(H58:H62)</f>
        <v>0</v>
      </c>
      <c r="I57" s="777">
        <f>SUM(I58:I62)</f>
        <v>0</v>
      </c>
      <c r="J57" s="622">
        <f t="shared" si="11"/>
        <v>0</v>
      </c>
      <c r="K57" s="621">
        <f>SUM(K58:K62)</f>
        <v>171355383</v>
      </c>
      <c r="L57" s="95">
        <f>SUM(L58:L62)</f>
        <v>171355383</v>
      </c>
      <c r="M57" s="885">
        <f t="shared" si="9"/>
        <v>0</v>
      </c>
      <c r="N57" s="29"/>
    </row>
    <row r="58" spans="1:14" s="30" customFormat="1" ht="27.75" customHeight="1" x14ac:dyDescent="0.25">
      <c r="A58" s="132" t="s">
        <v>850</v>
      </c>
      <c r="B58" s="774"/>
      <c r="C58" s="777"/>
      <c r="D58" s="620">
        <f t="shared" si="8"/>
        <v>0</v>
      </c>
      <c r="E58" s="619"/>
      <c r="F58" s="95"/>
      <c r="G58" s="620"/>
      <c r="H58" s="774"/>
      <c r="I58" s="777"/>
      <c r="J58" s="620"/>
      <c r="K58" s="619"/>
      <c r="L58" s="95"/>
      <c r="M58" s="884">
        <f t="shared" si="9"/>
        <v>0</v>
      </c>
      <c r="N58" s="29"/>
    </row>
    <row r="59" spans="1:14" s="32" customFormat="1" ht="14.25" customHeight="1" x14ac:dyDescent="0.25">
      <c r="A59" s="132" t="s">
        <v>851</v>
      </c>
      <c r="B59" s="774">
        <v>169623100</v>
      </c>
      <c r="C59" s="776">
        <v>169623100</v>
      </c>
      <c r="D59" s="620">
        <f t="shared" si="8"/>
        <v>0</v>
      </c>
      <c r="E59" s="619"/>
      <c r="F59" s="96"/>
      <c r="G59" s="620"/>
      <c r="H59" s="619"/>
      <c r="I59" s="96"/>
      <c r="J59" s="620"/>
      <c r="K59" s="619">
        <f t="shared" ref="K59:L62" si="12">B59+H59+E59</f>
        <v>169623100</v>
      </c>
      <c r="L59" s="96">
        <f t="shared" si="12"/>
        <v>169623100</v>
      </c>
      <c r="M59" s="884">
        <f t="shared" si="9"/>
        <v>0</v>
      </c>
    </row>
    <row r="60" spans="1:14" s="32" customFormat="1" ht="27" customHeight="1" x14ac:dyDescent="0.25">
      <c r="A60" s="612" t="s">
        <v>852</v>
      </c>
      <c r="B60" s="774">
        <v>1732283</v>
      </c>
      <c r="C60" s="776">
        <v>1732283</v>
      </c>
      <c r="D60" s="620">
        <f t="shared" si="8"/>
        <v>0</v>
      </c>
      <c r="E60" s="619"/>
      <c r="F60" s="96"/>
      <c r="G60" s="620"/>
      <c r="H60" s="619"/>
      <c r="I60" s="96"/>
      <c r="J60" s="620"/>
      <c r="K60" s="619">
        <f t="shared" si="12"/>
        <v>1732283</v>
      </c>
      <c r="L60" s="96">
        <f t="shared" si="12"/>
        <v>1732283</v>
      </c>
      <c r="M60" s="884">
        <f t="shared" si="9"/>
        <v>0</v>
      </c>
    </row>
    <row r="61" spans="1:14" s="32" customFormat="1" ht="23.25" customHeight="1" x14ac:dyDescent="0.25">
      <c r="A61" s="132" t="s">
        <v>853</v>
      </c>
      <c r="B61" s="774"/>
      <c r="C61" s="776"/>
      <c r="D61" s="620">
        <f t="shared" si="8"/>
        <v>0</v>
      </c>
      <c r="E61" s="619"/>
      <c r="F61" s="96"/>
      <c r="G61" s="620"/>
      <c r="H61" s="619"/>
      <c r="I61" s="96"/>
      <c r="J61" s="620"/>
      <c r="K61" s="619">
        <f t="shared" si="12"/>
        <v>0</v>
      </c>
      <c r="L61" s="96">
        <f t="shared" si="12"/>
        <v>0</v>
      </c>
      <c r="M61" s="884">
        <f t="shared" si="9"/>
        <v>0</v>
      </c>
    </row>
    <row r="62" spans="1:14" s="32" customFormat="1" ht="40.200000000000003" thickBot="1" x14ac:dyDescent="0.3">
      <c r="A62" s="886" t="s">
        <v>854</v>
      </c>
      <c r="B62" s="887"/>
      <c r="C62" s="888"/>
      <c r="D62" s="889">
        <f t="shared" si="8"/>
        <v>0</v>
      </c>
      <c r="E62" s="887"/>
      <c r="F62" s="890"/>
      <c r="G62" s="889"/>
      <c r="H62" s="887"/>
      <c r="I62" s="888"/>
      <c r="J62" s="889"/>
      <c r="K62" s="887">
        <f t="shared" si="12"/>
        <v>0</v>
      </c>
      <c r="L62" s="888">
        <f t="shared" si="12"/>
        <v>0</v>
      </c>
      <c r="M62" s="891">
        <f t="shared" si="9"/>
        <v>0</v>
      </c>
    </row>
    <row r="63" spans="1:14" s="32" customFormat="1" ht="21" customHeight="1" thickBot="1" x14ac:dyDescent="0.3">
      <c r="A63" s="1100" t="s">
        <v>631</v>
      </c>
      <c r="B63" s="1479" t="s">
        <v>812</v>
      </c>
      <c r="C63" s="1480"/>
      <c r="D63" s="1481"/>
      <c r="E63" s="1482" t="s">
        <v>813</v>
      </c>
      <c r="F63" s="1479"/>
      <c r="G63" s="1483"/>
      <c r="H63" s="1482" t="s">
        <v>814</v>
      </c>
      <c r="I63" s="1479"/>
      <c r="J63" s="1483"/>
      <c r="K63" s="1484" t="s">
        <v>815</v>
      </c>
      <c r="L63" s="1485"/>
      <c r="M63" s="1486"/>
    </row>
    <row r="64" spans="1:14" s="32" customFormat="1" ht="39" customHeight="1" thickBot="1" x14ac:dyDescent="0.3">
      <c r="A64" s="1099"/>
      <c r="B64" s="1468" t="s">
        <v>75</v>
      </c>
      <c r="C64" s="601" t="s">
        <v>228</v>
      </c>
      <c r="D64" s="602" t="s">
        <v>229</v>
      </c>
      <c r="E64" s="1468" t="s">
        <v>75</v>
      </c>
      <c r="F64" s="601" t="s">
        <v>228</v>
      </c>
      <c r="G64" s="602" t="s">
        <v>229</v>
      </c>
      <c r="H64" s="1468" t="s">
        <v>75</v>
      </c>
      <c r="I64" s="601" t="s">
        <v>228</v>
      </c>
      <c r="J64" s="602" t="s">
        <v>229</v>
      </c>
      <c r="K64" s="1468" t="s">
        <v>75</v>
      </c>
      <c r="L64" s="601" t="s">
        <v>228</v>
      </c>
      <c r="M64" s="602" t="s">
        <v>229</v>
      </c>
    </row>
    <row r="65" spans="1:16" s="30" customFormat="1" ht="24.75" customHeight="1" x14ac:dyDescent="0.25">
      <c r="A65" s="611" t="s">
        <v>782</v>
      </c>
      <c r="B65" s="603">
        <f>SUM(B66:B68)</f>
        <v>5600000</v>
      </c>
      <c r="C65" s="331">
        <f>SUM(C66:C68)</f>
        <v>6150575</v>
      </c>
      <c r="D65" s="606">
        <f>C65-B65</f>
        <v>550575</v>
      </c>
      <c r="E65" s="603">
        <f>SUM(E66:E68)</f>
        <v>0</v>
      </c>
      <c r="F65" s="331">
        <f>SUM(F66:F68)</f>
        <v>0</v>
      </c>
      <c r="G65" s="606">
        <f>F65-E65</f>
        <v>0</v>
      </c>
      <c r="H65" s="603">
        <f>SUM(H66:H68)</f>
        <v>0</v>
      </c>
      <c r="I65" s="331">
        <f>SUM(I66:I68)</f>
        <v>0</v>
      </c>
      <c r="J65" s="606">
        <f>I65-H65</f>
        <v>0</v>
      </c>
      <c r="K65" s="603">
        <f>SUM(K66:K68)</f>
        <v>5600000</v>
      </c>
      <c r="L65" s="331">
        <f>SUM(L66:L68)</f>
        <v>6150575</v>
      </c>
      <c r="M65" s="606">
        <f t="shared" ref="M65:M70" si="13">L65-K65</f>
        <v>550575</v>
      </c>
      <c r="N65" s="29"/>
    </row>
    <row r="66" spans="1:16" s="30" customFormat="1" ht="34.5" customHeight="1" x14ac:dyDescent="0.25">
      <c r="A66" s="132" t="s">
        <v>249</v>
      </c>
      <c r="B66" s="135"/>
      <c r="C66" s="122"/>
      <c r="D66" s="386"/>
      <c r="E66" s="135"/>
      <c r="F66" s="122"/>
      <c r="G66" s="386"/>
      <c r="H66" s="135"/>
      <c r="I66" s="122"/>
      <c r="J66" s="386"/>
      <c r="K66" s="135">
        <f>B66+E66+H66</f>
        <v>0</v>
      </c>
      <c r="L66" s="123">
        <f>C66+F66+I66</f>
        <v>0</v>
      </c>
      <c r="M66" s="386">
        <f t="shared" si="13"/>
        <v>0</v>
      </c>
      <c r="N66" s="29"/>
    </row>
    <row r="67" spans="1:16" s="32" customFormat="1" ht="60" customHeight="1" x14ac:dyDescent="0.25">
      <c r="A67" s="623" t="s">
        <v>250</v>
      </c>
      <c r="B67" s="135">
        <v>1600000</v>
      </c>
      <c r="C67" s="123">
        <v>1600000</v>
      </c>
      <c r="D67" s="386">
        <f>C67-B67</f>
        <v>0</v>
      </c>
      <c r="E67" s="135"/>
      <c r="F67" s="123"/>
      <c r="G67" s="386"/>
      <c r="H67" s="135"/>
      <c r="I67" s="123"/>
      <c r="J67" s="386"/>
      <c r="K67" s="135">
        <f>B67+E67+H67</f>
        <v>1600000</v>
      </c>
      <c r="L67" s="123">
        <f>C67+F67+I67</f>
        <v>1600000</v>
      </c>
      <c r="M67" s="386">
        <f t="shared" si="13"/>
        <v>0</v>
      </c>
      <c r="N67" s="33"/>
    </row>
    <row r="68" spans="1:16" s="32" customFormat="1" ht="27" customHeight="1" x14ac:dyDescent="0.25">
      <c r="A68" s="259" t="s">
        <v>251</v>
      </c>
      <c r="B68" s="135">
        <v>4000000</v>
      </c>
      <c r="C68" s="123">
        <v>4550575</v>
      </c>
      <c r="D68" s="386">
        <f t="shared" ref="D68:D93" si="14">C68-B68</f>
        <v>550575</v>
      </c>
      <c r="E68" s="135"/>
      <c r="F68" s="123"/>
      <c r="G68" s="386"/>
      <c r="H68" s="135"/>
      <c r="I68" s="123"/>
      <c r="J68" s="386"/>
      <c r="K68" s="135">
        <f>B68+E68+H68</f>
        <v>4000000</v>
      </c>
      <c r="L68" s="123">
        <f>SUM(C68+F68+I68)</f>
        <v>4550575</v>
      </c>
      <c r="M68" s="386">
        <f t="shared" si="13"/>
        <v>550575</v>
      </c>
    </row>
    <row r="69" spans="1:16" s="30" customFormat="1" ht="22.5" customHeight="1" x14ac:dyDescent="0.25">
      <c r="A69" s="893" t="s">
        <v>783</v>
      </c>
      <c r="B69" s="304">
        <f>SUM(B70:B72)</f>
        <v>85818959</v>
      </c>
      <c r="C69" s="316">
        <f>SUM(C70:C72)</f>
        <v>275818959</v>
      </c>
      <c r="D69" s="628">
        <f t="shared" si="14"/>
        <v>190000000</v>
      </c>
      <c r="E69" s="304">
        <f>SUM(E70:E72)</f>
        <v>0</v>
      </c>
      <c r="F69" s="316">
        <f>SUM(F70:F72)</f>
        <v>0</v>
      </c>
      <c r="G69" s="628">
        <f>F69-E69</f>
        <v>0</v>
      </c>
      <c r="H69" s="304">
        <f>SUM(H70:H72)</f>
        <v>0</v>
      </c>
      <c r="I69" s="316">
        <f>SUM(I70:I72)</f>
        <v>0</v>
      </c>
      <c r="J69" s="628">
        <f>I69-H69</f>
        <v>0</v>
      </c>
      <c r="K69" s="304">
        <f>SUM(K70:K72)</f>
        <v>85818959</v>
      </c>
      <c r="L69" s="316">
        <f>SUM(L70:L72)</f>
        <v>275818959</v>
      </c>
      <c r="M69" s="628">
        <f t="shared" si="13"/>
        <v>190000000</v>
      </c>
    </row>
    <row r="70" spans="1:16" s="32" customFormat="1" ht="59.25" customHeight="1" x14ac:dyDescent="0.25">
      <c r="A70" s="132" t="s">
        <v>252</v>
      </c>
      <c r="B70" s="135"/>
      <c r="C70" s="123"/>
      <c r="D70" s="386">
        <f t="shared" si="14"/>
        <v>0</v>
      </c>
      <c r="E70" s="135"/>
      <c r="F70" s="123"/>
      <c r="G70" s="386"/>
      <c r="H70" s="135"/>
      <c r="I70" s="123"/>
      <c r="J70" s="386"/>
      <c r="K70" s="135">
        <f t="shared" ref="K70:L72" si="15">B70+E70+H70</f>
        <v>0</v>
      </c>
      <c r="L70" s="123">
        <f t="shared" si="15"/>
        <v>0</v>
      </c>
      <c r="M70" s="386">
        <f t="shared" si="13"/>
        <v>0</v>
      </c>
    </row>
    <row r="71" spans="1:16" s="32" customFormat="1" ht="64.5" customHeight="1" x14ac:dyDescent="0.25">
      <c r="A71" s="132" t="s">
        <v>253</v>
      </c>
      <c r="B71" s="135">
        <v>68818959</v>
      </c>
      <c r="C71" s="123">
        <v>258818959</v>
      </c>
      <c r="D71" s="386">
        <f t="shared" si="14"/>
        <v>190000000</v>
      </c>
      <c r="E71" s="135"/>
      <c r="F71" s="123"/>
      <c r="G71" s="386"/>
      <c r="H71" s="135"/>
      <c r="I71" s="123"/>
      <c r="J71" s="386"/>
      <c r="K71" s="135">
        <f t="shared" si="15"/>
        <v>68818959</v>
      </c>
      <c r="L71" s="123">
        <f t="shared" si="15"/>
        <v>258818959</v>
      </c>
      <c r="M71" s="386">
        <f t="shared" ref="M71:M93" si="16">L71-K71</f>
        <v>190000000</v>
      </c>
    </row>
    <row r="72" spans="1:16" s="32" customFormat="1" ht="24.75" customHeight="1" x14ac:dyDescent="0.25">
      <c r="A72" s="132" t="s">
        <v>254</v>
      </c>
      <c r="B72" s="135">
        <v>17000000</v>
      </c>
      <c r="C72" s="123">
        <v>17000000</v>
      </c>
      <c r="D72" s="386">
        <f t="shared" si="14"/>
        <v>0</v>
      </c>
      <c r="E72" s="135"/>
      <c r="F72" s="123"/>
      <c r="G72" s="386"/>
      <c r="H72" s="135"/>
      <c r="I72" s="123"/>
      <c r="J72" s="386"/>
      <c r="K72" s="135">
        <f t="shared" si="15"/>
        <v>17000000</v>
      </c>
      <c r="L72" s="123">
        <f t="shared" si="15"/>
        <v>17000000</v>
      </c>
      <c r="M72" s="386">
        <f t="shared" si="16"/>
        <v>0</v>
      </c>
    </row>
    <row r="73" spans="1:16" s="30" customFormat="1" ht="24.75" customHeight="1" x14ac:dyDescent="0.25">
      <c r="A73" s="133" t="s">
        <v>784</v>
      </c>
      <c r="B73" s="134">
        <f>B69+B65+B57+B42+B29+B21+B6</f>
        <v>5297157510</v>
      </c>
      <c r="C73" s="122">
        <f>C69+C65+C57+C42+C29+C21+C6</f>
        <v>6392067588</v>
      </c>
      <c r="D73" s="122">
        <f>D69+D65+D57+D42+D29+D21+D6</f>
        <v>1094910078</v>
      </c>
      <c r="E73" s="134">
        <f>E69+E65+E57+E42+E29+E21+E6</f>
        <v>38108730</v>
      </c>
      <c r="F73" s="122">
        <f>F69+F65+F57+F42+F29+F21+F6</f>
        <v>38722024</v>
      </c>
      <c r="G73" s="387">
        <f>F73-E73</f>
        <v>613294</v>
      </c>
      <c r="H73" s="134">
        <f>H69+H65+H57+H42+H29+H21+H6</f>
        <v>146275000</v>
      </c>
      <c r="I73" s="122">
        <f>I69+I65+I57+I42+I29+I21+I6</f>
        <v>150471731</v>
      </c>
      <c r="J73" s="387">
        <f>I73-H73</f>
        <v>4196731</v>
      </c>
      <c r="K73" s="134">
        <f>K69+K65+K57+K42+K29+K21+K6</f>
        <v>5481541240</v>
      </c>
      <c r="L73" s="122">
        <f>L69+L65+L57+L42+L29+L21+L6</f>
        <v>6581261343</v>
      </c>
      <c r="M73" s="387">
        <f t="shared" si="16"/>
        <v>1099720103</v>
      </c>
      <c r="N73" s="29">
        <f>D73+G73+J73</f>
        <v>1099720103</v>
      </c>
      <c r="P73" s="29" t="e">
        <f>#REF!+#REF!+#REF!</f>
        <v>#REF!</v>
      </c>
    </row>
    <row r="74" spans="1:16" s="30" customFormat="1" ht="24.75" customHeight="1" x14ac:dyDescent="0.25">
      <c r="A74" s="624" t="s">
        <v>785</v>
      </c>
      <c r="B74" s="134">
        <f>B75+B78</f>
        <v>1984676379</v>
      </c>
      <c r="C74" s="122">
        <f>C75+C78</f>
        <v>3522431328</v>
      </c>
      <c r="D74" s="387">
        <f t="shared" si="14"/>
        <v>1537754949</v>
      </c>
      <c r="E74" s="134">
        <f>E75+E78</f>
        <v>0</v>
      </c>
      <c r="F74" s="122">
        <f>F75+F78</f>
        <v>26436722</v>
      </c>
      <c r="G74" s="387">
        <f>F74-E74</f>
        <v>26436722</v>
      </c>
      <c r="H74" s="134">
        <f>H75+H78</f>
        <v>480000</v>
      </c>
      <c r="I74" s="122">
        <f>I75+I78</f>
        <v>13378106</v>
      </c>
      <c r="J74" s="387">
        <f t="shared" ref="J74:J93" si="17">I74-H74</f>
        <v>12898106</v>
      </c>
      <c r="K74" s="134">
        <f>K75+K78</f>
        <v>1985156379</v>
      </c>
      <c r="L74" s="122">
        <f>L75+L78</f>
        <v>3562246156</v>
      </c>
      <c r="M74" s="387">
        <f t="shared" si="16"/>
        <v>1577089777</v>
      </c>
      <c r="N74" s="29"/>
      <c r="P74" s="29"/>
    </row>
    <row r="75" spans="1:16" s="30" customFormat="1" ht="46.5" customHeight="1" x14ac:dyDescent="0.25">
      <c r="A75" s="624" t="s">
        <v>255</v>
      </c>
      <c r="B75" s="134">
        <f>SUM(B76:B77)</f>
        <v>790696379</v>
      </c>
      <c r="C75" s="122">
        <f t="shared" ref="C75:I75" si="18">SUM(C76:C77)</f>
        <v>1017271328</v>
      </c>
      <c r="D75" s="387">
        <f t="shared" si="14"/>
        <v>226574949</v>
      </c>
      <c r="E75" s="134">
        <f>SUM(E76:E77)</f>
        <v>0</v>
      </c>
      <c r="F75" s="122">
        <f t="shared" si="18"/>
        <v>26436722</v>
      </c>
      <c r="G75" s="387">
        <f>F75-E75</f>
        <v>26436722</v>
      </c>
      <c r="H75" s="134">
        <f>SUM(H76:H77)</f>
        <v>480000</v>
      </c>
      <c r="I75" s="122">
        <f t="shared" si="18"/>
        <v>13378106</v>
      </c>
      <c r="J75" s="387">
        <f t="shared" si="17"/>
        <v>12898106</v>
      </c>
      <c r="K75" s="134">
        <f>B75+H75+E75</f>
        <v>791176379</v>
      </c>
      <c r="L75" s="122">
        <f>C75+I75+F75</f>
        <v>1057086156</v>
      </c>
      <c r="M75" s="387">
        <f t="shared" si="16"/>
        <v>265909777</v>
      </c>
      <c r="N75" s="29"/>
    </row>
    <row r="76" spans="1:16" s="32" customFormat="1" ht="66" customHeight="1" x14ac:dyDescent="0.25">
      <c r="A76" s="624" t="s">
        <v>1234</v>
      </c>
      <c r="B76" s="135">
        <v>124233457</v>
      </c>
      <c r="C76" s="123">
        <v>315133363</v>
      </c>
      <c r="D76" s="386">
        <f t="shared" si="14"/>
        <v>190899906</v>
      </c>
      <c r="E76" s="761">
        <f>'2.a tábla ÚJ '!O47</f>
        <v>0</v>
      </c>
      <c r="F76" s="123">
        <f>'2.a tábla ÚJ '!P47</f>
        <v>24232422</v>
      </c>
      <c r="G76" s="386">
        <f>F76-E76</f>
        <v>24232422</v>
      </c>
      <c r="H76" s="761">
        <f>'2.a tábla ÚJ '!K47</f>
        <v>480000</v>
      </c>
      <c r="I76" s="123">
        <f>'2.a tábla ÚJ '!L47</f>
        <v>12391805</v>
      </c>
      <c r="J76" s="386">
        <f t="shared" si="17"/>
        <v>11911805</v>
      </c>
      <c r="K76" s="135">
        <f>B76+E76+H76</f>
        <v>124713457</v>
      </c>
      <c r="L76" s="123">
        <f>C76+F76+I76</f>
        <v>351757590</v>
      </c>
      <c r="M76" s="386">
        <f t="shared" si="16"/>
        <v>227044133</v>
      </c>
      <c r="N76" s="33"/>
    </row>
    <row r="77" spans="1:16" s="32" customFormat="1" ht="72" customHeight="1" x14ac:dyDescent="0.25">
      <c r="A77" s="132" t="s">
        <v>256</v>
      </c>
      <c r="B77" s="135">
        <v>666462922</v>
      </c>
      <c r="C77" s="123">
        <v>702137965</v>
      </c>
      <c r="D77" s="386">
        <f t="shared" si="14"/>
        <v>35675043</v>
      </c>
      <c r="E77" s="761">
        <f>'2.a tábla ÚJ '!O48</f>
        <v>0</v>
      </c>
      <c r="F77" s="123">
        <f>'2.a tábla ÚJ '!P48</f>
        <v>2204300</v>
      </c>
      <c r="G77" s="386">
        <f t="shared" ref="G77:G92" si="19">F77-E77</f>
        <v>2204300</v>
      </c>
      <c r="H77" s="761">
        <f>'2.a tábla ÚJ '!K48</f>
        <v>0</v>
      </c>
      <c r="I77" s="123">
        <f>'2.a tábla ÚJ '!L48</f>
        <v>986301</v>
      </c>
      <c r="J77" s="386">
        <f t="shared" si="17"/>
        <v>986301</v>
      </c>
      <c r="K77" s="135">
        <f>B77+E77+H77</f>
        <v>666462922</v>
      </c>
      <c r="L77" s="123">
        <f>C77+F77+I77</f>
        <v>705328566</v>
      </c>
      <c r="M77" s="386">
        <f t="shared" si="16"/>
        <v>38865644</v>
      </c>
    </row>
    <row r="78" spans="1:16" s="30" customFormat="1" ht="51" customHeight="1" x14ac:dyDescent="0.25">
      <c r="A78" s="625" t="s">
        <v>257</v>
      </c>
      <c r="B78" s="134">
        <f>B79+B83+B88+B89</f>
        <v>1193980000</v>
      </c>
      <c r="C78" s="122">
        <f>C79+C83+C88+C89</f>
        <v>2505160000</v>
      </c>
      <c r="D78" s="387">
        <f t="shared" si="14"/>
        <v>1311180000</v>
      </c>
      <c r="E78" s="134">
        <f>E79+E83</f>
        <v>0</v>
      </c>
      <c r="F78" s="122">
        <f>F79+F83</f>
        <v>0</v>
      </c>
      <c r="G78" s="386">
        <f t="shared" si="19"/>
        <v>0</v>
      </c>
      <c r="H78" s="134">
        <f>H79+H83</f>
        <v>0</v>
      </c>
      <c r="I78" s="122">
        <f>I79+I83</f>
        <v>0</v>
      </c>
      <c r="J78" s="387">
        <f t="shared" si="17"/>
        <v>0</v>
      </c>
      <c r="K78" s="134">
        <f>K79+K83+K88+K89</f>
        <v>1193980000</v>
      </c>
      <c r="L78" s="122">
        <f>L79+L83+L88+L89</f>
        <v>2505160000</v>
      </c>
      <c r="M78" s="386">
        <f t="shared" si="16"/>
        <v>1311180000</v>
      </c>
      <c r="N78" s="34"/>
    </row>
    <row r="79" spans="1:16" s="30" customFormat="1" ht="38.25" customHeight="1" x14ac:dyDescent="0.25">
      <c r="A79" s="133" t="s">
        <v>258</v>
      </c>
      <c r="B79" s="134">
        <f>SUM(B80:B82)</f>
        <v>0</v>
      </c>
      <c r="C79" s="122">
        <f>SUM(C80:C82)</f>
        <v>0</v>
      </c>
      <c r="D79" s="387">
        <f t="shared" si="14"/>
        <v>0</v>
      </c>
      <c r="E79" s="134">
        <f>SUM(E80:E82)</f>
        <v>0</v>
      </c>
      <c r="F79" s="122">
        <f>SUM(F80:F82)</f>
        <v>0</v>
      </c>
      <c r="G79" s="386">
        <f t="shared" si="19"/>
        <v>0</v>
      </c>
      <c r="H79" s="134">
        <f>SUM(H80:H82)</f>
        <v>0</v>
      </c>
      <c r="I79" s="122">
        <f>SUM(I80:I82)</f>
        <v>0</v>
      </c>
      <c r="J79" s="387">
        <f t="shared" si="17"/>
        <v>0</v>
      </c>
      <c r="K79" s="134">
        <f>SUM(K80:K82)</f>
        <v>0</v>
      </c>
      <c r="L79" s="122">
        <f>SUM(L80:L82)</f>
        <v>0</v>
      </c>
      <c r="M79" s="386">
        <f t="shared" si="16"/>
        <v>0</v>
      </c>
      <c r="N79" s="34"/>
    </row>
    <row r="80" spans="1:16" s="32" customFormat="1" ht="23.25" customHeight="1" x14ac:dyDescent="0.25">
      <c r="A80" s="132" t="s">
        <v>259</v>
      </c>
      <c r="B80" s="135"/>
      <c r="C80" s="123"/>
      <c r="D80" s="386">
        <f t="shared" si="14"/>
        <v>0</v>
      </c>
      <c r="E80" s="135"/>
      <c r="F80" s="122"/>
      <c r="G80" s="386">
        <f t="shared" si="19"/>
        <v>0</v>
      </c>
      <c r="H80" s="135"/>
      <c r="I80" s="122"/>
      <c r="J80" s="386">
        <f t="shared" si="17"/>
        <v>0</v>
      </c>
      <c r="K80" s="135">
        <f>B80+H80</f>
        <v>0</v>
      </c>
      <c r="L80" s="123">
        <f t="shared" ref="L80:L89" si="20">C80+I80</f>
        <v>0</v>
      </c>
      <c r="M80" s="386">
        <f t="shared" si="16"/>
        <v>0</v>
      </c>
      <c r="N80" s="34"/>
    </row>
    <row r="81" spans="1:14" s="32" customFormat="1" ht="39.6" x14ac:dyDescent="0.25">
      <c r="A81" s="132" t="s">
        <v>260</v>
      </c>
      <c r="B81" s="135"/>
      <c r="C81" s="122"/>
      <c r="D81" s="386">
        <f t="shared" si="14"/>
        <v>0</v>
      </c>
      <c r="E81" s="135"/>
      <c r="F81" s="122"/>
      <c r="G81" s="386">
        <f t="shared" si="19"/>
        <v>0</v>
      </c>
      <c r="H81" s="135"/>
      <c r="I81" s="122"/>
      <c r="J81" s="386">
        <f t="shared" si="17"/>
        <v>0</v>
      </c>
      <c r="K81" s="135">
        <f>B81+H81</f>
        <v>0</v>
      </c>
      <c r="L81" s="123">
        <f t="shared" si="20"/>
        <v>0</v>
      </c>
      <c r="M81" s="386">
        <f t="shared" si="16"/>
        <v>0</v>
      </c>
      <c r="N81" s="34"/>
    </row>
    <row r="82" spans="1:14" s="32" customFormat="1" ht="23.25" customHeight="1" x14ac:dyDescent="0.25">
      <c r="A82" s="132" t="s">
        <v>261</v>
      </c>
      <c r="B82" s="135"/>
      <c r="C82" s="122"/>
      <c r="D82" s="386">
        <f t="shared" si="14"/>
        <v>0</v>
      </c>
      <c r="E82" s="135"/>
      <c r="F82" s="122"/>
      <c r="G82" s="386">
        <f t="shared" si="19"/>
        <v>0</v>
      </c>
      <c r="H82" s="135"/>
      <c r="I82" s="122"/>
      <c r="J82" s="386">
        <f t="shared" si="17"/>
        <v>0</v>
      </c>
      <c r="K82" s="135">
        <f>B82+H82</f>
        <v>0</v>
      </c>
      <c r="L82" s="123">
        <f t="shared" si="20"/>
        <v>0</v>
      </c>
      <c r="M82" s="386">
        <f t="shared" si="16"/>
        <v>0</v>
      </c>
      <c r="N82" s="34"/>
    </row>
    <row r="83" spans="1:14" s="30" customFormat="1" ht="27" customHeight="1" x14ac:dyDescent="0.25">
      <c r="A83" s="133" t="s">
        <v>262</v>
      </c>
      <c r="B83" s="134">
        <f>SUM(B84:B87)</f>
        <v>1181180000</v>
      </c>
      <c r="C83" s="122">
        <f t="shared" ref="C83:I83" si="21">SUM(C84:C87)</f>
        <v>2492360000</v>
      </c>
      <c r="D83" s="387">
        <f t="shared" si="14"/>
        <v>1311180000</v>
      </c>
      <c r="E83" s="134">
        <f>SUM(E84:E87)</f>
        <v>0</v>
      </c>
      <c r="F83" s="122">
        <f t="shared" si="21"/>
        <v>0</v>
      </c>
      <c r="G83" s="386">
        <f t="shared" si="19"/>
        <v>0</v>
      </c>
      <c r="H83" s="134">
        <f>SUM(H84:H87)</f>
        <v>0</v>
      </c>
      <c r="I83" s="122">
        <f t="shared" si="21"/>
        <v>0</v>
      </c>
      <c r="J83" s="387">
        <f t="shared" si="17"/>
        <v>0</v>
      </c>
      <c r="K83" s="134">
        <f t="shared" ref="K83:K89" si="22">B83+H83</f>
        <v>1181180000</v>
      </c>
      <c r="L83" s="122">
        <f t="shared" si="20"/>
        <v>2492360000</v>
      </c>
      <c r="M83" s="387">
        <f t="shared" si="16"/>
        <v>1311180000</v>
      </c>
    </row>
    <row r="84" spans="1:14" s="32" customFormat="1" ht="39.6" x14ac:dyDescent="0.25">
      <c r="A84" s="626" t="s">
        <v>263</v>
      </c>
      <c r="B84" s="135">
        <f>481180000+700000000</f>
        <v>1181180000</v>
      </c>
      <c r="C84" s="123">
        <v>2492360000</v>
      </c>
      <c r="D84" s="386">
        <f t="shared" si="14"/>
        <v>1311180000</v>
      </c>
      <c r="E84" s="135"/>
      <c r="F84" s="123"/>
      <c r="G84" s="386">
        <f t="shared" si="19"/>
        <v>0</v>
      </c>
      <c r="H84" s="135"/>
      <c r="I84" s="123"/>
      <c r="J84" s="386">
        <f t="shared" si="17"/>
        <v>0</v>
      </c>
      <c r="K84" s="135">
        <f t="shared" si="22"/>
        <v>1181180000</v>
      </c>
      <c r="L84" s="123">
        <f t="shared" si="20"/>
        <v>2492360000</v>
      </c>
      <c r="M84" s="386">
        <f t="shared" si="16"/>
        <v>1311180000</v>
      </c>
    </row>
    <row r="85" spans="1:14" s="32" customFormat="1" ht="23.25" customHeight="1" x14ac:dyDescent="0.25">
      <c r="A85" s="130" t="s">
        <v>264</v>
      </c>
      <c r="B85" s="135"/>
      <c r="C85" s="123"/>
      <c r="D85" s="386">
        <f t="shared" si="14"/>
        <v>0</v>
      </c>
      <c r="E85" s="135"/>
      <c r="F85" s="123"/>
      <c r="G85" s="386">
        <f t="shared" si="19"/>
        <v>0</v>
      </c>
      <c r="H85" s="135"/>
      <c r="I85" s="123"/>
      <c r="J85" s="386">
        <f t="shared" si="17"/>
        <v>0</v>
      </c>
      <c r="K85" s="135">
        <f t="shared" si="22"/>
        <v>0</v>
      </c>
      <c r="L85" s="123">
        <f t="shared" si="20"/>
        <v>0</v>
      </c>
      <c r="M85" s="386">
        <f t="shared" si="16"/>
        <v>0</v>
      </c>
    </row>
    <row r="86" spans="1:14" s="30" customFormat="1" ht="39.6" x14ac:dyDescent="0.25">
      <c r="A86" s="627" t="s">
        <v>265</v>
      </c>
      <c r="B86" s="135"/>
      <c r="C86" s="123"/>
      <c r="D86" s="386">
        <f t="shared" si="14"/>
        <v>0</v>
      </c>
      <c r="E86" s="135"/>
      <c r="F86" s="123"/>
      <c r="G86" s="386">
        <f t="shared" si="19"/>
        <v>0</v>
      </c>
      <c r="H86" s="135"/>
      <c r="I86" s="123"/>
      <c r="J86" s="386">
        <f t="shared" si="17"/>
        <v>0</v>
      </c>
      <c r="K86" s="135">
        <f t="shared" si="22"/>
        <v>0</v>
      </c>
      <c r="L86" s="123">
        <f t="shared" si="20"/>
        <v>0</v>
      </c>
      <c r="M86" s="386">
        <f t="shared" si="16"/>
        <v>0</v>
      </c>
    </row>
    <row r="87" spans="1:14" s="30" customFormat="1" ht="25.5" customHeight="1" x14ac:dyDescent="0.25">
      <c r="A87" s="627" t="s">
        <v>266</v>
      </c>
      <c r="B87" s="135"/>
      <c r="C87" s="123"/>
      <c r="D87" s="386">
        <f t="shared" si="14"/>
        <v>0</v>
      </c>
      <c r="E87" s="135"/>
      <c r="F87" s="123"/>
      <c r="G87" s="386">
        <f t="shared" si="19"/>
        <v>0</v>
      </c>
      <c r="H87" s="135"/>
      <c r="I87" s="123"/>
      <c r="J87" s="386">
        <f t="shared" si="17"/>
        <v>0</v>
      </c>
      <c r="K87" s="135">
        <f t="shared" si="22"/>
        <v>0</v>
      </c>
      <c r="L87" s="123">
        <f t="shared" si="20"/>
        <v>0</v>
      </c>
      <c r="M87" s="386">
        <f t="shared" si="16"/>
        <v>0</v>
      </c>
    </row>
    <row r="88" spans="1:14" s="30" customFormat="1" ht="17.25" customHeight="1" x14ac:dyDescent="0.25">
      <c r="A88" s="152" t="s">
        <v>525</v>
      </c>
      <c r="B88" s="134"/>
      <c r="C88" s="122"/>
      <c r="D88" s="386">
        <f t="shared" si="14"/>
        <v>0</v>
      </c>
      <c r="E88" s="134"/>
      <c r="F88" s="122"/>
      <c r="G88" s="386">
        <f t="shared" si="19"/>
        <v>0</v>
      </c>
      <c r="H88" s="134"/>
      <c r="I88" s="122"/>
      <c r="J88" s="386">
        <f t="shared" si="17"/>
        <v>0</v>
      </c>
      <c r="K88" s="134">
        <f t="shared" si="22"/>
        <v>0</v>
      </c>
      <c r="L88" s="122">
        <f t="shared" si="20"/>
        <v>0</v>
      </c>
      <c r="M88" s="386">
        <f t="shared" si="16"/>
        <v>0</v>
      </c>
    </row>
    <row r="89" spans="1:14" s="30" customFormat="1" ht="25.5" customHeight="1" x14ac:dyDescent="0.25">
      <c r="A89" s="152" t="s">
        <v>673</v>
      </c>
      <c r="B89" s="134">
        <v>12800000</v>
      </c>
      <c r="C89" s="122">
        <v>12800000</v>
      </c>
      <c r="D89" s="387">
        <f t="shared" si="14"/>
        <v>0</v>
      </c>
      <c r="E89" s="134"/>
      <c r="F89" s="122"/>
      <c r="G89" s="386">
        <f t="shared" si="19"/>
        <v>0</v>
      </c>
      <c r="H89" s="134"/>
      <c r="I89" s="122"/>
      <c r="J89" s="386">
        <f t="shared" si="17"/>
        <v>0</v>
      </c>
      <c r="K89" s="134">
        <f t="shared" si="22"/>
        <v>12800000</v>
      </c>
      <c r="L89" s="122">
        <f t="shared" si="20"/>
        <v>12800000</v>
      </c>
      <c r="M89" s="387">
        <f t="shared" si="16"/>
        <v>0</v>
      </c>
    </row>
    <row r="90" spans="1:14" s="30" customFormat="1" ht="27" customHeight="1" x14ac:dyDescent="0.25">
      <c r="A90" s="152" t="s">
        <v>267</v>
      </c>
      <c r="B90" s="134">
        <f>B78+B75</f>
        <v>1984676379</v>
      </c>
      <c r="C90" s="122">
        <f>C78+C75</f>
        <v>3522431328</v>
      </c>
      <c r="D90" s="387">
        <f t="shared" si="14"/>
        <v>1537754949</v>
      </c>
      <c r="E90" s="134">
        <f>E78+E75</f>
        <v>0</v>
      </c>
      <c r="F90" s="122">
        <f>F78+F75</f>
        <v>26436722</v>
      </c>
      <c r="G90" s="387">
        <f t="shared" si="19"/>
        <v>26436722</v>
      </c>
      <c r="H90" s="134">
        <f>H78+H75</f>
        <v>480000</v>
      </c>
      <c r="I90" s="122">
        <f>I78+I75</f>
        <v>13378106</v>
      </c>
      <c r="J90" s="387">
        <f t="shared" si="17"/>
        <v>12898106</v>
      </c>
      <c r="K90" s="134">
        <f>B90+H90</f>
        <v>1985156379</v>
      </c>
      <c r="L90" s="122">
        <f>C90+I90+F90:F93</f>
        <v>3562246156</v>
      </c>
      <c r="M90" s="387">
        <f t="shared" si="16"/>
        <v>1577089777</v>
      </c>
    </row>
    <row r="91" spans="1:14" s="30" customFormat="1" ht="15" customHeight="1" x14ac:dyDescent="0.25">
      <c r="A91" s="133" t="s">
        <v>268</v>
      </c>
      <c r="B91" s="134">
        <f>B73+B90</f>
        <v>7281833889</v>
      </c>
      <c r="C91" s="122">
        <f>C73+C90</f>
        <v>9914498916</v>
      </c>
      <c r="D91" s="387">
        <f t="shared" si="14"/>
        <v>2632665027</v>
      </c>
      <c r="E91" s="134">
        <f>E73+E90</f>
        <v>38108730</v>
      </c>
      <c r="F91" s="122">
        <f>F73+F90</f>
        <v>65158746</v>
      </c>
      <c r="G91" s="387">
        <f t="shared" si="19"/>
        <v>27050016</v>
      </c>
      <c r="H91" s="134">
        <f>H73+H90</f>
        <v>146755000</v>
      </c>
      <c r="I91" s="122">
        <f>I73+I90</f>
        <v>163849837</v>
      </c>
      <c r="J91" s="387">
        <f t="shared" si="17"/>
        <v>17094837</v>
      </c>
      <c r="K91" s="134">
        <f>B91+H91+E91</f>
        <v>7466697619</v>
      </c>
      <c r="L91" s="122">
        <f>C91+I91+F91</f>
        <v>10143507499</v>
      </c>
      <c r="M91" s="387">
        <f t="shared" si="16"/>
        <v>2676809880</v>
      </c>
      <c r="N91" s="29">
        <f>M90+M73</f>
        <v>2676809880</v>
      </c>
    </row>
    <row r="92" spans="1:14" x14ac:dyDescent="0.25">
      <c r="A92" s="1474" t="s">
        <v>655</v>
      </c>
      <c r="B92" s="309">
        <f>'2.a tábla ÚJ '!O60+'2.a tábla ÚJ '!O61+'2.a tábla ÚJ '!O62</f>
        <v>27</v>
      </c>
      <c r="C92" s="309">
        <f>'2.a tábla ÚJ '!P60+'2.a tábla ÚJ '!P61+'2.a tábla ÚJ '!P62</f>
        <v>27</v>
      </c>
      <c r="D92" s="772">
        <f t="shared" si="14"/>
        <v>0</v>
      </c>
      <c r="E92" s="309">
        <f>'2.a tábla ÚJ '!O59</f>
        <v>77</v>
      </c>
      <c r="F92" s="309">
        <f>'2.a tábla ÚJ '!P59</f>
        <v>77</v>
      </c>
      <c r="G92" s="772">
        <f t="shared" si="19"/>
        <v>0</v>
      </c>
      <c r="H92" s="309">
        <f>'2.a tábla ÚJ '!K59</f>
        <v>60</v>
      </c>
      <c r="I92" s="309">
        <f>'2.a tábla ÚJ '!L59</f>
        <v>60</v>
      </c>
      <c r="J92" s="772">
        <f t="shared" si="17"/>
        <v>0</v>
      </c>
      <c r="K92" s="309">
        <f>B92+H92+E92</f>
        <v>164</v>
      </c>
      <c r="L92" s="629">
        <f>C92+I92+F92</f>
        <v>164</v>
      </c>
      <c r="M92" s="772">
        <f t="shared" si="16"/>
        <v>0</v>
      </c>
    </row>
    <row r="93" spans="1:14" ht="13.8" thickBot="1" x14ac:dyDescent="0.3">
      <c r="A93" s="268" t="s">
        <v>269</v>
      </c>
      <c r="B93" s="232">
        <f>'2.a tábla ÚJ '!O62</f>
        <v>25</v>
      </c>
      <c r="C93" s="232">
        <f>'2.a tábla ÚJ '!P62</f>
        <v>25</v>
      </c>
      <c r="D93" s="773">
        <f t="shared" si="14"/>
        <v>0</v>
      </c>
      <c r="E93" s="307">
        <f>'2.a tábla ÚJ '!O58</f>
        <v>0</v>
      </c>
      <c r="F93" s="307">
        <f>'2.a tábla ÚJ '!P58</f>
        <v>0</v>
      </c>
      <c r="G93" s="773"/>
      <c r="H93" s="232">
        <f>'2.a tábla ÚJ '!K58</f>
        <v>5</v>
      </c>
      <c r="I93" s="232">
        <f>'2.a tábla ÚJ '!L58</f>
        <v>5</v>
      </c>
      <c r="J93" s="773">
        <f t="shared" si="17"/>
        <v>0</v>
      </c>
      <c r="K93" s="232">
        <f>B93+H93</f>
        <v>30</v>
      </c>
      <c r="L93" s="231">
        <f>C93+I93</f>
        <v>30</v>
      </c>
      <c r="M93" s="773">
        <f t="shared" si="16"/>
        <v>0</v>
      </c>
      <c r="N93" s="35"/>
    </row>
    <row r="94" spans="1:14" x14ac:dyDescent="0.25">
      <c r="B94" s="220"/>
      <c r="D94" s="220"/>
      <c r="E94" s="220"/>
      <c r="G94" s="220"/>
      <c r="H94" s="220"/>
      <c r="I94" s="249"/>
      <c r="J94" s="220"/>
      <c r="K94" s="220"/>
      <c r="L94" s="220"/>
    </row>
    <row r="95" spans="1:14" x14ac:dyDescent="0.25">
      <c r="B95" s="220"/>
      <c r="D95" s="220"/>
      <c r="E95" s="220"/>
      <c r="G95" s="220"/>
      <c r="H95" s="220"/>
      <c r="I95" s="249"/>
      <c r="J95" s="220"/>
      <c r="K95" s="220"/>
      <c r="L95" s="220"/>
    </row>
    <row r="96" spans="1:14" x14ac:dyDescent="0.25">
      <c r="B96" s="220"/>
      <c r="D96" s="220"/>
      <c r="E96" s="220"/>
      <c r="G96" s="220"/>
      <c r="H96" s="220"/>
      <c r="I96" s="249"/>
      <c r="J96" s="220"/>
      <c r="K96" s="220"/>
      <c r="L96" s="220"/>
    </row>
    <row r="97" spans="2:12" x14ac:dyDescent="0.25">
      <c r="B97" s="220"/>
      <c r="D97" s="220"/>
      <c r="E97" s="220"/>
      <c r="G97" s="220"/>
      <c r="H97" s="220"/>
      <c r="I97" s="249"/>
      <c r="J97" s="220"/>
      <c r="K97" s="220"/>
      <c r="L97" s="220"/>
    </row>
    <row r="98" spans="2:12" x14ac:dyDescent="0.25">
      <c r="B98" s="220"/>
      <c r="D98" s="220"/>
      <c r="E98" s="220"/>
      <c r="G98" s="220"/>
      <c r="H98" s="220"/>
      <c r="I98" s="249"/>
      <c r="J98" s="220"/>
      <c r="K98" s="220"/>
      <c r="L98" s="220"/>
    </row>
    <row r="99" spans="2:12" x14ac:dyDescent="0.25">
      <c r="B99" s="220"/>
      <c r="D99" s="220"/>
      <c r="I99" s="249"/>
      <c r="J99" s="220"/>
      <c r="K99" s="220"/>
      <c r="L99" s="220"/>
    </row>
    <row r="100" spans="2:12" x14ac:dyDescent="0.25">
      <c r="J100" s="220"/>
      <c r="K100" s="220"/>
      <c r="L100" s="220"/>
    </row>
  </sheetData>
  <sheetProtection selectLockedCells="1" selectUnlockedCells="1"/>
  <mergeCells count="13">
    <mergeCell ref="A3:M3"/>
    <mergeCell ref="B4:D4"/>
    <mergeCell ref="E4:G4"/>
    <mergeCell ref="H4:J4"/>
    <mergeCell ref="K4:M4"/>
    <mergeCell ref="B63:D63"/>
    <mergeCell ref="E63:G63"/>
    <mergeCell ref="H63:J63"/>
    <mergeCell ref="K63:M63"/>
    <mergeCell ref="B27:D27"/>
    <mergeCell ref="E27:G27"/>
    <mergeCell ref="H27:J27"/>
    <mergeCell ref="K27:M27"/>
  </mergeCells>
  <phoneticPr fontId="28" type="noConversion"/>
  <printOptions horizontalCentered="1" gridLines="1"/>
  <pageMargins left="0.43307086614173229" right="0.43307086614173229" top="0.98425196850393704" bottom="0.23622047244094491" header="0.27559055118110237" footer="0.51181102362204722"/>
  <pageSetup paperSize="9" scale="49" firstPageNumber="0" fitToHeight="0" orientation="landscape" r:id="rId1"/>
  <headerFooter alignWithMargins="0">
    <oddHeader xml:space="preserve">&amp;C
2. melléklet az önkormányzat 2017. évi költségvetéséről szóló 8/2017. (II.24.) önkormányzati rendeletéhez
&amp;R&amp;12
&amp;P. oldal
</oddHeader>
  </headerFooter>
  <rowBreaks count="2" manualBreakCount="2">
    <brk id="26" max="16" man="1"/>
    <brk id="62"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GK69"/>
  <sheetViews>
    <sheetView view="pageLayout" topLeftCell="K3" zoomScaleNormal="84" zoomScaleSheetLayoutView="89" workbookViewId="0">
      <selection activeCell="G14" sqref="G14"/>
    </sheetView>
  </sheetViews>
  <sheetFormatPr defaultColWidth="9.109375" defaultRowHeight="13.2" x14ac:dyDescent="0.25"/>
  <cols>
    <col min="1" max="1" width="41.5546875" style="20" customWidth="1"/>
    <col min="2" max="2" width="11.44140625" style="22" customWidth="1"/>
    <col min="3" max="3" width="12.6640625" style="22" customWidth="1"/>
    <col min="4" max="6" width="13" style="22" customWidth="1"/>
    <col min="7" max="7" width="14.6640625" style="22" customWidth="1"/>
    <col min="8" max="8" width="13.6640625" style="45" customWidth="1"/>
    <col min="9" max="9" width="12.44140625" style="45" customWidth="1"/>
    <col min="10" max="10" width="12.88671875" style="45" customWidth="1"/>
    <col min="11" max="11" width="14" style="22" customWidth="1"/>
    <col min="12" max="12" width="12.88671875" style="22" customWidth="1"/>
    <col min="13" max="13" width="17.109375" style="22" customWidth="1"/>
    <col min="14" max="14" width="1.109375" style="22" customWidth="1"/>
    <col min="15" max="15" width="12.6640625" style="22" customWidth="1"/>
    <col min="16" max="16" width="14.5546875" style="22" customWidth="1"/>
    <col min="17" max="17" width="13.5546875" style="22" customWidth="1"/>
    <col min="18" max="18" width="11.44140625" style="22" bestFit="1" customWidth="1"/>
    <col min="19" max="19" width="9.33203125" style="22" bestFit="1" customWidth="1"/>
    <col min="20" max="193" width="9.109375" style="22"/>
    <col min="194" max="16384" width="9.109375" style="12"/>
  </cols>
  <sheetData>
    <row r="1" spans="1:17" ht="12.75" hidden="1" customHeight="1" x14ac:dyDescent="0.25">
      <c r="A1" s="92"/>
      <c r="B1" s="36"/>
      <c r="C1" s="36"/>
      <c r="D1" s="36"/>
      <c r="E1" s="36"/>
      <c r="F1" s="36"/>
      <c r="G1" s="36"/>
      <c r="H1" s="37"/>
      <c r="I1" s="37"/>
      <c r="J1" s="37"/>
      <c r="K1" s="36"/>
      <c r="L1" s="36"/>
      <c r="M1" s="36"/>
      <c r="N1" s="38"/>
      <c r="O1" s="38"/>
      <c r="P1" s="38"/>
      <c r="Q1" s="38"/>
    </row>
    <row r="2" spans="1:17" ht="12.75" hidden="1" customHeight="1" x14ac:dyDescent="0.25">
      <c r="B2" s="38"/>
      <c r="C2" s="38"/>
      <c r="D2" s="38"/>
      <c r="E2" s="38"/>
      <c r="F2" s="38"/>
      <c r="G2" s="38"/>
      <c r="H2" s="39"/>
      <c r="I2" s="39"/>
      <c r="J2" s="39"/>
      <c r="K2" s="38"/>
      <c r="L2" s="38"/>
      <c r="M2" s="38"/>
      <c r="N2" s="38"/>
      <c r="O2" s="38"/>
      <c r="P2" s="38"/>
      <c r="Q2" s="38"/>
    </row>
    <row r="3" spans="1:17" ht="12.75" customHeight="1" x14ac:dyDescent="0.25">
      <c r="B3" s="38"/>
      <c r="C3" s="38"/>
      <c r="D3" s="38"/>
      <c r="E3" s="38"/>
      <c r="F3" s="38"/>
      <c r="G3" s="38"/>
      <c r="H3" s="39"/>
      <c r="I3" s="39"/>
      <c r="J3" s="39"/>
      <c r="K3" s="38"/>
      <c r="L3" s="38"/>
      <c r="M3" s="38"/>
      <c r="N3" s="38"/>
      <c r="O3" s="38"/>
      <c r="P3" s="38"/>
      <c r="Q3" s="38"/>
    </row>
    <row r="4" spans="1:17" ht="12.75" customHeight="1" x14ac:dyDescent="0.25">
      <c r="B4" s="38"/>
      <c r="C4" s="38"/>
      <c r="D4" s="38"/>
      <c r="E4" s="38"/>
      <c r="F4" s="38"/>
      <c r="G4" s="38"/>
      <c r="H4" s="39"/>
      <c r="I4" s="39"/>
      <c r="J4" s="39"/>
      <c r="K4" s="38"/>
      <c r="L4" s="38"/>
      <c r="M4" s="38"/>
      <c r="N4" s="38"/>
      <c r="O4" s="38"/>
      <c r="P4" s="38"/>
      <c r="Q4" s="38"/>
    </row>
    <row r="5" spans="1:17" ht="6" customHeight="1" x14ac:dyDescent="0.25">
      <c r="B5" s="38"/>
      <c r="C5" s="38"/>
      <c r="D5" s="38"/>
      <c r="E5" s="38"/>
      <c r="F5" s="38"/>
      <c r="G5" s="38"/>
      <c r="H5" s="39"/>
      <c r="I5" s="39"/>
      <c r="J5" s="39"/>
      <c r="K5" s="38"/>
      <c r="L5" s="38"/>
      <c r="M5" s="38"/>
      <c r="N5" s="38"/>
      <c r="O5" s="38"/>
      <c r="P5" s="38"/>
      <c r="Q5" s="38"/>
    </row>
    <row r="6" spans="1:17" ht="25.5" customHeight="1" x14ac:dyDescent="0.3">
      <c r="A6" s="1498" t="s">
        <v>934</v>
      </c>
      <c r="B6" s="1498"/>
      <c r="C6" s="1498"/>
      <c r="D6" s="1498"/>
      <c r="E6" s="1498"/>
      <c r="F6" s="1498"/>
      <c r="G6" s="1498"/>
      <c r="H6" s="1498"/>
      <c r="I6" s="1498"/>
      <c r="J6" s="1498"/>
      <c r="K6" s="1498"/>
      <c r="L6" s="1498"/>
      <c r="M6" s="1498"/>
      <c r="N6" s="1498"/>
      <c r="O6" s="1498"/>
      <c r="P6" s="1498"/>
      <c r="Q6" s="1498"/>
    </row>
    <row r="7" spans="1:17" ht="12.75" customHeight="1" x14ac:dyDescent="0.25">
      <c r="B7" s="38"/>
      <c r="C7" s="38"/>
      <c r="D7" s="38"/>
      <c r="E7" s="38"/>
      <c r="F7" s="38"/>
      <c r="G7" s="38"/>
      <c r="H7" s="39"/>
      <c r="I7" s="39"/>
      <c r="J7" s="39"/>
      <c r="K7" s="38"/>
      <c r="L7" s="38"/>
      <c r="M7" s="38"/>
      <c r="N7" s="38"/>
      <c r="O7" s="38"/>
      <c r="P7" s="38"/>
      <c r="Q7" s="38"/>
    </row>
    <row r="8" spans="1:17" ht="12.75" customHeight="1" x14ac:dyDescent="0.25">
      <c r="B8" s="38"/>
      <c r="C8" s="38"/>
      <c r="D8" s="38"/>
      <c r="E8" s="38"/>
      <c r="F8" s="38"/>
      <c r="G8" s="38"/>
      <c r="H8" s="39"/>
      <c r="I8" s="39"/>
      <c r="J8" s="39"/>
      <c r="K8" s="38"/>
      <c r="L8" s="38"/>
      <c r="M8" s="38"/>
      <c r="N8" s="38"/>
      <c r="O8" s="38"/>
      <c r="P8" s="38"/>
      <c r="Q8" s="38"/>
    </row>
    <row r="9" spans="1:17" ht="12.75" customHeight="1" thickBot="1" x14ac:dyDescent="0.3">
      <c r="B9" s="38"/>
      <c r="C9" s="38"/>
      <c r="D9" s="38"/>
      <c r="E9" s="38"/>
      <c r="F9" s="38"/>
      <c r="G9" s="38"/>
      <c r="H9" s="39"/>
      <c r="I9" s="39"/>
      <c r="J9" s="39"/>
      <c r="K9" s="38"/>
      <c r="L9" s="38"/>
      <c r="M9" s="38"/>
      <c r="N9" s="38"/>
      <c r="O9" s="38"/>
      <c r="P9" s="38"/>
      <c r="Q9" s="38"/>
    </row>
    <row r="10" spans="1:17" s="23" customFormat="1" ht="45.75" customHeight="1" thickBot="1" x14ac:dyDescent="0.3">
      <c r="A10" s="1499" t="s">
        <v>631</v>
      </c>
      <c r="B10" s="1501" t="s">
        <v>270</v>
      </c>
      <c r="C10" s="1502"/>
      <c r="D10" s="1503"/>
      <c r="E10" s="1504" t="s">
        <v>271</v>
      </c>
      <c r="F10" s="1505"/>
      <c r="G10" s="1502"/>
      <c r="H10" s="1506" t="s">
        <v>272</v>
      </c>
      <c r="I10" s="1507"/>
      <c r="J10" s="1508"/>
      <c r="K10" s="1504" t="s">
        <v>273</v>
      </c>
      <c r="L10" s="1505"/>
      <c r="M10" s="1505"/>
      <c r="N10" s="270"/>
      <c r="O10" s="1501" t="s">
        <v>813</v>
      </c>
      <c r="P10" s="1502"/>
      <c r="Q10" s="1503"/>
    </row>
    <row r="11" spans="1:17" s="24" customFormat="1" ht="59.25" customHeight="1" thickBot="1" x14ac:dyDescent="0.3">
      <c r="A11" s="1500"/>
      <c r="B11" s="600" t="s">
        <v>75</v>
      </c>
      <c r="C11" s="601" t="s">
        <v>228</v>
      </c>
      <c r="D11" s="602" t="s">
        <v>229</v>
      </c>
      <c r="E11" s="600" t="s">
        <v>75</v>
      </c>
      <c r="F11" s="601" t="s">
        <v>228</v>
      </c>
      <c r="G11" s="602" t="s">
        <v>229</v>
      </c>
      <c r="H11" s="600" t="s">
        <v>75</v>
      </c>
      <c r="I11" s="601" t="s">
        <v>228</v>
      </c>
      <c r="J11" s="602" t="s">
        <v>229</v>
      </c>
      <c r="K11" s="600" t="s">
        <v>75</v>
      </c>
      <c r="L11" s="601" t="s">
        <v>228</v>
      </c>
      <c r="M11" s="602" t="s">
        <v>229</v>
      </c>
      <c r="N11" s="271"/>
      <c r="O11" s="600" t="s">
        <v>75</v>
      </c>
      <c r="P11" s="601" t="s">
        <v>228</v>
      </c>
      <c r="Q11" s="602" t="s">
        <v>229</v>
      </c>
    </row>
    <row r="12" spans="1:17" s="24" customFormat="1" ht="26.4" x14ac:dyDescent="0.25">
      <c r="A12" s="258" t="s">
        <v>274</v>
      </c>
      <c r="B12" s="237">
        <f>B13</f>
        <v>1585000</v>
      </c>
      <c r="C12" s="238">
        <f>C13</f>
        <v>1585000</v>
      </c>
      <c r="D12" s="388">
        <f>C12-B12</f>
        <v>0</v>
      </c>
      <c r="E12" s="237">
        <f t="shared" ref="E12:K12" si="0">E13</f>
        <v>105171000</v>
      </c>
      <c r="F12" s="238">
        <f t="shared" si="0"/>
        <v>109367731</v>
      </c>
      <c r="G12" s="388">
        <f>F12-E12</f>
        <v>4196731</v>
      </c>
      <c r="H12" s="237">
        <f t="shared" si="0"/>
        <v>2171000</v>
      </c>
      <c r="I12" s="238">
        <f t="shared" si="0"/>
        <v>2171000</v>
      </c>
      <c r="J12" s="388">
        <f>I12-H12</f>
        <v>0</v>
      </c>
      <c r="K12" s="238">
        <f t="shared" si="0"/>
        <v>108927000</v>
      </c>
      <c r="L12" s="238">
        <f>L13</f>
        <v>113123731</v>
      </c>
      <c r="M12" s="238">
        <f>L12-K12</f>
        <v>4196731</v>
      </c>
      <c r="N12" s="272">
        <f>N13+N16</f>
        <v>0</v>
      </c>
      <c r="O12" s="237">
        <f>O13+O16</f>
        <v>21498780</v>
      </c>
      <c r="P12" s="238">
        <f>P13+P16</f>
        <v>22112074</v>
      </c>
      <c r="Q12" s="388">
        <f>P12-O12</f>
        <v>613294</v>
      </c>
    </row>
    <row r="13" spans="1:17" s="23" customFormat="1" ht="26.4" x14ac:dyDescent="0.25">
      <c r="A13" s="259" t="s">
        <v>824</v>
      </c>
      <c r="B13" s="234">
        <v>1585000</v>
      </c>
      <c r="C13" s="213">
        <v>1585000</v>
      </c>
      <c r="D13" s="216">
        <f>C13-B13</f>
        <v>0</v>
      </c>
      <c r="E13" s="234">
        <v>105171000</v>
      </c>
      <c r="F13" s="213">
        <v>109367731</v>
      </c>
      <c r="G13" s="216">
        <f>F13-E13</f>
        <v>4196731</v>
      </c>
      <c r="H13" s="234">
        <v>2171000</v>
      </c>
      <c r="I13" s="631">
        <v>2171000</v>
      </c>
      <c r="J13" s="216">
        <f>I13-H13</f>
        <v>0</v>
      </c>
      <c r="K13" s="213">
        <f t="shared" ref="K13:L17" si="1">B13+E13+H13</f>
        <v>108927000</v>
      </c>
      <c r="L13" s="213">
        <f t="shared" si="1"/>
        <v>113123731</v>
      </c>
      <c r="M13" s="213">
        <f>L13-K13</f>
        <v>4196731</v>
      </c>
      <c r="N13" s="273"/>
      <c r="O13" s="234">
        <v>21498780</v>
      </c>
      <c r="P13" s="637">
        <v>22112074</v>
      </c>
      <c r="Q13" s="216">
        <f>P13-O13</f>
        <v>613294</v>
      </c>
    </row>
    <row r="14" spans="1:17" s="23" customFormat="1" ht="22.5" customHeight="1" x14ac:dyDescent="0.25">
      <c r="A14" s="259" t="s">
        <v>825</v>
      </c>
      <c r="B14" s="234"/>
      <c r="C14" s="213"/>
      <c r="D14" s="216">
        <f t="shared" ref="D14:D59" si="2">C14-B14</f>
        <v>0</v>
      </c>
      <c r="E14" s="234">
        <v>103000000</v>
      </c>
      <c r="F14" s="213">
        <v>107196731</v>
      </c>
      <c r="G14" s="216">
        <f t="shared" ref="G14:G59" si="3">F14-E14</f>
        <v>4196731</v>
      </c>
      <c r="H14" s="234"/>
      <c r="I14" s="631"/>
      <c r="J14" s="216">
        <f t="shared" ref="J14:J59" si="4">I14-H14</f>
        <v>0</v>
      </c>
      <c r="K14" s="213">
        <f t="shared" si="1"/>
        <v>103000000</v>
      </c>
      <c r="L14" s="213">
        <f t="shared" si="1"/>
        <v>107196731</v>
      </c>
      <c r="M14" s="213">
        <f t="shared" ref="M14:M59" si="5">L14-K14</f>
        <v>4196731</v>
      </c>
      <c r="N14" s="273"/>
      <c r="O14" s="234"/>
      <c r="P14" s="637"/>
      <c r="Q14" s="216">
        <f t="shared" ref="Q14:Q69" si="6">P14-O14</f>
        <v>0</v>
      </c>
    </row>
    <row r="15" spans="1:17" s="24" customFormat="1" ht="23.25" customHeight="1" x14ac:dyDescent="0.25">
      <c r="A15" s="260" t="s">
        <v>778</v>
      </c>
      <c r="B15" s="233">
        <f>B16</f>
        <v>0</v>
      </c>
      <c r="C15" s="161">
        <f>C16</f>
        <v>0</v>
      </c>
      <c r="D15" s="215">
        <f t="shared" si="2"/>
        <v>0</v>
      </c>
      <c r="E15" s="233">
        <f>E16</f>
        <v>0</v>
      </c>
      <c r="F15" s="161">
        <f>F16</f>
        <v>0</v>
      </c>
      <c r="G15" s="215">
        <f t="shared" si="3"/>
        <v>0</v>
      </c>
      <c r="H15" s="233">
        <f>H16</f>
        <v>0</v>
      </c>
      <c r="I15" s="161">
        <f>I16</f>
        <v>0</v>
      </c>
      <c r="J15" s="215">
        <f t="shared" si="4"/>
        <v>0</v>
      </c>
      <c r="K15" s="161">
        <f t="shared" si="1"/>
        <v>0</v>
      </c>
      <c r="L15" s="161">
        <f t="shared" si="1"/>
        <v>0</v>
      </c>
      <c r="M15" s="161">
        <f t="shared" si="5"/>
        <v>0</v>
      </c>
      <c r="N15" s="253">
        <f>N16</f>
        <v>0</v>
      </c>
      <c r="O15" s="233">
        <f>O16</f>
        <v>0</v>
      </c>
      <c r="P15" s="161">
        <f>P16</f>
        <v>0</v>
      </c>
      <c r="Q15" s="215">
        <f t="shared" si="6"/>
        <v>0</v>
      </c>
    </row>
    <row r="16" spans="1:17" s="23" customFormat="1" ht="26.4" x14ac:dyDescent="0.25">
      <c r="A16" s="259" t="s">
        <v>830</v>
      </c>
      <c r="B16" s="234"/>
      <c r="C16" s="213"/>
      <c r="D16" s="216">
        <f t="shared" si="2"/>
        <v>0</v>
      </c>
      <c r="E16" s="234"/>
      <c r="F16" s="213"/>
      <c r="G16" s="216">
        <f t="shared" si="3"/>
        <v>0</v>
      </c>
      <c r="H16" s="234"/>
      <c r="I16" s="631"/>
      <c r="J16" s="216">
        <f t="shared" si="4"/>
        <v>0</v>
      </c>
      <c r="K16" s="213">
        <f t="shared" si="1"/>
        <v>0</v>
      </c>
      <c r="L16" s="213">
        <f t="shared" si="1"/>
        <v>0</v>
      </c>
      <c r="M16" s="213">
        <f t="shared" si="5"/>
        <v>0</v>
      </c>
      <c r="N16" s="273"/>
      <c r="O16" s="234"/>
      <c r="P16" s="637"/>
      <c r="Q16" s="216">
        <f t="shared" si="6"/>
        <v>0</v>
      </c>
    </row>
    <row r="17" spans="1:20" s="24" customFormat="1" ht="13.8" x14ac:dyDescent="0.25">
      <c r="A17" s="261" t="s">
        <v>275</v>
      </c>
      <c r="B17" s="233"/>
      <c r="C17" s="161"/>
      <c r="D17" s="215">
        <f t="shared" si="2"/>
        <v>0</v>
      </c>
      <c r="E17" s="233"/>
      <c r="F17" s="161"/>
      <c r="G17" s="215">
        <f t="shared" si="3"/>
        <v>0</v>
      </c>
      <c r="H17" s="233"/>
      <c r="I17" s="632"/>
      <c r="J17" s="215">
        <f t="shared" si="4"/>
        <v>0</v>
      </c>
      <c r="K17" s="161">
        <f t="shared" si="1"/>
        <v>0</v>
      </c>
      <c r="L17" s="161">
        <f t="shared" si="1"/>
        <v>0</v>
      </c>
      <c r="M17" s="161">
        <f t="shared" si="5"/>
        <v>0</v>
      </c>
      <c r="N17" s="253" t="e">
        <f>B17+#REF!+E17+H17+K17</f>
        <v>#REF!</v>
      </c>
      <c r="O17" s="278">
        <f>SUM(O18:O20)</f>
        <v>500000</v>
      </c>
      <c r="P17" s="105">
        <f>SUM(P18:P20)</f>
        <v>500000</v>
      </c>
      <c r="Q17" s="215">
        <f t="shared" si="6"/>
        <v>0</v>
      </c>
    </row>
    <row r="18" spans="1:20" s="23" customFormat="1" ht="13.8" x14ac:dyDescent="0.25">
      <c r="A18" s="259" t="s">
        <v>831</v>
      </c>
      <c r="B18" s="234"/>
      <c r="C18" s="213"/>
      <c r="D18" s="216">
        <f t="shared" si="2"/>
        <v>0</v>
      </c>
      <c r="E18" s="234"/>
      <c r="F18" s="213"/>
      <c r="G18" s="216">
        <f t="shared" si="3"/>
        <v>0</v>
      </c>
      <c r="H18" s="234"/>
      <c r="I18" s="631"/>
      <c r="J18" s="216">
        <f t="shared" si="4"/>
        <v>0</v>
      </c>
      <c r="K18" s="213">
        <f t="shared" ref="K18:L20" si="7">B18+E18+H18</f>
        <v>0</v>
      </c>
      <c r="L18" s="213">
        <f t="shared" si="7"/>
        <v>0</v>
      </c>
      <c r="M18" s="213">
        <f t="shared" si="5"/>
        <v>0</v>
      </c>
      <c r="N18" s="274" t="e">
        <f>#REF!+#REF!+#REF!+#REF!+#REF!+#REF!+#REF!+#REF!+#REF!+#REF!+B18+#REF!+E18+H18+K18</f>
        <v>#REF!</v>
      </c>
      <c r="O18" s="234"/>
      <c r="P18" s="637"/>
      <c r="Q18" s="216">
        <f t="shared" si="6"/>
        <v>0</v>
      </c>
    </row>
    <row r="19" spans="1:20" s="23" customFormat="1" ht="13.8" x14ac:dyDescent="0.25">
      <c r="A19" s="259" t="s">
        <v>834</v>
      </c>
      <c r="B19" s="234"/>
      <c r="C19" s="213"/>
      <c r="D19" s="216">
        <f t="shared" si="2"/>
        <v>0</v>
      </c>
      <c r="E19" s="234"/>
      <c r="F19" s="213"/>
      <c r="G19" s="216">
        <f t="shared" si="3"/>
        <v>0</v>
      </c>
      <c r="H19" s="234"/>
      <c r="I19" s="631"/>
      <c r="J19" s="216">
        <f t="shared" si="4"/>
        <v>0</v>
      </c>
      <c r="K19" s="213">
        <f t="shared" si="7"/>
        <v>0</v>
      </c>
      <c r="L19" s="213">
        <f t="shared" si="7"/>
        <v>0</v>
      </c>
      <c r="M19" s="213">
        <f t="shared" si="5"/>
        <v>0</v>
      </c>
      <c r="N19" s="273"/>
      <c r="O19" s="234"/>
      <c r="P19" s="637"/>
      <c r="Q19" s="216">
        <f t="shared" si="6"/>
        <v>0</v>
      </c>
    </row>
    <row r="20" spans="1:20" s="23" customFormat="1" ht="15" customHeight="1" x14ac:dyDescent="0.25">
      <c r="A20" s="259" t="s">
        <v>841</v>
      </c>
      <c r="B20" s="234"/>
      <c r="C20" s="213"/>
      <c r="D20" s="216">
        <f t="shared" si="2"/>
        <v>0</v>
      </c>
      <c r="E20" s="234"/>
      <c r="F20" s="213"/>
      <c r="G20" s="216">
        <f t="shared" si="3"/>
        <v>0</v>
      </c>
      <c r="H20" s="234"/>
      <c r="I20" s="631"/>
      <c r="J20" s="216">
        <f t="shared" si="4"/>
        <v>0</v>
      </c>
      <c r="K20" s="213">
        <f t="shared" si="7"/>
        <v>0</v>
      </c>
      <c r="L20" s="213">
        <f t="shared" si="7"/>
        <v>0</v>
      </c>
      <c r="M20" s="213">
        <f t="shared" si="5"/>
        <v>0</v>
      </c>
      <c r="N20" s="273"/>
      <c r="O20" s="234">
        <v>500000</v>
      </c>
      <c r="P20" s="637">
        <v>500000</v>
      </c>
      <c r="Q20" s="216">
        <f t="shared" si="6"/>
        <v>0</v>
      </c>
    </row>
    <row r="21" spans="1:20" s="30" customFormat="1" ht="13.8" x14ac:dyDescent="0.25">
      <c r="A21" s="261" t="s">
        <v>842</v>
      </c>
      <c r="B21" s="233">
        <f>B22+B23+B25+B26+B27+B28+B29+B30+B33</f>
        <v>2790000</v>
      </c>
      <c r="C21" s="161">
        <f>C22+C23+C25+C26+C27+C28+C29+C30+C33</f>
        <v>2790000</v>
      </c>
      <c r="D21" s="215">
        <f t="shared" si="2"/>
        <v>0</v>
      </c>
      <c r="E21" s="233">
        <f>E22+E23+E25+E26+E27+E28+E29+E30+E33</f>
        <v>33541000</v>
      </c>
      <c r="F21" s="161">
        <f>F22+F23+F25+F26+F27+F28+F29+F30+F33</f>
        <v>33541000</v>
      </c>
      <c r="G21" s="215">
        <f t="shared" si="3"/>
        <v>0</v>
      </c>
      <c r="H21" s="233">
        <f>H22+H23+H25+H26+H27+H28+H29+H30+H33</f>
        <v>1017000</v>
      </c>
      <c r="I21" s="161">
        <f>I22+I23+I25+I26+I27+I28+I29+I30+I33</f>
        <v>1017000</v>
      </c>
      <c r="J21" s="215">
        <f t="shared" si="4"/>
        <v>0</v>
      </c>
      <c r="K21" s="161">
        <f>K22+K23+K25+K26+K27+K28+K29+K30+K33</f>
        <v>37348000</v>
      </c>
      <c r="L21" s="161">
        <f>L22+L23+L25+L26+L27+L28+L29+L30+L33</f>
        <v>37348000</v>
      </c>
      <c r="M21" s="161">
        <f t="shared" si="5"/>
        <v>0</v>
      </c>
      <c r="N21" s="253" t="e">
        <f>N22+N23+N25+N26+N27+N28+N29+N30+N33</f>
        <v>#REF!</v>
      </c>
      <c r="O21" s="279">
        <f>O22+O23+O25+O26+O27+O28+O29+O30+O33</f>
        <v>16109950</v>
      </c>
      <c r="P21" s="217">
        <f>P22+P23+P25+P26+P27+P28+P29+P30+P33</f>
        <v>16109950</v>
      </c>
      <c r="Q21" s="215">
        <f t="shared" si="6"/>
        <v>0</v>
      </c>
      <c r="R21" s="29">
        <f>K23+K25+K27+K286+K28+K33+K29</f>
        <v>37348000</v>
      </c>
      <c r="S21" s="29" t="e">
        <f>#REF!+#REF!+#REF!+#REF!+#REF!+#REF!+#REF!</f>
        <v>#REF!</v>
      </c>
      <c r="T21" s="29"/>
    </row>
    <row r="22" spans="1:20" s="31" customFormat="1" ht="17.25" customHeight="1" x14ac:dyDescent="0.25">
      <c r="A22" s="130" t="s">
        <v>735</v>
      </c>
      <c r="B22" s="234"/>
      <c r="C22" s="213"/>
      <c r="D22" s="216">
        <f t="shared" si="2"/>
        <v>0</v>
      </c>
      <c r="E22" s="234"/>
      <c r="F22" s="213"/>
      <c r="G22" s="216">
        <f t="shared" si="3"/>
        <v>0</v>
      </c>
      <c r="H22" s="234"/>
      <c r="I22" s="631"/>
      <c r="J22" s="216">
        <f t="shared" si="4"/>
        <v>0</v>
      </c>
      <c r="K22" s="213">
        <f t="shared" ref="K22:L33" si="8">B22+E22+H22</f>
        <v>0</v>
      </c>
      <c r="L22" s="213">
        <f t="shared" si="8"/>
        <v>0</v>
      </c>
      <c r="M22" s="213">
        <f t="shared" si="5"/>
        <v>0</v>
      </c>
      <c r="N22" s="274" t="e">
        <f>B22+#REF!+E22+H22+K22</f>
        <v>#REF!</v>
      </c>
      <c r="O22" s="234"/>
      <c r="P22" s="638"/>
      <c r="Q22" s="216">
        <f t="shared" si="6"/>
        <v>0</v>
      </c>
    </row>
    <row r="23" spans="1:20" s="32" customFormat="1" ht="17.25" customHeight="1" x14ac:dyDescent="0.25">
      <c r="A23" s="130" t="s">
        <v>736</v>
      </c>
      <c r="B23" s="234">
        <v>2319000</v>
      </c>
      <c r="C23" s="213">
        <v>2319000</v>
      </c>
      <c r="D23" s="216">
        <f t="shared" si="2"/>
        <v>0</v>
      </c>
      <c r="E23" s="234">
        <f>33260000+281000</f>
        <v>33541000</v>
      </c>
      <c r="F23" s="213">
        <v>33541000</v>
      </c>
      <c r="G23" s="216">
        <f t="shared" si="3"/>
        <v>0</v>
      </c>
      <c r="H23" s="234"/>
      <c r="I23" s="631"/>
      <c r="J23" s="216">
        <f t="shared" si="4"/>
        <v>0</v>
      </c>
      <c r="K23" s="213">
        <f t="shared" si="8"/>
        <v>35860000</v>
      </c>
      <c r="L23" s="213">
        <f t="shared" si="8"/>
        <v>35860000</v>
      </c>
      <c r="M23" s="213">
        <f t="shared" si="5"/>
        <v>0</v>
      </c>
      <c r="N23" s="274" t="e">
        <f>B23+#REF!+E23+H23+K23</f>
        <v>#REF!</v>
      </c>
      <c r="O23" s="234">
        <v>12300000</v>
      </c>
      <c r="P23" s="639">
        <v>12300000</v>
      </c>
      <c r="Q23" s="216">
        <f t="shared" si="6"/>
        <v>0</v>
      </c>
    </row>
    <row r="24" spans="1:20" s="32" customFormat="1" ht="18.75" customHeight="1" x14ac:dyDescent="0.25">
      <c r="A24" s="262" t="s">
        <v>524</v>
      </c>
      <c r="B24" s="234">
        <v>50000</v>
      </c>
      <c r="C24" s="213">
        <v>50000</v>
      </c>
      <c r="D24" s="216">
        <f t="shared" si="2"/>
        <v>0</v>
      </c>
      <c r="E24" s="234">
        <v>6200000</v>
      </c>
      <c r="F24" s="213">
        <v>6200000</v>
      </c>
      <c r="G24" s="216">
        <f t="shared" si="3"/>
        <v>0</v>
      </c>
      <c r="H24" s="234"/>
      <c r="I24" s="631"/>
      <c r="J24" s="216">
        <f t="shared" si="4"/>
        <v>0</v>
      </c>
      <c r="K24" s="213">
        <f t="shared" si="8"/>
        <v>6250000</v>
      </c>
      <c r="L24" s="213">
        <f t="shared" si="8"/>
        <v>6250000</v>
      </c>
      <c r="M24" s="213">
        <f t="shared" si="5"/>
        <v>0</v>
      </c>
      <c r="N24" s="274" t="e">
        <f>B24+#REF!+E24+H24+K24</f>
        <v>#REF!</v>
      </c>
      <c r="O24" s="234">
        <v>8100000</v>
      </c>
      <c r="P24" s="639">
        <v>8100000</v>
      </c>
      <c r="Q24" s="216">
        <f t="shared" si="6"/>
        <v>0</v>
      </c>
    </row>
    <row r="25" spans="1:20" s="32" customFormat="1" ht="17.25" customHeight="1" x14ac:dyDescent="0.25">
      <c r="A25" s="259" t="s">
        <v>843</v>
      </c>
      <c r="B25" s="234"/>
      <c r="C25" s="213"/>
      <c r="D25" s="216">
        <f t="shared" si="2"/>
        <v>0</v>
      </c>
      <c r="E25" s="234"/>
      <c r="F25" s="213"/>
      <c r="G25" s="216">
        <f t="shared" si="3"/>
        <v>0</v>
      </c>
      <c r="H25" s="234"/>
      <c r="I25" s="631"/>
      <c r="J25" s="216">
        <f t="shared" si="4"/>
        <v>0</v>
      </c>
      <c r="K25" s="213">
        <f t="shared" si="8"/>
        <v>0</v>
      </c>
      <c r="L25" s="213">
        <f t="shared" si="8"/>
        <v>0</v>
      </c>
      <c r="M25" s="213">
        <f t="shared" si="5"/>
        <v>0</v>
      </c>
      <c r="N25" s="274" t="e">
        <f>B25+#REF!+E25+H25+K25</f>
        <v>#REF!</v>
      </c>
      <c r="O25" s="234">
        <v>385000</v>
      </c>
      <c r="P25" s="639">
        <v>385000</v>
      </c>
      <c r="Q25" s="216">
        <f t="shared" si="6"/>
        <v>0</v>
      </c>
    </row>
    <row r="26" spans="1:20" s="32" customFormat="1" ht="17.25" customHeight="1" x14ac:dyDescent="0.25">
      <c r="A26" s="259" t="s">
        <v>766</v>
      </c>
      <c r="B26" s="234"/>
      <c r="C26" s="213"/>
      <c r="D26" s="216">
        <f t="shared" si="2"/>
        <v>0</v>
      </c>
      <c r="E26" s="234"/>
      <c r="F26" s="213"/>
      <c r="G26" s="216">
        <f t="shared" si="3"/>
        <v>0</v>
      </c>
      <c r="H26" s="234"/>
      <c r="I26" s="631"/>
      <c r="J26" s="216">
        <f t="shared" si="4"/>
        <v>0</v>
      </c>
      <c r="K26" s="213">
        <f t="shared" si="8"/>
        <v>0</v>
      </c>
      <c r="L26" s="213">
        <f t="shared" si="8"/>
        <v>0</v>
      </c>
      <c r="M26" s="213">
        <f t="shared" si="5"/>
        <v>0</v>
      </c>
      <c r="N26" s="274" t="e">
        <f>B26+#REF!+E26+H26+K26</f>
        <v>#REF!</v>
      </c>
      <c r="O26" s="234"/>
      <c r="P26" s="639"/>
      <c r="Q26" s="216">
        <f t="shared" si="6"/>
        <v>0</v>
      </c>
    </row>
    <row r="27" spans="1:20" s="32" customFormat="1" ht="13.5" customHeight="1" x14ac:dyDescent="0.25">
      <c r="A27" s="263" t="s">
        <v>846</v>
      </c>
      <c r="B27" s="234"/>
      <c r="C27" s="213"/>
      <c r="D27" s="216">
        <f t="shared" si="2"/>
        <v>0</v>
      </c>
      <c r="E27" s="234"/>
      <c r="F27" s="213"/>
      <c r="G27" s="216">
        <f t="shared" si="3"/>
        <v>0</v>
      </c>
      <c r="H27" s="234">
        <v>1017000</v>
      </c>
      <c r="I27" s="631">
        <v>1017000</v>
      </c>
      <c r="J27" s="216">
        <f t="shared" si="4"/>
        <v>0</v>
      </c>
      <c r="K27" s="213">
        <f t="shared" si="8"/>
        <v>1017000</v>
      </c>
      <c r="L27" s="213">
        <f t="shared" si="8"/>
        <v>1017000</v>
      </c>
      <c r="M27" s="213">
        <f t="shared" si="5"/>
        <v>0</v>
      </c>
      <c r="N27" s="274" t="e">
        <f>B27+#REF!+E27+H27+K27</f>
        <v>#REF!</v>
      </c>
      <c r="O27" s="234"/>
      <c r="P27" s="639"/>
      <c r="Q27" s="216">
        <f t="shared" si="6"/>
        <v>0</v>
      </c>
    </row>
    <row r="28" spans="1:20" s="32" customFormat="1" ht="13.8" x14ac:dyDescent="0.25">
      <c r="A28" s="262" t="s">
        <v>847</v>
      </c>
      <c r="B28" s="234">
        <v>451000</v>
      </c>
      <c r="C28" s="213">
        <v>451000</v>
      </c>
      <c r="D28" s="216">
        <f t="shared" si="2"/>
        <v>0</v>
      </c>
      <c r="E28" s="234"/>
      <c r="F28" s="213"/>
      <c r="G28" s="216">
        <f t="shared" si="3"/>
        <v>0</v>
      </c>
      <c r="H28" s="234"/>
      <c r="I28" s="633"/>
      <c r="J28" s="216">
        <f t="shared" si="4"/>
        <v>0</v>
      </c>
      <c r="K28" s="213">
        <f t="shared" si="8"/>
        <v>451000</v>
      </c>
      <c r="L28" s="213">
        <f t="shared" si="8"/>
        <v>451000</v>
      </c>
      <c r="M28" s="213">
        <f t="shared" si="5"/>
        <v>0</v>
      </c>
      <c r="N28" s="274" t="e">
        <f>B28+#REF!+E28+H28+K28</f>
        <v>#REF!</v>
      </c>
      <c r="O28" s="234">
        <v>3424950</v>
      </c>
      <c r="P28" s="639">
        <v>3424950</v>
      </c>
      <c r="Q28" s="216">
        <f t="shared" si="6"/>
        <v>0</v>
      </c>
    </row>
    <row r="29" spans="1:20" s="32" customFormat="1" ht="13.8" x14ac:dyDescent="0.25">
      <c r="A29" s="262" t="s">
        <v>848</v>
      </c>
      <c r="B29" s="234"/>
      <c r="C29" s="213"/>
      <c r="D29" s="216">
        <f t="shared" si="2"/>
        <v>0</v>
      </c>
      <c r="E29" s="234"/>
      <c r="F29" s="213"/>
      <c r="G29" s="216">
        <f t="shared" si="3"/>
        <v>0</v>
      </c>
      <c r="H29" s="234"/>
      <c r="I29" s="631"/>
      <c r="J29" s="216">
        <f t="shared" si="4"/>
        <v>0</v>
      </c>
      <c r="K29" s="213">
        <f t="shared" si="8"/>
        <v>0</v>
      </c>
      <c r="L29" s="213">
        <f t="shared" si="8"/>
        <v>0</v>
      </c>
      <c r="M29" s="213">
        <f t="shared" si="5"/>
        <v>0</v>
      </c>
      <c r="N29" s="274" t="e">
        <f>B29+#REF!+E29+H29+K29</f>
        <v>#REF!</v>
      </c>
      <c r="O29" s="234"/>
      <c r="P29" s="639"/>
      <c r="Q29" s="216">
        <f t="shared" si="6"/>
        <v>0</v>
      </c>
    </row>
    <row r="30" spans="1:20" s="32" customFormat="1" ht="15" customHeight="1" x14ac:dyDescent="0.25">
      <c r="A30" s="262" t="s">
        <v>849</v>
      </c>
      <c r="B30" s="234"/>
      <c r="C30" s="213"/>
      <c r="D30" s="216">
        <f t="shared" si="2"/>
        <v>0</v>
      </c>
      <c r="E30" s="234"/>
      <c r="F30" s="213"/>
      <c r="G30" s="216">
        <f t="shared" si="3"/>
        <v>0</v>
      </c>
      <c r="H30" s="234"/>
      <c r="I30" s="631"/>
      <c r="J30" s="216">
        <f t="shared" si="4"/>
        <v>0</v>
      </c>
      <c r="K30" s="213">
        <f t="shared" si="8"/>
        <v>0</v>
      </c>
      <c r="L30" s="213">
        <f t="shared" si="8"/>
        <v>0</v>
      </c>
      <c r="M30" s="213">
        <f t="shared" si="5"/>
        <v>0</v>
      </c>
      <c r="N30" s="274" t="e">
        <f>B30+#REF!+E30+H30+K30</f>
        <v>#REF!</v>
      </c>
      <c r="O30" s="234"/>
      <c r="P30" s="639"/>
      <c r="Q30" s="216">
        <f t="shared" si="6"/>
        <v>0</v>
      </c>
    </row>
    <row r="31" spans="1:20" s="32" customFormat="1" ht="15" customHeight="1" x14ac:dyDescent="0.25">
      <c r="A31" s="130" t="s">
        <v>739</v>
      </c>
      <c r="B31" s="234"/>
      <c r="C31" s="213"/>
      <c r="D31" s="216">
        <f t="shared" si="2"/>
        <v>0</v>
      </c>
      <c r="E31" s="234"/>
      <c r="F31" s="213"/>
      <c r="G31" s="216">
        <f t="shared" si="3"/>
        <v>0</v>
      </c>
      <c r="H31" s="234"/>
      <c r="I31" s="631"/>
      <c r="J31" s="216">
        <f t="shared" si="4"/>
        <v>0</v>
      </c>
      <c r="K31" s="213">
        <f t="shared" si="8"/>
        <v>0</v>
      </c>
      <c r="L31" s="213">
        <f t="shared" si="8"/>
        <v>0</v>
      </c>
      <c r="M31" s="213">
        <f t="shared" si="5"/>
        <v>0</v>
      </c>
      <c r="N31" s="274"/>
      <c r="O31" s="234"/>
      <c r="P31" s="639"/>
      <c r="Q31" s="216">
        <f t="shared" si="6"/>
        <v>0</v>
      </c>
    </row>
    <row r="32" spans="1:20" s="32" customFormat="1" ht="15" customHeight="1" x14ac:dyDescent="0.25">
      <c r="A32" s="130" t="s">
        <v>737</v>
      </c>
      <c r="B32" s="234"/>
      <c r="C32" s="213"/>
      <c r="D32" s="216">
        <f t="shared" si="2"/>
        <v>0</v>
      </c>
      <c r="E32" s="234"/>
      <c r="F32" s="213"/>
      <c r="G32" s="216">
        <f t="shared" si="3"/>
        <v>0</v>
      </c>
      <c r="H32" s="234"/>
      <c r="I32" s="631"/>
      <c r="J32" s="216">
        <f t="shared" si="4"/>
        <v>0</v>
      </c>
      <c r="K32" s="213">
        <f t="shared" si="8"/>
        <v>0</v>
      </c>
      <c r="L32" s="213">
        <f t="shared" si="8"/>
        <v>0</v>
      </c>
      <c r="M32" s="213">
        <f t="shared" si="5"/>
        <v>0</v>
      </c>
      <c r="N32" s="274"/>
      <c r="O32" s="234"/>
      <c r="P32" s="639"/>
      <c r="Q32" s="216">
        <f t="shared" si="6"/>
        <v>0</v>
      </c>
    </row>
    <row r="33" spans="1:20" s="32" customFormat="1" ht="17.25" customHeight="1" x14ac:dyDescent="0.25">
      <c r="A33" s="264" t="s">
        <v>738</v>
      </c>
      <c r="B33" s="234">
        <v>20000</v>
      </c>
      <c r="C33" s="213">
        <v>20000</v>
      </c>
      <c r="D33" s="216">
        <f t="shared" si="2"/>
        <v>0</v>
      </c>
      <c r="E33" s="234"/>
      <c r="F33" s="213"/>
      <c r="G33" s="216">
        <f t="shared" si="3"/>
        <v>0</v>
      </c>
      <c r="H33" s="234"/>
      <c r="I33" s="631"/>
      <c r="J33" s="216">
        <f t="shared" si="4"/>
        <v>0</v>
      </c>
      <c r="K33" s="213">
        <f t="shared" si="8"/>
        <v>20000</v>
      </c>
      <c r="L33" s="213">
        <f t="shared" si="8"/>
        <v>20000</v>
      </c>
      <c r="M33" s="213">
        <f t="shared" si="5"/>
        <v>0</v>
      </c>
      <c r="N33" s="274" t="e">
        <f>B33+#REF!+E33+H33+K33</f>
        <v>#REF!</v>
      </c>
      <c r="O33" s="234"/>
      <c r="P33" s="639"/>
      <c r="Q33" s="216">
        <f t="shared" si="6"/>
        <v>0</v>
      </c>
    </row>
    <row r="34" spans="1:20" s="30" customFormat="1" ht="14.25" customHeight="1" x14ac:dyDescent="0.25">
      <c r="A34" s="261" t="s">
        <v>781</v>
      </c>
      <c r="B34" s="233">
        <f>SUM(B35:B39)</f>
        <v>0</v>
      </c>
      <c r="C34" s="161">
        <f>SUM(C35:C39)</f>
        <v>0</v>
      </c>
      <c r="D34" s="215">
        <f t="shared" si="2"/>
        <v>0</v>
      </c>
      <c r="E34" s="233">
        <f>SUM(E35:E39)</f>
        <v>0</v>
      </c>
      <c r="F34" s="161">
        <f>SUM(F35:F39)</f>
        <v>0</v>
      </c>
      <c r="G34" s="215">
        <f t="shared" si="3"/>
        <v>0</v>
      </c>
      <c r="H34" s="233">
        <f>SUM(H35:H39)</f>
        <v>0</v>
      </c>
      <c r="I34" s="161">
        <f>SUM(I35:I39)</f>
        <v>0</v>
      </c>
      <c r="J34" s="215">
        <f t="shared" si="4"/>
        <v>0</v>
      </c>
      <c r="K34" s="161">
        <f>SUM(K35:K39)</f>
        <v>0</v>
      </c>
      <c r="L34" s="161">
        <f>SUM(L35:L39)</f>
        <v>0</v>
      </c>
      <c r="M34" s="161">
        <f t="shared" si="5"/>
        <v>0</v>
      </c>
      <c r="N34" s="253" t="e">
        <f>B34+#REF!+E34+H34+K34</f>
        <v>#REF!</v>
      </c>
      <c r="O34" s="233">
        <f>SUM(O35:O39)</f>
        <v>0</v>
      </c>
      <c r="P34" s="161">
        <f>SUM(P35:P39)</f>
        <v>0</v>
      </c>
      <c r="Q34" s="215">
        <f t="shared" si="6"/>
        <v>0</v>
      </c>
    </row>
    <row r="35" spans="1:20" s="32" customFormat="1" ht="15" customHeight="1" x14ac:dyDescent="0.25">
      <c r="A35" s="259" t="s">
        <v>850</v>
      </c>
      <c r="B35" s="234"/>
      <c r="C35" s="213"/>
      <c r="D35" s="216">
        <f t="shared" si="2"/>
        <v>0</v>
      </c>
      <c r="E35" s="234"/>
      <c r="F35" s="213"/>
      <c r="G35" s="216">
        <f t="shared" si="3"/>
        <v>0</v>
      </c>
      <c r="H35" s="234"/>
      <c r="I35" s="213"/>
      <c r="J35" s="216">
        <f t="shared" si="4"/>
        <v>0</v>
      </c>
      <c r="K35" s="213">
        <f t="shared" ref="K35:L39" si="9">B35+E35+H35</f>
        <v>0</v>
      </c>
      <c r="L35" s="213">
        <f t="shared" si="9"/>
        <v>0</v>
      </c>
      <c r="M35" s="213">
        <f t="shared" si="5"/>
        <v>0</v>
      </c>
      <c r="N35" s="275"/>
      <c r="O35" s="234"/>
      <c r="P35" s="639"/>
      <c r="Q35" s="216">
        <f t="shared" si="6"/>
        <v>0</v>
      </c>
    </row>
    <row r="36" spans="1:20" s="32" customFormat="1" ht="15" customHeight="1" x14ac:dyDescent="0.25">
      <c r="A36" s="259" t="s">
        <v>851</v>
      </c>
      <c r="B36" s="234"/>
      <c r="C36" s="213"/>
      <c r="D36" s="216">
        <f t="shared" si="2"/>
        <v>0</v>
      </c>
      <c r="E36" s="234"/>
      <c r="F36" s="213"/>
      <c r="G36" s="216">
        <f t="shared" si="3"/>
        <v>0</v>
      </c>
      <c r="H36" s="234"/>
      <c r="I36" s="631"/>
      <c r="J36" s="216">
        <f t="shared" si="4"/>
        <v>0</v>
      </c>
      <c r="K36" s="213">
        <f t="shared" si="9"/>
        <v>0</v>
      </c>
      <c r="L36" s="213">
        <f t="shared" si="9"/>
        <v>0</v>
      </c>
      <c r="M36" s="213">
        <f t="shared" si="5"/>
        <v>0</v>
      </c>
      <c r="N36" s="275"/>
      <c r="O36" s="234"/>
      <c r="P36" s="639"/>
      <c r="Q36" s="216">
        <f t="shared" si="6"/>
        <v>0</v>
      </c>
    </row>
    <row r="37" spans="1:20" s="32" customFormat="1" ht="15" customHeight="1" x14ac:dyDescent="0.25">
      <c r="A37" s="265" t="s">
        <v>852</v>
      </c>
      <c r="B37" s="234"/>
      <c r="C37" s="213"/>
      <c r="D37" s="216">
        <f t="shared" si="2"/>
        <v>0</v>
      </c>
      <c r="E37" s="234"/>
      <c r="F37" s="213"/>
      <c r="G37" s="216">
        <f t="shared" si="3"/>
        <v>0</v>
      </c>
      <c r="H37" s="234"/>
      <c r="I37" s="631"/>
      <c r="J37" s="216">
        <f t="shared" si="4"/>
        <v>0</v>
      </c>
      <c r="K37" s="213">
        <f t="shared" si="9"/>
        <v>0</v>
      </c>
      <c r="L37" s="213">
        <f t="shared" si="9"/>
        <v>0</v>
      </c>
      <c r="M37" s="213">
        <f t="shared" si="5"/>
        <v>0</v>
      </c>
      <c r="N37" s="275"/>
      <c r="O37" s="234"/>
      <c r="P37" s="639"/>
      <c r="Q37" s="216">
        <f t="shared" si="6"/>
        <v>0</v>
      </c>
    </row>
    <row r="38" spans="1:20" s="32" customFormat="1" ht="15" customHeight="1" x14ac:dyDescent="0.25">
      <c r="A38" s="259" t="s">
        <v>853</v>
      </c>
      <c r="B38" s="234"/>
      <c r="C38" s="213"/>
      <c r="D38" s="216">
        <f t="shared" si="2"/>
        <v>0</v>
      </c>
      <c r="E38" s="234"/>
      <c r="F38" s="213"/>
      <c r="G38" s="216">
        <f t="shared" si="3"/>
        <v>0</v>
      </c>
      <c r="H38" s="234"/>
      <c r="I38" s="631"/>
      <c r="J38" s="216">
        <f t="shared" si="4"/>
        <v>0</v>
      </c>
      <c r="K38" s="213">
        <f t="shared" si="9"/>
        <v>0</v>
      </c>
      <c r="L38" s="213">
        <f t="shared" si="9"/>
        <v>0</v>
      </c>
      <c r="M38" s="213">
        <f t="shared" si="5"/>
        <v>0</v>
      </c>
      <c r="N38" s="275"/>
      <c r="O38" s="234"/>
      <c r="P38" s="639"/>
      <c r="Q38" s="216">
        <f t="shared" si="6"/>
        <v>0</v>
      </c>
    </row>
    <row r="39" spans="1:20" s="32" customFormat="1" ht="24" customHeight="1" x14ac:dyDescent="0.25">
      <c r="A39" s="259" t="s">
        <v>854</v>
      </c>
      <c r="B39" s="234"/>
      <c r="C39" s="213"/>
      <c r="D39" s="216">
        <f t="shared" si="2"/>
        <v>0</v>
      </c>
      <c r="E39" s="234"/>
      <c r="F39" s="213"/>
      <c r="G39" s="216">
        <f t="shared" si="3"/>
        <v>0</v>
      </c>
      <c r="H39" s="234"/>
      <c r="I39" s="631"/>
      <c r="J39" s="216">
        <f t="shared" si="4"/>
        <v>0</v>
      </c>
      <c r="K39" s="213">
        <f t="shared" si="9"/>
        <v>0</v>
      </c>
      <c r="L39" s="213">
        <f t="shared" si="9"/>
        <v>0</v>
      </c>
      <c r="M39" s="213">
        <f t="shared" si="5"/>
        <v>0</v>
      </c>
      <c r="N39" s="275"/>
      <c r="O39" s="234"/>
      <c r="P39" s="639"/>
      <c r="Q39" s="216">
        <f t="shared" si="6"/>
        <v>0</v>
      </c>
    </row>
    <row r="40" spans="1:20" s="30" customFormat="1" ht="24.75" customHeight="1" x14ac:dyDescent="0.25">
      <c r="A40" s="261" t="s">
        <v>782</v>
      </c>
      <c r="B40" s="233">
        <f>SUM(B41)</f>
        <v>0</v>
      </c>
      <c r="C40" s="161">
        <f>SUM(C41)</f>
        <v>0</v>
      </c>
      <c r="D40" s="215">
        <f t="shared" si="2"/>
        <v>0</v>
      </c>
      <c r="E40" s="233">
        <f t="shared" ref="E40:L40" si="10">SUM(E41)</f>
        <v>0</v>
      </c>
      <c r="F40" s="161">
        <f t="shared" si="10"/>
        <v>0</v>
      </c>
      <c r="G40" s="215">
        <f t="shared" si="3"/>
        <v>0</v>
      </c>
      <c r="H40" s="233">
        <f t="shared" si="10"/>
        <v>0</v>
      </c>
      <c r="I40" s="161">
        <f t="shared" si="10"/>
        <v>0</v>
      </c>
      <c r="J40" s="215">
        <f t="shared" si="4"/>
        <v>0</v>
      </c>
      <c r="K40" s="161">
        <f t="shared" si="10"/>
        <v>0</v>
      </c>
      <c r="L40" s="161">
        <f t="shared" si="10"/>
        <v>0</v>
      </c>
      <c r="M40" s="161">
        <f t="shared" si="5"/>
        <v>0</v>
      </c>
      <c r="N40" s="253" t="e">
        <f>B40+#REF!+E40+H40+K40</f>
        <v>#REF!</v>
      </c>
      <c r="O40" s="233">
        <f>SUM(O41)</f>
        <v>0</v>
      </c>
      <c r="P40" s="161">
        <f>SUM(P41)</f>
        <v>0</v>
      </c>
      <c r="Q40" s="215">
        <f t="shared" si="6"/>
        <v>0</v>
      </c>
    </row>
    <row r="41" spans="1:20" s="32" customFormat="1" ht="13.8" x14ac:dyDescent="0.25">
      <c r="A41" s="259" t="s">
        <v>251</v>
      </c>
      <c r="B41" s="234"/>
      <c r="C41" s="213"/>
      <c r="D41" s="216">
        <f t="shared" si="2"/>
        <v>0</v>
      </c>
      <c r="E41" s="234"/>
      <c r="F41" s="213"/>
      <c r="G41" s="216">
        <f t="shared" si="3"/>
        <v>0</v>
      </c>
      <c r="H41" s="234"/>
      <c r="I41" s="631"/>
      <c r="J41" s="216">
        <f t="shared" si="4"/>
        <v>0</v>
      </c>
      <c r="K41" s="213">
        <f t="shared" ref="K41:L45" si="11">B41+E41+H41</f>
        <v>0</v>
      </c>
      <c r="L41" s="213">
        <f t="shared" si="11"/>
        <v>0</v>
      </c>
      <c r="M41" s="213">
        <f t="shared" si="5"/>
        <v>0</v>
      </c>
      <c r="N41" s="275"/>
      <c r="O41" s="234"/>
      <c r="P41" s="639"/>
      <c r="Q41" s="216">
        <f t="shared" si="6"/>
        <v>0</v>
      </c>
    </row>
    <row r="42" spans="1:20" s="30" customFormat="1" ht="27" customHeight="1" x14ac:dyDescent="0.25">
      <c r="A42" s="260" t="s">
        <v>783</v>
      </c>
      <c r="B42" s="233">
        <f>SUM(B43)</f>
        <v>0</v>
      </c>
      <c r="C42" s="161">
        <f>SUM(C43)</f>
        <v>0</v>
      </c>
      <c r="D42" s="215">
        <f t="shared" si="2"/>
        <v>0</v>
      </c>
      <c r="E42" s="233">
        <f>SUM(E43)</f>
        <v>0</v>
      </c>
      <c r="F42" s="161">
        <f>SUM(F43)</f>
        <v>0</v>
      </c>
      <c r="G42" s="215">
        <f t="shared" si="3"/>
        <v>0</v>
      </c>
      <c r="H42" s="233">
        <f>SUM(H43)</f>
        <v>0</v>
      </c>
      <c r="I42" s="161">
        <f>SUM(I43)</f>
        <v>0</v>
      </c>
      <c r="J42" s="215">
        <f t="shared" si="4"/>
        <v>0</v>
      </c>
      <c r="K42" s="161">
        <f t="shared" si="11"/>
        <v>0</v>
      </c>
      <c r="L42" s="161">
        <f t="shared" si="11"/>
        <v>0</v>
      </c>
      <c r="M42" s="161">
        <f t="shared" si="5"/>
        <v>0</v>
      </c>
      <c r="N42" s="253" t="e">
        <f>B42+#REF!+E42+H42+K42</f>
        <v>#REF!</v>
      </c>
      <c r="O42" s="233">
        <f>SUM(O43)</f>
        <v>0</v>
      </c>
      <c r="P42" s="161">
        <f>SUM(P43)</f>
        <v>0</v>
      </c>
      <c r="Q42" s="215">
        <f t="shared" si="6"/>
        <v>0</v>
      </c>
    </row>
    <row r="43" spans="1:20" s="32" customFormat="1" ht="22.5" customHeight="1" x14ac:dyDescent="0.25">
      <c r="A43" s="259" t="s">
        <v>254</v>
      </c>
      <c r="B43" s="234"/>
      <c r="C43" s="213"/>
      <c r="D43" s="216">
        <f t="shared" si="2"/>
        <v>0</v>
      </c>
      <c r="E43" s="234"/>
      <c r="F43" s="213"/>
      <c r="G43" s="216">
        <f t="shared" si="3"/>
        <v>0</v>
      </c>
      <c r="H43" s="234"/>
      <c r="I43" s="631"/>
      <c r="J43" s="216">
        <f t="shared" si="4"/>
        <v>0</v>
      </c>
      <c r="K43" s="213">
        <f t="shared" si="11"/>
        <v>0</v>
      </c>
      <c r="L43" s="213">
        <f t="shared" si="11"/>
        <v>0</v>
      </c>
      <c r="M43" s="213">
        <f t="shared" si="5"/>
        <v>0</v>
      </c>
      <c r="N43" s="275"/>
      <c r="O43" s="234"/>
      <c r="P43" s="639"/>
      <c r="Q43" s="216">
        <f t="shared" si="6"/>
        <v>0</v>
      </c>
    </row>
    <row r="44" spans="1:20" s="30" customFormat="1" ht="18" customHeight="1" x14ac:dyDescent="0.25">
      <c r="A44" s="261" t="s">
        <v>784</v>
      </c>
      <c r="B44" s="233">
        <f>B42+B40+B34+B21+B17+B15+B12</f>
        <v>4375000</v>
      </c>
      <c r="C44" s="161">
        <f>C42+C40+C34+C21+C17+C15+C12</f>
        <v>4375000</v>
      </c>
      <c r="D44" s="215">
        <f t="shared" si="2"/>
        <v>0</v>
      </c>
      <c r="E44" s="233">
        <f>E42+E40+E34+E21+E17+E15+E12</f>
        <v>138712000</v>
      </c>
      <c r="F44" s="161">
        <f>F42+F40+F34+F21+F17+F15+F12</f>
        <v>142908731</v>
      </c>
      <c r="G44" s="215">
        <f t="shared" si="3"/>
        <v>4196731</v>
      </c>
      <c r="H44" s="233">
        <f>H42+H40+H34+H21+H17+H15+H12</f>
        <v>3188000</v>
      </c>
      <c r="I44" s="161">
        <f>I42+I40+I34+I21+I17+I15+I12</f>
        <v>3188000</v>
      </c>
      <c r="J44" s="215">
        <f t="shared" si="4"/>
        <v>0</v>
      </c>
      <c r="K44" s="161">
        <f t="shared" si="11"/>
        <v>146275000</v>
      </c>
      <c r="L44" s="161">
        <f t="shared" si="11"/>
        <v>150471731</v>
      </c>
      <c r="M44" s="161">
        <f t="shared" si="5"/>
        <v>4196731</v>
      </c>
      <c r="N44" s="253" t="e">
        <f>N42+N40+N34+N21+N17+N15+N12</f>
        <v>#REF!</v>
      </c>
      <c r="O44" s="233">
        <f>O42+O40+O34+O21+O17+O15+O12</f>
        <v>38108730</v>
      </c>
      <c r="P44" s="161">
        <f>P42+P40+P34+P21+P17+P15+P12</f>
        <v>38722024</v>
      </c>
      <c r="Q44" s="215">
        <f t="shared" si="6"/>
        <v>613294</v>
      </c>
      <c r="R44" s="29">
        <f>K42+K40+K21+K17+K15+K12</f>
        <v>146275000</v>
      </c>
      <c r="S44" s="29"/>
      <c r="T44" s="29"/>
    </row>
    <row r="45" spans="1:20" s="30" customFormat="1" ht="18" customHeight="1" x14ac:dyDescent="0.25">
      <c r="A45" s="260" t="s">
        <v>785</v>
      </c>
      <c r="B45" s="233">
        <f>B46+B49+B50</f>
        <v>51519000</v>
      </c>
      <c r="C45" s="161">
        <f>C46+C49+C50</f>
        <v>52722186</v>
      </c>
      <c r="D45" s="215">
        <f t="shared" si="2"/>
        <v>1203186</v>
      </c>
      <c r="E45" s="233">
        <f>E46+E49+E50</f>
        <v>31547000</v>
      </c>
      <c r="F45" s="161">
        <f>F46+F49+F50</f>
        <v>42101828</v>
      </c>
      <c r="G45" s="215">
        <f t="shared" si="3"/>
        <v>10554828</v>
      </c>
      <c r="H45" s="233">
        <f>H46+H49+H50</f>
        <v>58065000</v>
      </c>
      <c r="I45" s="161">
        <f>I46+I49+I50</f>
        <v>58751301</v>
      </c>
      <c r="J45" s="215">
        <f t="shared" si="4"/>
        <v>686301</v>
      </c>
      <c r="K45" s="161">
        <f t="shared" si="11"/>
        <v>141131000</v>
      </c>
      <c r="L45" s="161">
        <f t="shared" si="11"/>
        <v>153575315</v>
      </c>
      <c r="M45" s="161">
        <f t="shared" si="5"/>
        <v>12444315</v>
      </c>
      <c r="N45" s="219">
        <f>N46+N49+N50</f>
        <v>0</v>
      </c>
      <c r="O45" s="233">
        <f>O46+O49+O50</f>
        <v>348949984</v>
      </c>
      <c r="P45" s="161">
        <f>P46+P49+P50</f>
        <v>366141795</v>
      </c>
      <c r="Q45" s="215">
        <f t="shared" si="6"/>
        <v>17191811</v>
      </c>
      <c r="R45" s="29"/>
    </row>
    <row r="46" spans="1:20" s="30" customFormat="1" ht="28.5" customHeight="1" x14ac:dyDescent="0.25">
      <c r="A46" s="260" t="s">
        <v>255</v>
      </c>
      <c r="B46" s="233">
        <f>SUM(B47:B48)</f>
        <v>480000</v>
      </c>
      <c r="C46" s="161">
        <f>SUM(C47:C48)</f>
        <v>2854366</v>
      </c>
      <c r="D46" s="215">
        <f t="shared" si="2"/>
        <v>2374366</v>
      </c>
      <c r="E46" s="233">
        <f>SUM(E47:E48)</f>
        <v>0</v>
      </c>
      <c r="F46" s="161">
        <f>SUM(F47:F48)</f>
        <v>8148956</v>
      </c>
      <c r="G46" s="215">
        <f t="shared" si="3"/>
        <v>8148956</v>
      </c>
      <c r="H46" s="233">
        <f>SUM(H47:H48)</f>
        <v>0</v>
      </c>
      <c r="I46" s="161">
        <f>SUM(I47:I48)</f>
        <v>2374784</v>
      </c>
      <c r="J46" s="215">
        <f t="shared" si="4"/>
        <v>2374784</v>
      </c>
      <c r="K46" s="161">
        <f>SUM(K47:K48)</f>
        <v>480000</v>
      </c>
      <c r="L46" s="161">
        <f>SUM(L47:L48)</f>
        <v>13378106</v>
      </c>
      <c r="M46" s="161">
        <f t="shared" si="5"/>
        <v>12898106</v>
      </c>
      <c r="N46" s="276"/>
      <c r="O46" s="279">
        <f>SUM(O47:O48)</f>
        <v>0</v>
      </c>
      <c r="P46" s="217">
        <f>SUM(P47:P48)</f>
        <v>26436722</v>
      </c>
      <c r="Q46" s="215">
        <f t="shared" si="6"/>
        <v>26436722</v>
      </c>
    </row>
    <row r="47" spans="1:20" s="32" customFormat="1" ht="24" customHeight="1" x14ac:dyDescent="0.25">
      <c r="A47" s="259" t="s">
        <v>763</v>
      </c>
      <c r="B47" s="234">
        <v>480000</v>
      </c>
      <c r="C47" s="213">
        <v>2854366</v>
      </c>
      <c r="D47" s="216">
        <f t="shared" si="2"/>
        <v>2374366</v>
      </c>
      <c r="E47" s="234"/>
      <c r="F47" s="213">
        <v>7548956</v>
      </c>
      <c r="G47" s="216">
        <f t="shared" si="3"/>
        <v>7548956</v>
      </c>
      <c r="H47" s="234"/>
      <c r="I47" s="631">
        <v>1988483</v>
      </c>
      <c r="J47" s="216">
        <f t="shared" si="4"/>
        <v>1988483</v>
      </c>
      <c r="K47" s="213">
        <f t="shared" ref="K47:L49" si="12">B47+E47+H47</f>
        <v>480000</v>
      </c>
      <c r="L47" s="213">
        <f t="shared" si="12"/>
        <v>12391805</v>
      </c>
      <c r="M47" s="213">
        <f t="shared" si="5"/>
        <v>11911805</v>
      </c>
      <c r="N47" s="275"/>
      <c r="O47" s="234"/>
      <c r="P47" s="639">
        <v>24232422</v>
      </c>
      <c r="Q47" s="216">
        <f t="shared" si="6"/>
        <v>24232422</v>
      </c>
    </row>
    <row r="48" spans="1:20" s="32" customFormat="1" ht="24.75" customHeight="1" x14ac:dyDescent="0.25">
      <c r="A48" s="259" t="s">
        <v>256</v>
      </c>
      <c r="B48" s="234"/>
      <c r="C48" s="213"/>
      <c r="D48" s="216">
        <f t="shared" si="2"/>
        <v>0</v>
      </c>
      <c r="E48" s="234"/>
      <c r="F48" s="213">
        <v>600000</v>
      </c>
      <c r="G48" s="216">
        <f t="shared" si="3"/>
        <v>600000</v>
      </c>
      <c r="H48" s="234"/>
      <c r="I48" s="631">
        <v>386301</v>
      </c>
      <c r="J48" s="216">
        <f t="shared" si="4"/>
        <v>386301</v>
      </c>
      <c r="K48" s="213">
        <f t="shared" si="12"/>
        <v>0</v>
      </c>
      <c r="L48" s="213">
        <f t="shared" si="12"/>
        <v>986301</v>
      </c>
      <c r="M48" s="213">
        <f t="shared" si="5"/>
        <v>986301</v>
      </c>
      <c r="N48" s="275"/>
      <c r="O48" s="234"/>
      <c r="P48" s="639">
        <v>2204300</v>
      </c>
      <c r="Q48" s="216">
        <f t="shared" si="6"/>
        <v>2204300</v>
      </c>
    </row>
    <row r="49" spans="1:193" s="30" customFormat="1" ht="24" customHeight="1" x14ac:dyDescent="0.25">
      <c r="A49" s="260" t="s">
        <v>257</v>
      </c>
      <c r="B49" s="233"/>
      <c r="C49" s="161"/>
      <c r="D49" s="215">
        <f t="shared" si="2"/>
        <v>0</v>
      </c>
      <c r="E49" s="233"/>
      <c r="F49" s="161"/>
      <c r="G49" s="215">
        <f t="shared" si="3"/>
        <v>0</v>
      </c>
      <c r="H49" s="763"/>
      <c r="I49" s="632"/>
      <c r="J49" s="215">
        <f t="shared" si="4"/>
        <v>0</v>
      </c>
      <c r="K49" s="161">
        <f t="shared" si="12"/>
        <v>0</v>
      </c>
      <c r="L49" s="161">
        <f t="shared" si="12"/>
        <v>0</v>
      </c>
      <c r="M49" s="161">
        <f t="shared" si="5"/>
        <v>0</v>
      </c>
      <c r="N49" s="276"/>
      <c r="O49" s="233"/>
      <c r="P49" s="217"/>
      <c r="Q49" s="215">
        <f t="shared" si="6"/>
        <v>0</v>
      </c>
    </row>
    <row r="50" spans="1:193" s="24" customFormat="1" ht="13.8" x14ac:dyDescent="0.25">
      <c r="A50" s="261" t="s">
        <v>276</v>
      </c>
      <c r="B50" s="233">
        <f>SUM(B51:B52)</f>
        <v>51039000</v>
      </c>
      <c r="C50" s="161">
        <f>SUM(C51:C52)</f>
        <v>49867820</v>
      </c>
      <c r="D50" s="215">
        <f t="shared" si="2"/>
        <v>-1171180</v>
      </c>
      <c r="E50" s="233">
        <f>SUM(E51:E52)</f>
        <v>31547000</v>
      </c>
      <c r="F50" s="161">
        <f>SUM(F51:F52)</f>
        <v>33952872</v>
      </c>
      <c r="G50" s="215">
        <f t="shared" si="3"/>
        <v>2405872</v>
      </c>
      <c r="H50" s="763">
        <f t="shared" ref="H50:P50" si="13">SUM(H51:H52)</f>
        <v>58065000</v>
      </c>
      <c r="I50" s="161">
        <f>SUM(I51:I52)</f>
        <v>56376517</v>
      </c>
      <c r="J50" s="215">
        <f t="shared" si="4"/>
        <v>-1688483</v>
      </c>
      <c r="K50" s="161">
        <f>SUM(K51:K52)</f>
        <v>140651000</v>
      </c>
      <c r="L50" s="161">
        <f>SUM(L51:L52)</f>
        <v>140197209</v>
      </c>
      <c r="M50" s="161">
        <f t="shared" si="5"/>
        <v>-453791</v>
      </c>
      <c r="N50" s="253">
        <f t="shared" si="13"/>
        <v>0</v>
      </c>
      <c r="O50" s="233">
        <f>SUM(O51:O52)</f>
        <v>348949984</v>
      </c>
      <c r="P50" s="161">
        <f t="shared" si="13"/>
        <v>339705073</v>
      </c>
      <c r="Q50" s="215">
        <f t="shared" si="6"/>
        <v>-9244911</v>
      </c>
      <c r="R50" s="28"/>
      <c r="S50" s="28"/>
    </row>
    <row r="51" spans="1:193" s="23" customFormat="1" ht="27.75" customHeight="1" x14ac:dyDescent="0.25">
      <c r="A51" s="262" t="s">
        <v>277</v>
      </c>
      <c r="B51" s="234">
        <v>48068000</v>
      </c>
      <c r="C51" s="213">
        <v>46896820</v>
      </c>
      <c r="D51" s="216">
        <f t="shared" si="2"/>
        <v>-1171180</v>
      </c>
      <c r="E51" s="234">
        <f>30864000+283000</f>
        <v>31147000</v>
      </c>
      <c r="F51" s="213">
        <v>33552872</v>
      </c>
      <c r="G51" s="216">
        <f t="shared" si="3"/>
        <v>2405872</v>
      </c>
      <c r="H51" s="764">
        <v>57865000</v>
      </c>
      <c r="I51" s="631">
        <v>56176517</v>
      </c>
      <c r="J51" s="216">
        <f t="shared" si="4"/>
        <v>-1688483</v>
      </c>
      <c r="K51" s="213">
        <f t="shared" ref="K51:L54" si="14">B51+E51+H51</f>
        <v>137080000</v>
      </c>
      <c r="L51" s="213">
        <f t="shared" si="14"/>
        <v>136626209</v>
      </c>
      <c r="M51" s="213">
        <f t="shared" si="5"/>
        <v>-453791</v>
      </c>
      <c r="N51" s="273"/>
      <c r="O51" s="234">
        <v>345949984</v>
      </c>
      <c r="P51" s="640">
        <f>345949984-16401496-405332+4904400+2657517</f>
        <v>336705073</v>
      </c>
      <c r="Q51" s="216">
        <f t="shared" si="6"/>
        <v>-9244911</v>
      </c>
    </row>
    <row r="52" spans="1:193" s="23" customFormat="1" ht="26.4" x14ac:dyDescent="0.25">
      <c r="A52" s="262" t="s">
        <v>278</v>
      </c>
      <c r="B52" s="234">
        <f>'4.sz.tábla '!V4</f>
        <v>2971000</v>
      </c>
      <c r="C52" s="213">
        <v>2971000</v>
      </c>
      <c r="D52" s="216">
        <f t="shared" si="2"/>
        <v>0</v>
      </c>
      <c r="E52" s="234">
        <f>'4.sz.tábla '!V5</f>
        <v>400000</v>
      </c>
      <c r="F52" s="213">
        <v>400000</v>
      </c>
      <c r="G52" s="216">
        <f t="shared" si="3"/>
        <v>0</v>
      </c>
      <c r="H52" s="764">
        <f>'4.sz.tábla '!V6</f>
        <v>200000</v>
      </c>
      <c r="I52" s="631">
        <v>200000</v>
      </c>
      <c r="J52" s="216">
        <f t="shared" si="4"/>
        <v>0</v>
      </c>
      <c r="K52" s="213">
        <f t="shared" si="14"/>
        <v>3571000</v>
      </c>
      <c r="L52" s="213">
        <f t="shared" si="14"/>
        <v>3571000</v>
      </c>
      <c r="M52" s="213">
        <f t="shared" si="5"/>
        <v>0</v>
      </c>
      <c r="N52" s="273"/>
      <c r="O52" s="234">
        <f>'4.sz.tábla '!V8</f>
        <v>3000000</v>
      </c>
      <c r="P52" s="640">
        <v>3000000</v>
      </c>
      <c r="Q52" s="216">
        <f t="shared" si="6"/>
        <v>0</v>
      </c>
    </row>
    <row r="53" spans="1:193" s="30" customFormat="1" ht="15" customHeight="1" x14ac:dyDescent="0.25">
      <c r="A53" s="261" t="s">
        <v>268</v>
      </c>
      <c r="B53" s="233">
        <f>B45+B44</f>
        <v>55894000</v>
      </c>
      <c r="C53" s="161">
        <f>C45+C44</f>
        <v>57097186</v>
      </c>
      <c r="D53" s="215">
        <f t="shared" si="2"/>
        <v>1203186</v>
      </c>
      <c r="E53" s="233">
        <f>E45+E44</f>
        <v>170259000</v>
      </c>
      <c r="F53" s="161">
        <f t="shared" ref="F53:P53" si="15">F45+F44</f>
        <v>185010559</v>
      </c>
      <c r="G53" s="215">
        <f t="shared" si="3"/>
        <v>14751559</v>
      </c>
      <c r="H53" s="763">
        <f t="shared" si="15"/>
        <v>61253000</v>
      </c>
      <c r="I53" s="161">
        <f t="shared" si="15"/>
        <v>61939301</v>
      </c>
      <c r="J53" s="215">
        <f t="shared" si="4"/>
        <v>686301</v>
      </c>
      <c r="K53" s="161">
        <f t="shared" si="14"/>
        <v>287406000</v>
      </c>
      <c r="L53" s="161">
        <f t="shared" si="14"/>
        <v>304047046</v>
      </c>
      <c r="M53" s="161">
        <f t="shared" si="5"/>
        <v>16641046</v>
      </c>
      <c r="N53" s="253" t="e">
        <f t="shared" si="15"/>
        <v>#REF!</v>
      </c>
      <c r="O53" s="233">
        <f>O45+O44</f>
        <v>387058714</v>
      </c>
      <c r="P53" s="161">
        <f t="shared" si="15"/>
        <v>404863819</v>
      </c>
      <c r="Q53" s="215">
        <f t="shared" si="6"/>
        <v>17805105</v>
      </c>
      <c r="R53" s="29">
        <f>K50+K46+K42+K40+K34+K21+K15+K12</f>
        <v>287406000</v>
      </c>
      <c r="S53" s="29"/>
      <c r="T53" s="29"/>
    </row>
    <row r="54" spans="1:193" s="3" customFormat="1" ht="13.8" x14ac:dyDescent="0.25">
      <c r="A54" s="266" t="s">
        <v>279</v>
      </c>
      <c r="B54" s="233"/>
      <c r="C54" s="630"/>
      <c r="D54" s="215">
        <f t="shared" si="2"/>
        <v>0</v>
      </c>
      <c r="E54" s="233"/>
      <c r="F54" s="630"/>
      <c r="G54" s="215">
        <f t="shared" si="3"/>
        <v>0</v>
      </c>
      <c r="H54" s="763"/>
      <c r="I54" s="634"/>
      <c r="J54" s="215">
        <f t="shared" si="4"/>
        <v>0</v>
      </c>
      <c r="K54" s="161">
        <f t="shared" si="14"/>
        <v>0</v>
      </c>
      <c r="L54" s="161">
        <f t="shared" si="14"/>
        <v>0</v>
      </c>
      <c r="M54" s="161">
        <f t="shared" si="5"/>
        <v>0</v>
      </c>
      <c r="N54" s="277"/>
      <c r="O54" s="233"/>
      <c r="P54" s="630"/>
      <c r="Q54" s="215">
        <f t="shared" si="6"/>
        <v>0</v>
      </c>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row>
    <row r="55" spans="1:193" ht="13.8" x14ac:dyDescent="0.25">
      <c r="A55" s="267" t="s">
        <v>280</v>
      </c>
      <c r="B55" s="235">
        <v>1.5</v>
      </c>
      <c r="C55" s="214">
        <v>1.5</v>
      </c>
      <c r="D55" s="762">
        <f t="shared" si="2"/>
        <v>0</v>
      </c>
      <c r="E55" s="234">
        <v>12</v>
      </c>
      <c r="F55" s="214">
        <v>12</v>
      </c>
      <c r="G55" s="762">
        <f t="shared" si="3"/>
        <v>0</v>
      </c>
      <c r="H55" s="765">
        <v>5</v>
      </c>
      <c r="I55" s="218">
        <v>5</v>
      </c>
      <c r="J55" s="762">
        <f t="shared" si="4"/>
        <v>0</v>
      </c>
      <c r="K55" s="235">
        <f t="shared" ref="K55:L59" si="16">B55+E55+H55</f>
        <v>18.5</v>
      </c>
      <c r="L55" s="235">
        <f t="shared" si="16"/>
        <v>18.5</v>
      </c>
      <c r="M55" s="214">
        <f t="shared" si="5"/>
        <v>0</v>
      </c>
      <c r="N55" s="254" t="e">
        <f>#REF!+#REF!+#REF!+#REF!+#REF!+B55+#REF!+E55+H55+K55</f>
        <v>#REF!</v>
      </c>
      <c r="O55" s="235">
        <v>5</v>
      </c>
      <c r="P55" s="214">
        <v>5</v>
      </c>
      <c r="Q55" s="762">
        <f t="shared" si="6"/>
        <v>0</v>
      </c>
    </row>
    <row r="56" spans="1:193" ht="13.8" x14ac:dyDescent="0.25">
      <c r="A56" s="267" t="s">
        <v>281</v>
      </c>
      <c r="B56" s="235">
        <v>9.5</v>
      </c>
      <c r="C56" s="214">
        <v>9.5</v>
      </c>
      <c r="D56" s="762">
        <f t="shared" si="2"/>
        <v>0</v>
      </c>
      <c r="E56" s="234">
        <v>18</v>
      </c>
      <c r="F56" s="214">
        <v>18</v>
      </c>
      <c r="G56" s="762">
        <f t="shared" si="3"/>
        <v>0</v>
      </c>
      <c r="H56" s="765">
        <v>9</v>
      </c>
      <c r="I56" s="218">
        <v>9</v>
      </c>
      <c r="J56" s="762">
        <f t="shared" si="4"/>
        <v>0</v>
      </c>
      <c r="K56" s="235">
        <f t="shared" si="16"/>
        <v>36.5</v>
      </c>
      <c r="L56" s="235">
        <f t="shared" si="16"/>
        <v>36.5</v>
      </c>
      <c r="M56" s="214">
        <f t="shared" si="5"/>
        <v>0</v>
      </c>
      <c r="N56" s="254" t="e">
        <f>#REF!+#REF!+#REF!+#REF!+#REF!+B56+#REF!+E56+H56+K56</f>
        <v>#REF!</v>
      </c>
      <c r="O56" s="235">
        <v>71</v>
      </c>
      <c r="P56" s="214">
        <v>71</v>
      </c>
      <c r="Q56" s="762">
        <f t="shared" si="6"/>
        <v>0</v>
      </c>
    </row>
    <row r="57" spans="1:193" ht="13.8" x14ac:dyDescent="0.25">
      <c r="A57" s="267" t="s">
        <v>282</v>
      </c>
      <c r="B57" s="235"/>
      <c r="C57" s="214"/>
      <c r="D57" s="762">
        <f t="shared" si="2"/>
        <v>0</v>
      </c>
      <c r="E57" s="234">
        <v>0</v>
      </c>
      <c r="F57" s="214">
        <v>0</v>
      </c>
      <c r="G57" s="762">
        <f t="shared" si="3"/>
        <v>0</v>
      </c>
      <c r="H57" s="765"/>
      <c r="I57" s="218"/>
      <c r="J57" s="762">
        <f t="shared" si="4"/>
        <v>0</v>
      </c>
      <c r="K57" s="235">
        <f t="shared" si="16"/>
        <v>0</v>
      </c>
      <c r="L57" s="235">
        <f t="shared" si="16"/>
        <v>0</v>
      </c>
      <c r="M57" s="214">
        <f t="shared" si="5"/>
        <v>0</v>
      </c>
      <c r="N57" s="254" t="e">
        <f>#REF!+#REF!+#REF!+#REF!+#REF!+B57+#REF!+E57+H57+K57</f>
        <v>#REF!</v>
      </c>
      <c r="O57" s="235">
        <v>1</v>
      </c>
      <c r="P57" s="214">
        <v>1</v>
      </c>
      <c r="Q57" s="762">
        <f t="shared" si="6"/>
        <v>0</v>
      </c>
    </row>
    <row r="58" spans="1:193" ht="13.8" x14ac:dyDescent="0.25">
      <c r="A58" s="267" t="s">
        <v>283</v>
      </c>
      <c r="B58" s="235">
        <v>1</v>
      </c>
      <c r="C58" s="214">
        <v>1</v>
      </c>
      <c r="D58" s="762">
        <f t="shared" si="2"/>
        <v>0</v>
      </c>
      <c r="E58" s="234">
        <v>2</v>
      </c>
      <c r="F58" s="214">
        <v>2</v>
      </c>
      <c r="G58" s="762">
        <f t="shared" si="3"/>
        <v>0</v>
      </c>
      <c r="H58" s="765">
        <v>2</v>
      </c>
      <c r="I58" s="218">
        <v>2</v>
      </c>
      <c r="J58" s="762">
        <f t="shared" si="4"/>
        <v>0</v>
      </c>
      <c r="K58" s="235">
        <f t="shared" si="16"/>
        <v>5</v>
      </c>
      <c r="L58" s="235">
        <f t="shared" si="16"/>
        <v>5</v>
      </c>
      <c r="M58" s="214">
        <f t="shared" si="5"/>
        <v>0</v>
      </c>
      <c r="N58" s="254" t="e">
        <f>#REF!+#REF!+#REF!+#REF!+#REF!+B58+#REF!+E58+H58+K58</f>
        <v>#REF!</v>
      </c>
      <c r="O58" s="235"/>
      <c r="P58" s="214"/>
      <c r="Q58" s="762">
        <f t="shared" si="6"/>
        <v>0</v>
      </c>
    </row>
    <row r="59" spans="1:193" ht="13.8" x14ac:dyDescent="0.25">
      <c r="A59" s="267" t="s">
        <v>284</v>
      </c>
      <c r="B59" s="235">
        <f>SUM(B55:B58)</f>
        <v>12</v>
      </c>
      <c r="C59" s="235">
        <f>SUM(C55:C58)</f>
        <v>12</v>
      </c>
      <c r="D59" s="762">
        <f t="shared" si="2"/>
        <v>0</v>
      </c>
      <c r="E59" s="235">
        <f>SUM(E55:E58)</f>
        <v>32</v>
      </c>
      <c r="F59" s="214">
        <f>SUM(F55:F58)</f>
        <v>32</v>
      </c>
      <c r="G59" s="762">
        <f t="shared" si="3"/>
        <v>0</v>
      </c>
      <c r="H59" s="766">
        <f>SUM(H55:H58)</f>
        <v>16</v>
      </c>
      <c r="I59" s="218">
        <f>SUM(I55:I58)</f>
        <v>16</v>
      </c>
      <c r="J59" s="762">
        <f t="shared" si="4"/>
        <v>0</v>
      </c>
      <c r="K59" s="235">
        <f t="shared" si="16"/>
        <v>60</v>
      </c>
      <c r="L59" s="235">
        <f t="shared" si="16"/>
        <v>60</v>
      </c>
      <c r="M59" s="214">
        <f t="shared" si="5"/>
        <v>0</v>
      </c>
      <c r="N59" s="254" t="e">
        <f>#REF!+#REF!+#REF!+#REF!+#REF!+B59+#REF!+E59+H59+K59</f>
        <v>#REF!</v>
      </c>
      <c r="O59" s="235">
        <f>SUM(O55:O58)</f>
        <v>77</v>
      </c>
      <c r="P59" s="214">
        <f>SUM(P55:P58)</f>
        <v>77</v>
      </c>
      <c r="Q59" s="762">
        <f t="shared" si="6"/>
        <v>0</v>
      </c>
    </row>
    <row r="60" spans="1:193" ht="13.8" x14ac:dyDescent="0.25">
      <c r="A60" s="267" t="s">
        <v>285</v>
      </c>
      <c r="B60" s="234"/>
      <c r="C60" s="214"/>
      <c r="D60" s="762"/>
      <c r="E60" s="234"/>
      <c r="F60" s="214"/>
      <c r="G60" s="762"/>
      <c r="H60" s="234"/>
      <c r="I60" s="218"/>
      <c r="J60" s="762"/>
      <c r="K60" s="235"/>
      <c r="L60" s="235"/>
      <c r="M60" s="214"/>
      <c r="N60" s="254" t="e">
        <f>#REF!+#REF!+#REF!+#REF!+#REF!+B60+#REF!+E60+H60+K60</f>
        <v>#REF!</v>
      </c>
      <c r="O60" s="235">
        <v>2</v>
      </c>
      <c r="P60" s="214">
        <v>2</v>
      </c>
      <c r="Q60" s="762">
        <f t="shared" si="6"/>
        <v>0</v>
      </c>
    </row>
    <row r="61" spans="1:193" ht="13.8" x14ac:dyDescent="0.25">
      <c r="A61" s="267" t="s">
        <v>286</v>
      </c>
      <c r="B61" s="234"/>
      <c r="C61" s="214"/>
      <c r="D61" s="762"/>
      <c r="E61" s="234"/>
      <c r="F61" s="214"/>
      <c r="G61" s="762"/>
      <c r="H61" s="234"/>
      <c r="I61" s="218"/>
      <c r="J61" s="762"/>
      <c r="K61" s="235"/>
      <c r="L61" s="235"/>
      <c r="M61" s="214"/>
      <c r="N61" s="254"/>
      <c r="O61" s="235">
        <v>0</v>
      </c>
      <c r="P61" s="214"/>
      <c r="Q61" s="762">
        <f t="shared" si="6"/>
        <v>0</v>
      </c>
    </row>
    <row r="62" spans="1:193" ht="14.4" thickBot="1" x14ac:dyDescent="0.3">
      <c r="A62" s="268" t="s">
        <v>287</v>
      </c>
      <c r="B62" s="236"/>
      <c r="C62" s="332"/>
      <c r="D62" s="269"/>
      <c r="E62" s="236"/>
      <c r="F62" s="332"/>
      <c r="G62" s="269"/>
      <c r="H62" s="236"/>
      <c r="I62" s="635"/>
      <c r="J62" s="767"/>
      <c r="K62" s="236"/>
      <c r="L62" s="236"/>
      <c r="M62" s="636"/>
      <c r="N62" s="770" t="e">
        <f>#REF!+#REF!+#REF!+#REF!+#REF!+B62+#REF!+E62+H62+K62</f>
        <v>#REF!</v>
      </c>
      <c r="O62" s="280">
        <v>25</v>
      </c>
      <c r="P62" s="332">
        <v>25</v>
      </c>
      <c r="Q62" s="767">
        <f t="shared" si="6"/>
        <v>0</v>
      </c>
    </row>
    <row r="63" spans="1:193" ht="13.8" x14ac:dyDescent="0.25">
      <c r="K63" s="768"/>
      <c r="L63" s="769"/>
      <c r="M63" s="768"/>
      <c r="N63" s="769"/>
      <c r="O63" s="771">
        <f>K59+O59+O60+O62</f>
        <v>164</v>
      </c>
      <c r="P63" s="758">
        <f>L59+P59+P60+P62</f>
        <v>164</v>
      </c>
      <c r="Q63" s="758">
        <f t="shared" si="6"/>
        <v>0</v>
      </c>
    </row>
    <row r="64" spans="1:193" ht="13.8" x14ac:dyDescent="0.25">
      <c r="K64" s="768"/>
      <c r="L64" s="769"/>
      <c r="M64" s="768"/>
      <c r="N64" s="769"/>
      <c r="O64" s="214">
        <f>K58+O58+O62</f>
        <v>30</v>
      </c>
      <c r="P64" s="214">
        <f>L58+P58+P62</f>
        <v>30</v>
      </c>
      <c r="Q64" s="214">
        <f t="shared" si="6"/>
        <v>0</v>
      </c>
    </row>
    <row r="65" spans="11:17" ht="13.8" x14ac:dyDescent="0.25">
      <c r="K65" s="769"/>
      <c r="L65" s="769"/>
      <c r="M65" s="769"/>
      <c r="N65" s="769"/>
      <c r="O65" s="214">
        <f>K55+K56+K57</f>
        <v>55</v>
      </c>
      <c r="P65" s="214">
        <f>L55+L56+L57</f>
        <v>55</v>
      </c>
      <c r="Q65" s="214">
        <f t="shared" si="6"/>
        <v>0</v>
      </c>
    </row>
    <row r="66" spans="11:17" ht="13.8" x14ac:dyDescent="0.25">
      <c r="O66" s="214">
        <f>O55+O56</f>
        <v>76</v>
      </c>
      <c r="P66" s="214">
        <f>P55+P56</f>
        <v>76</v>
      </c>
      <c r="Q66" s="214">
        <f t="shared" si="6"/>
        <v>0</v>
      </c>
    </row>
    <row r="67" spans="11:17" ht="13.8" x14ac:dyDescent="0.25">
      <c r="O67" s="214">
        <f>O56+O57</f>
        <v>72</v>
      </c>
      <c r="P67" s="214">
        <f>P56+P57</f>
        <v>72</v>
      </c>
      <c r="Q67" s="214">
        <f t="shared" si="6"/>
        <v>0</v>
      </c>
    </row>
    <row r="68" spans="11:17" ht="13.8" x14ac:dyDescent="0.25">
      <c r="O68" s="214">
        <f>O62+O58+K58</f>
        <v>30</v>
      </c>
      <c r="P68" s="214">
        <f>P62+P58+L58</f>
        <v>30</v>
      </c>
      <c r="Q68" s="214">
        <f t="shared" si="6"/>
        <v>0</v>
      </c>
    </row>
    <row r="69" spans="11:17" ht="13.8" x14ac:dyDescent="0.25">
      <c r="O69" s="214">
        <f>SUM(O67:O68)</f>
        <v>102</v>
      </c>
      <c r="P69" s="214">
        <f>SUM(P67:P68)</f>
        <v>102</v>
      </c>
      <c r="Q69" s="214">
        <f t="shared" si="6"/>
        <v>0</v>
      </c>
    </row>
  </sheetData>
  <sheetProtection selectLockedCells="1" selectUnlockedCells="1"/>
  <mergeCells count="7">
    <mergeCell ref="A6:Q6"/>
    <mergeCell ref="A10:A11"/>
    <mergeCell ref="O10:Q10"/>
    <mergeCell ref="B10:D10"/>
    <mergeCell ref="E10:G10"/>
    <mergeCell ref="H10:J10"/>
    <mergeCell ref="K10:M10"/>
  </mergeCells>
  <phoneticPr fontId="28" type="noConversion"/>
  <printOptions horizontalCentered="1"/>
  <pageMargins left="2.75E-2" right="0.25" top="0.75" bottom="0.75" header="0.3" footer="0.3"/>
  <pageSetup paperSize="9" scale="44" firstPageNumber="0" fitToWidth="0" fitToHeight="0" orientation="landscape" r:id="rId1"/>
  <headerFooter alignWithMargins="0">
    <oddHeader xml:space="preserve">&amp;C
2/a. melléklet az önkormányzat 2017. évi költségvetéséről szóló 8/2017. (II.24.) önkormányzati rendeletéhez
&amp;R&amp;12
&amp;P. oldal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view="pageLayout" topLeftCell="B1" zoomScaleNormal="100" zoomScaleSheetLayoutView="78" workbookViewId="0">
      <selection activeCell="G18" sqref="G18"/>
    </sheetView>
  </sheetViews>
  <sheetFormatPr defaultRowHeight="13.8" x14ac:dyDescent="0.25"/>
  <cols>
    <col min="1" max="1" width="77.5546875" style="168" customWidth="1"/>
    <col min="2" max="2" width="8.44140625" style="168" customWidth="1"/>
    <col min="3" max="3" width="10.44140625" style="168" customWidth="1"/>
    <col min="4" max="4" width="11" style="168" bestFit="1" customWidth="1"/>
    <col min="5" max="5" width="15.33203125" style="168" customWidth="1"/>
    <col min="6" max="6" width="12.33203125" style="480" customWidth="1"/>
    <col min="7" max="7" width="14.6640625" style="480" customWidth="1"/>
    <col min="9" max="9" width="12.6640625" bestFit="1" customWidth="1"/>
  </cols>
  <sheetData>
    <row r="1" spans="1:7" x14ac:dyDescent="0.25">
      <c r="A1" s="1509" t="s">
        <v>944</v>
      </c>
      <c r="B1" s="1509"/>
      <c r="C1" s="1509"/>
      <c r="D1" s="1509"/>
      <c r="E1" s="1509"/>
      <c r="F1" s="1509"/>
      <c r="G1" s="1509"/>
    </row>
    <row r="2" spans="1:7" ht="14.4" thickBot="1" x14ac:dyDescent="0.3"/>
    <row r="3" spans="1:7" ht="26.4" customHeight="1" x14ac:dyDescent="0.25">
      <c r="A3" s="1516" t="s">
        <v>631</v>
      </c>
      <c r="B3" s="1518" t="s">
        <v>288</v>
      </c>
      <c r="C3" s="1520" t="s">
        <v>289</v>
      </c>
      <c r="D3" s="1522" t="s">
        <v>290</v>
      </c>
      <c r="E3" s="1514" t="s">
        <v>605</v>
      </c>
      <c r="F3" s="1510" t="s">
        <v>243</v>
      </c>
      <c r="G3" s="1512" t="s">
        <v>231</v>
      </c>
    </row>
    <row r="4" spans="1:7" ht="13.95" customHeight="1" thickBot="1" x14ac:dyDescent="0.3">
      <c r="A4" s="1517"/>
      <c r="B4" s="1519"/>
      <c r="C4" s="1521"/>
      <c r="D4" s="1523"/>
      <c r="E4" s="1515"/>
      <c r="F4" s="1511"/>
      <c r="G4" s="1513"/>
    </row>
    <row r="5" spans="1:7" x14ac:dyDescent="0.25">
      <c r="A5" s="820" t="s">
        <v>647</v>
      </c>
      <c r="B5" s="821"/>
      <c r="C5" s="822"/>
      <c r="D5" s="823"/>
      <c r="E5" s="824">
        <f>E6+E28</f>
        <v>427352737</v>
      </c>
      <c r="F5" s="847"/>
      <c r="G5" s="825">
        <f>G6+G28</f>
        <v>427352737</v>
      </c>
    </row>
    <row r="6" spans="1:7" x14ac:dyDescent="0.25">
      <c r="A6" s="169" t="s">
        <v>767</v>
      </c>
      <c r="B6" s="167"/>
      <c r="C6" s="170"/>
      <c r="D6" s="171"/>
      <c r="E6" s="826">
        <f>E7+E10+E20+E21+E23+E24+E26+E27</f>
        <v>426395665</v>
      </c>
      <c r="F6" s="848"/>
      <c r="G6" s="389">
        <f>G7+G10+G20+G21+G23+G24+G26+G27</f>
        <v>426395665</v>
      </c>
    </row>
    <row r="7" spans="1:7" x14ac:dyDescent="0.25">
      <c r="A7" s="169" t="s">
        <v>291</v>
      </c>
      <c r="B7" s="167"/>
      <c r="C7" s="172"/>
      <c r="D7" s="171"/>
      <c r="E7" s="827">
        <f>E8</f>
        <v>180635200</v>
      </c>
      <c r="F7" s="848"/>
      <c r="G7" s="390">
        <f>G8</f>
        <v>180635200</v>
      </c>
    </row>
    <row r="8" spans="1:7" x14ac:dyDescent="0.25">
      <c r="A8" s="163" t="s">
        <v>292</v>
      </c>
      <c r="B8" s="167"/>
      <c r="C8" s="173">
        <v>39.44</v>
      </c>
      <c r="D8" s="162">
        <v>4580000</v>
      </c>
      <c r="E8" s="828">
        <f>C8*D8</f>
        <v>180635200</v>
      </c>
      <c r="F8" s="848"/>
      <c r="G8" s="391">
        <f>E8+F8</f>
        <v>180635200</v>
      </c>
    </row>
    <row r="9" spans="1:7" x14ac:dyDescent="0.25">
      <c r="A9" s="163" t="s">
        <v>294</v>
      </c>
      <c r="B9" s="167"/>
      <c r="C9" s="172"/>
      <c r="D9" s="171"/>
      <c r="E9" s="829">
        <v>0</v>
      </c>
      <c r="F9" s="848"/>
      <c r="G9" s="392">
        <v>0</v>
      </c>
    </row>
    <row r="10" spans="1:7" x14ac:dyDescent="0.25">
      <c r="A10" s="174" t="s">
        <v>708</v>
      </c>
      <c r="B10" s="167"/>
      <c r="C10" s="172"/>
      <c r="D10" s="171"/>
      <c r="E10" s="827">
        <f>E11+E12+E13+E14+E15+E16+E17+E18</f>
        <v>0</v>
      </c>
      <c r="F10" s="848"/>
      <c r="G10" s="390">
        <f>G11+G12+G13+G14+G15+G16+G17+G18</f>
        <v>0</v>
      </c>
    </row>
    <row r="11" spans="1:7" x14ac:dyDescent="0.25">
      <c r="A11" s="175" t="s">
        <v>873</v>
      </c>
      <c r="B11" s="167"/>
      <c r="C11" s="172"/>
      <c r="D11" s="171">
        <v>22300</v>
      </c>
      <c r="E11" s="828">
        <v>15634530</v>
      </c>
      <c r="F11" s="848"/>
      <c r="G11" s="391">
        <f t="shared" ref="G11:G21" si="0">E11+F11</f>
        <v>15634530</v>
      </c>
    </row>
    <row r="12" spans="1:7" x14ac:dyDescent="0.25">
      <c r="A12" s="175" t="s">
        <v>294</v>
      </c>
      <c r="B12" s="167"/>
      <c r="C12" s="172"/>
      <c r="D12" s="171"/>
      <c r="E12" s="829">
        <v>-15634530</v>
      </c>
      <c r="F12" s="848"/>
      <c r="G12" s="391">
        <f t="shared" si="0"/>
        <v>-15634530</v>
      </c>
    </row>
    <row r="13" spans="1:7" x14ac:dyDescent="0.25">
      <c r="A13" s="175" t="s">
        <v>295</v>
      </c>
      <c r="B13" s="167"/>
      <c r="C13" s="170"/>
      <c r="D13" s="171"/>
      <c r="E13" s="828">
        <v>58240000</v>
      </c>
      <c r="F13" s="848"/>
      <c r="G13" s="391">
        <f t="shared" si="0"/>
        <v>58240000</v>
      </c>
    </row>
    <row r="14" spans="1:7" x14ac:dyDescent="0.25">
      <c r="A14" s="175" t="s">
        <v>294</v>
      </c>
      <c r="B14" s="167"/>
      <c r="C14" s="170"/>
      <c r="D14" s="171"/>
      <c r="E14" s="829">
        <v>-58240000</v>
      </c>
      <c r="F14" s="848"/>
      <c r="G14" s="391">
        <f t="shared" si="0"/>
        <v>-58240000</v>
      </c>
    </row>
    <row r="15" spans="1:7" x14ac:dyDescent="0.25">
      <c r="A15" s="175" t="s">
        <v>296</v>
      </c>
      <c r="B15" s="167"/>
      <c r="C15" s="170"/>
      <c r="D15" s="171"/>
      <c r="E15" s="828">
        <v>2176616</v>
      </c>
      <c r="F15" s="848"/>
      <c r="G15" s="391">
        <f t="shared" si="0"/>
        <v>2176616</v>
      </c>
    </row>
    <row r="16" spans="1:7" x14ac:dyDescent="0.25">
      <c r="A16" s="175" t="s">
        <v>294</v>
      </c>
      <c r="B16" s="167"/>
      <c r="C16" s="170"/>
      <c r="D16" s="171"/>
      <c r="E16" s="829">
        <v>-2176616</v>
      </c>
      <c r="F16" s="848"/>
      <c r="G16" s="391">
        <f t="shared" si="0"/>
        <v>-2176616</v>
      </c>
    </row>
    <row r="17" spans="1:7" x14ac:dyDescent="0.25">
      <c r="A17" s="175" t="s">
        <v>297</v>
      </c>
      <c r="B17" s="167"/>
      <c r="C17" s="170"/>
      <c r="D17" s="171"/>
      <c r="E17" s="828">
        <v>22310850</v>
      </c>
      <c r="F17" s="848"/>
      <c r="G17" s="391">
        <f t="shared" si="0"/>
        <v>22310850</v>
      </c>
    </row>
    <row r="18" spans="1:7" x14ac:dyDescent="0.25">
      <c r="A18" s="175" t="s">
        <v>294</v>
      </c>
      <c r="B18" s="167"/>
      <c r="C18" s="170"/>
      <c r="D18" s="171"/>
      <c r="E18" s="829">
        <v>-22310850</v>
      </c>
      <c r="F18" s="848"/>
      <c r="G18" s="391">
        <f t="shared" si="0"/>
        <v>-22310850</v>
      </c>
    </row>
    <row r="19" spans="1:7" x14ac:dyDescent="0.25">
      <c r="A19" s="169" t="s">
        <v>709</v>
      </c>
      <c r="B19" s="167"/>
      <c r="C19" s="170"/>
      <c r="D19" s="171"/>
      <c r="E19" s="826">
        <f>E20+E21</f>
        <v>0</v>
      </c>
      <c r="F19" s="848"/>
      <c r="G19" s="389">
        <f>G20+G21</f>
        <v>0</v>
      </c>
    </row>
    <row r="20" spans="1:7" x14ac:dyDescent="0.25">
      <c r="A20" s="163" t="s">
        <v>636</v>
      </c>
      <c r="B20" s="166"/>
      <c r="C20" s="166"/>
      <c r="D20" s="162">
        <v>2700</v>
      </c>
      <c r="E20" s="828">
        <v>37670400</v>
      </c>
      <c r="F20" s="848"/>
      <c r="G20" s="391">
        <f t="shared" si="0"/>
        <v>37670400</v>
      </c>
    </row>
    <row r="21" spans="1:7" x14ac:dyDescent="0.25">
      <c r="A21" s="175" t="s">
        <v>294</v>
      </c>
      <c r="B21" s="167"/>
      <c r="C21" s="176"/>
      <c r="D21" s="162"/>
      <c r="E21" s="828">
        <v>-37670400</v>
      </c>
      <c r="F21" s="848"/>
      <c r="G21" s="391">
        <f t="shared" si="0"/>
        <v>-37670400</v>
      </c>
    </row>
    <row r="22" spans="1:7" x14ac:dyDescent="0.25">
      <c r="A22" s="169" t="s">
        <v>710</v>
      </c>
      <c r="B22" s="167"/>
      <c r="C22" s="176"/>
      <c r="D22" s="162"/>
      <c r="E22" s="827">
        <f>E23+E24</f>
        <v>0</v>
      </c>
      <c r="F22" s="848"/>
      <c r="G22" s="390">
        <f>G23+G24</f>
        <v>0</v>
      </c>
    </row>
    <row r="23" spans="1:7" x14ac:dyDescent="0.25">
      <c r="A23" s="163" t="s">
        <v>324</v>
      </c>
      <c r="B23" s="167"/>
      <c r="C23" s="176"/>
      <c r="D23" s="177"/>
      <c r="E23" s="830">
        <v>311100</v>
      </c>
      <c r="F23" s="848"/>
      <c r="G23" s="396">
        <f t="shared" ref="G23:G24" si="1">E23+F23</f>
        <v>311100</v>
      </c>
    </row>
    <row r="24" spans="1:7" x14ac:dyDescent="0.25">
      <c r="A24" s="175" t="s">
        <v>294</v>
      </c>
      <c r="B24" s="167"/>
      <c r="C24" s="170"/>
      <c r="D24" s="178"/>
      <c r="E24" s="791">
        <v>-311100</v>
      </c>
      <c r="F24" s="848"/>
      <c r="G24" s="396">
        <f t="shared" si="1"/>
        <v>-311100</v>
      </c>
    </row>
    <row r="25" spans="1:7" x14ac:dyDescent="0.25">
      <c r="A25" s="179" t="s">
        <v>711</v>
      </c>
      <c r="B25" s="167"/>
      <c r="C25" s="176"/>
      <c r="D25" s="162"/>
      <c r="E25" s="831">
        <f>SUM(E26:E27)</f>
        <v>245760465</v>
      </c>
      <c r="F25" s="848"/>
      <c r="G25" s="395">
        <f>SUM(G26:G27)</f>
        <v>245760465</v>
      </c>
    </row>
    <row r="26" spans="1:7" x14ac:dyDescent="0.25">
      <c r="A26" s="180" t="s">
        <v>712</v>
      </c>
      <c r="B26" s="167"/>
      <c r="C26" s="176"/>
      <c r="D26" s="162"/>
      <c r="E26" s="832">
        <v>295274000</v>
      </c>
      <c r="F26" s="848"/>
      <c r="G26" s="396">
        <f t="shared" ref="G26:G27" si="2">E26+F26</f>
        <v>295274000</v>
      </c>
    </row>
    <row r="27" spans="1:7" x14ac:dyDescent="0.25">
      <c r="A27" s="175" t="s">
        <v>294</v>
      </c>
      <c r="B27" s="167"/>
      <c r="C27" s="176"/>
      <c r="D27" s="162"/>
      <c r="E27" s="828">
        <v>-49513535</v>
      </c>
      <c r="F27" s="848"/>
      <c r="G27" s="396">
        <f t="shared" si="2"/>
        <v>-49513535</v>
      </c>
    </row>
    <row r="28" spans="1:7" x14ac:dyDescent="0.25">
      <c r="A28" s="174" t="s">
        <v>147</v>
      </c>
      <c r="B28" s="167"/>
      <c r="C28" s="170"/>
      <c r="D28" s="171"/>
      <c r="E28" s="794">
        <v>957072</v>
      </c>
      <c r="F28" s="848"/>
      <c r="G28" s="401">
        <v>957072</v>
      </c>
    </row>
    <row r="29" spans="1:7" x14ac:dyDescent="0.25">
      <c r="A29" s="175"/>
      <c r="B29" s="167"/>
      <c r="C29" s="176"/>
      <c r="D29" s="162"/>
      <c r="E29" s="828"/>
      <c r="F29" s="848"/>
      <c r="G29" s="396"/>
    </row>
    <row r="30" spans="1:7" x14ac:dyDescent="0.25">
      <c r="A30" s="169" t="s">
        <v>713</v>
      </c>
      <c r="B30" s="167"/>
      <c r="C30" s="176"/>
      <c r="D30" s="162"/>
      <c r="E30" s="833">
        <f>SUM(E31:E38)</f>
        <v>263108980</v>
      </c>
      <c r="F30" s="833">
        <f>SUM(F31:F38)</f>
        <v>1762300</v>
      </c>
      <c r="G30" s="397">
        <f>SUM(G31:G38)</f>
        <v>264871280</v>
      </c>
    </row>
    <row r="31" spans="1:7" x14ac:dyDescent="0.25">
      <c r="A31" s="163" t="s">
        <v>316</v>
      </c>
      <c r="B31" s="166">
        <v>37.799999999999997</v>
      </c>
      <c r="C31" s="181">
        <f t="shared" ref="C31:C37" si="3">E31/D31</f>
        <v>25.2</v>
      </c>
      <c r="D31" s="162">
        <v>4469900</v>
      </c>
      <c r="E31" s="834">
        <v>112641480</v>
      </c>
      <c r="F31" s="848">
        <v>1489967</v>
      </c>
      <c r="G31" s="396">
        <f>E31+F31</f>
        <v>114131447</v>
      </c>
    </row>
    <row r="32" spans="1:7" x14ac:dyDescent="0.25">
      <c r="A32" s="163" t="s">
        <v>317</v>
      </c>
      <c r="B32" s="166">
        <v>30</v>
      </c>
      <c r="C32" s="181">
        <f t="shared" si="3"/>
        <v>20</v>
      </c>
      <c r="D32" s="162">
        <v>1800000</v>
      </c>
      <c r="E32" s="834">
        <v>36000000</v>
      </c>
      <c r="F32" s="848"/>
      <c r="G32" s="396">
        <f t="shared" ref="G32:G38" si="4">E32+F32</f>
        <v>36000000</v>
      </c>
    </row>
    <row r="33" spans="1:9" x14ac:dyDescent="0.25">
      <c r="A33" s="163" t="s">
        <v>318</v>
      </c>
      <c r="B33" s="166">
        <v>36.6</v>
      </c>
      <c r="C33" s="181">
        <f t="shared" si="3"/>
        <v>12.2</v>
      </c>
      <c r="D33" s="162">
        <v>4469900</v>
      </c>
      <c r="E33" s="834">
        <v>54532780</v>
      </c>
      <c r="F33" s="848"/>
      <c r="G33" s="396">
        <f t="shared" si="4"/>
        <v>54532780</v>
      </c>
    </row>
    <row r="34" spans="1:9" x14ac:dyDescent="0.25">
      <c r="A34" s="163" t="s">
        <v>320</v>
      </c>
      <c r="B34" s="166">
        <v>30</v>
      </c>
      <c r="C34" s="181">
        <f t="shared" si="3"/>
        <v>10</v>
      </c>
      <c r="D34" s="162">
        <v>1800000</v>
      </c>
      <c r="E34" s="834">
        <v>18000000</v>
      </c>
      <c r="F34" s="848"/>
      <c r="G34" s="396">
        <f t="shared" si="4"/>
        <v>18000000</v>
      </c>
    </row>
    <row r="35" spans="1:9" s="328" customFormat="1" x14ac:dyDescent="0.25">
      <c r="A35" s="163" t="s">
        <v>319</v>
      </c>
      <c r="B35" s="166">
        <v>36.6</v>
      </c>
      <c r="C35" s="181">
        <f t="shared" si="3"/>
        <v>36.6</v>
      </c>
      <c r="D35" s="176">
        <v>38200</v>
      </c>
      <c r="E35" s="791">
        <v>1398120</v>
      </c>
      <c r="F35" s="789"/>
      <c r="G35" s="396">
        <f t="shared" si="4"/>
        <v>1398120</v>
      </c>
    </row>
    <row r="36" spans="1:9" x14ac:dyDescent="0.25">
      <c r="A36" s="163" t="s">
        <v>232</v>
      </c>
      <c r="B36" s="166">
        <v>414</v>
      </c>
      <c r="C36" s="181">
        <f t="shared" si="3"/>
        <v>276</v>
      </c>
      <c r="D36" s="162">
        <v>81700</v>
      </c>
      <c r="E36" s="834">
        <v>22549200</v>
      </c>
      <c r="F36" s="848">
        <v>272333</v>
      </c>
      <c r="G36" s="396">
        <f t="shared" si="4"/>
        <v>22821533</v>
      </c>
    </row>
    <row r="37" spans="1:9" x14ac:dyDescent="0.25">
      <c r="A37" s="163" t="s">
        <v>233</v>
      </c>
      <c r="B37" s="166">
        <v>399</v>
      </c>
      <c r="C37" s="181">
        <f t="shared" si="3"/>
        <v>135.82624999999999</v>
      </c>
      <c r="D37" s="162">
        <v>80000</v>
      </c>
      <c r="E37" s="834">
        <v>10866100</v>
      </c>
      <c r="F37" s="848"/>
      <c r="G37" s="396">
        <f t="shared" si="4"/>
        <v>10866100</v>
      </c>
    </row>
    <row r="38" spans="1:9" ht="14.4" thickBot="1" x14ac:dyDescent="0.3">
      <c r="A38" s="835" t="s">
        <v>874</v>
      </c>
      <c r="B38" s="208">
        <v>17</v>
      </c>
      <c r="C38" s="208">
        <v>17</v>
      </c>
      <c r="D38" s="836">
        <v>418900</v>
      </c>
      <c r="E38" s="863">
        <f>D38*C38</f>
        <v>7121300</v>
      </c>
      <c r="F38" s="849"/>
      <c r="G38" s="868">
        <f t="shared" si="4"/>
        <v>7121300</v>
      </c>
    </row>
    <row r="39" spans="1:9" x14ac:dyDescent="0.25">
      <c r="A39" s="818"/>
      <c r="B39" s="782"/>
      <c r="C39" s="782"/>
      <c r="D39" s="851"/>
      <c r="E39" s="852"/>
      <c r="F39" s="853"/>
      <c r="G39" s="852"/>
    </row>
    <row r="40" spans="1:9" ht="14.4" thickBot="1" x14ac:dyDescent="0.3">
      <c r="A40" s="818"/>
      <c r="B40" s="782"/>
      <c r="C40" s="782"/>
      <c r="D40" s="851"/>
      <c r="E40" s="852"/>
      <c r="F40" s="853"/>
      <c r="G40" s="853"/>
    </row>
    <row r="41" spans="1:9" ht="42" customHeight="1" thickBot="1" x14ac:dyDescent="0.3">
      <c r="A41" s="857" t="s">
        <v>631</v>
      </c>
      <c r="B41" s="858" t="s">
        <v>288</v>
      </c>
      <c r="C41" s="858" t="s">
        <v>289</v>
      </c>
      <c r="D41" s="859" t="s">
        <v>290</v>
      </c>
      <c r="E41" s="861" t="s">
        <v>605</v>
      </c>
      <c r="F41" s="862" t="s">
        <v>243</v>
      </c>
      <c r="G41" s="860" t="s">
        <v>231</v>
      </c>
    </row>
    <row r="42" spans="1:9" ht="13.95" customHeight="1" x14ac:dyDescent="0.25">
      <c r="A42" s="820" t="s">
        <v>648</v>
      </c>
      <c r="B42" s="821"/>
      <c r="C42" s="854"/>
      <c r="D42" s="837"/>
      <c r="E42" s="855">
        <f>E43+E46+E60</f>
        <v>173304879</v>
      </c>
      <c r="F42" s="855">
        <f>F43+F46+F60+F64+F65</f>
        <v>13238670</v>
      </c>
      <c r="G42" s="856">
        <f>G43+G46+G60+G64+G65</f>
        <v>186543549</v>
      </c>
      <c r="I42" s="329">
        <f>E42+F42</f>
        <v>186543549</v>
      </c>
    </row>
    <row r="43" spans="1:9" x14ac:dyDescent="0.25">
      <c r="A43" s="169" t="s">
        <v>298</v>
      </c>
      <c r="B43" s="167"/>
      <c r="C43" s="176"/>
      <c r="D43" s="162"/>
      <c r="E43" s="833">
        <f>SUM(E44:E45)</f>
        <v>0</v>
      </c>
      <c r="F43" s="848"/>
      <c r="G43" s="396"/>
    </row>
    <row r="44" spans="1:9" x14ac:dyDescent="0.25">
      <c r="A44" s="163" t="s">
        <v>639</v>
      </c>
      <c r="B44" s="167"/>
      <c r="C44" s="176"/>
      <c r="D44" s="162"/>
      <c r="E44" s="834"/>
      <c r="F44" s="848"/>
      <c r="G44" s="396"/>
    </row>
    <row r="45" spans="1:9" x14ac:dyDescent="0.25">
      <c r="A45" s="163" t="s">
        <v>638</v>
      </c>
      <c r="B45" s="167"/>
      <c r="C45" s="176"/>
      <c r="D45" s="162"/>
      <c r="E45" s="834"/>
      <c r="F45" s="848"/>
      <c r="G45" s="396"/>
    </row>
    <row r="46" spans="1:9" x14ac:dyDescent="0.25">
      <c r="A46" s="169" t="s">
        <v>299</v>
      </c>
      <c r="B46" s="166"/>
      <c r="C46" s="176"/>
      <c r="D46" s="162"/>
      <c r="E46" s="833">
        <f>E47+E48+E49+E50+E52+E53+E57+E51</f>
        <v>94435880</v>
      </c>
      <c r="F46" s="833">
        <f>F47+F48+F49+F50+F52+F53+F57+F51</f>
        <v>0</v>
      </c>
      <c r="G46" s="397">
        <f>G47+G48+G49+G50+G52+G53+G57+G51</f>
        <v>94435880</v>
      </c>
    </row>
    <row r="47" spans="1:9" ht="14.4" x14ac:dyDescent="0.3">
      <c r="A47" s="183" t="s">
        <v>714</v>
      </c>
      <c r="B47" s="166"/>
      <c r="C47" s="173">
        <f>E47/D47</f>
        <v>7.6</v>
      </c>
      <c r="D47" s="162">
        <v>3000000</v>
      </c>
      <c r="E47" s="834">
        <v>22800000</v>
      </c>
      <c r="F47" s="848"/>
      <c r="G47" s="396">
        <f t="shared" ref="G47:G56" si="5">E47+F47</f>
        <v>22800000</v>
      </c>
    </row>
    <row r="48" spans="1:9" ht="14.4" x14ac:dyDescent="0.3">
      <c r="A48" s="183" t="s">
        <v>715</v>
      </c>
      <c r="B48" s="166"/>
      <c r="C48" s="173">
        <f>E48/D48</f>
        <v>3.7</v>
      </c>
      <c r="D48" s="162">
        <v>3000000</v>
      </c>
      <c r="E48" s="834">
        <v>11100000</v>
      </c>
      <c r="F48" s="848"/>
      <c r="G48" s="396">
        <f t="shared" si="5"/>
        <v>11100000</v>
      </c>
    </row>
    <row r="49" spans="1:7" x14ac:dyDescent="0.25">
      <c r="A49" s="163" t="s">
        <v>305</v>
      </c>
      <c r="B49" s="166">
        <v>100</v>
      </c>
      <c r="C49" s="176">
        <v>100</v>
      </c>
      <c r="D49" s="162">
        <v>55360</v>
      </c>
      <c r="E49" s="834">
        <f>C49*D49</f>
        <v>5536000</v>
      </c>
      <c r="F49" s="848"/>
      <c r="G49" s="396">
        <f t="shared" si="5"/>
        <v>5536000</v>
      </c>
    </row>
    <row r="50" spans="1:7" x14ac:dyDescent="0.25">
      <c r="A50" s="163" t="s">
        <v>875</v>
      </c>
      <c r="B50" s="166">
        <v>12</v>
      </c>
      <c r="C50" s="176">
        <v>12</v>
      </c>
      <c r="D50" s="162">
        <v>25000</v>
      </c>
      <c r="E50" s="834">
        <f>C50*D50</f>
        <v>300000</v>
      </c>
      <c r="F50" s="848"/>
      <c r="G50" s="396">
        <f t="shared" si="5"/>
        <v>300000</v>
      </c>
    </row>
    <row r="51" spans="1:7" x14ac:dyDescent="0.25">
      <c r="A51" s="163" t="s">
        <v>0</v>
      </c>
      <c r="B51" s="166">
        <v>25</v>
      </c>
      <c r="C51" s="176">
        <v>25</v>
      </c>
      <c r="D51" s="162">
        <v>273000</v>
      </c>
      <c r="E51" s="834">
        <v>6825000</v>
      </c>
      <c r="F51" s="848"/>
      <c r="G51" s="396">
        <f t="shared" si="5"/>
        <v>6825000</v>
      </c>
    </row>
    <row r="52" spans="1:7" x14ac:dyDescent="0.25">
      <c r="A52" s="184" t="s">
        <v>716</v>
      </c>
      <c r="B52" s="166">
        <v>43</v>
      </c>
      <c r="C52" s="176">
        <v>43</v>
      </c>
      <c r="D52" s="177">
        <v>163500</v>
      </c>
      <c r="E52" s="834">
        <f>C52*D52</f>
        <v>7030500</v>
      </c>
      <c r="F52" s="848"/>
      <c r="G52" s="396">
        <f t="shared" si="5"/>
        <v>7030500</v>
      </c>
    </row>
    <row r="53" spans="1:7" ht="14.4" x14ac:dyDescent="0.3">
      <c r="A53" s="183" t="s">
        <v>308</v>
      </c>
      <c r="B53" s="185"/>
      <c r="C53" s="186"/>
      <c r="D53" s="187"/>
      <c r="E53" s="834">
        <f>E54+E55+E56</f>
        <v>16060000</v>
      </c>
      <c r="F53" s="848"/>
      <c r="G53" s="396">
        <f t="shared" si="5"/>
        <v>16060000</v>
      </c>
    </row>
    <row r="54" spans="1:7" x14ac:dyDescent="0.25">
      <c r="A54" s="163" t="s">
        <v>649</v>
      </c>
      <c r="B54" s="166">
        <v>13</v>
      </c>
      <c r="C54" s="176">
        <v>13</v>
      </c>
      <c r="D54" s="162">
        <v>550000</v>
      </c>
      <c r="E54" s="834">
        <f>C54*D54</f>
        <v>7150000</v>
      </c>
      <c r="F54" s="848"/>
      <c r="G54" s="396">
        <f t="shared" si="5"/>
        <v>7150000</v>
      </c>
    </row>
    <row r="55" spans="1:7" x14ac:dyDescent="0.25">
      <c r="A55" s="184" t="s">
        <v>310</v>
      </c>
      <c r="B55" s="166">
        <v>23</v>
      </c>
      <c r="C55" s="176">
        <v>23</v>
      </c>
      <c r="D55" s="162">
        <v>220000</v>
      </c>
      <c r="E55" s="834">
        <f>C55*D55</f>
        <v>5060000</v>
      </c>
      <c r="F55" s="848"/>
      <c r="G55" s="396">
        <f t="shared" si="5"/>
        <v>5060000</v>
      </c>
    </row>
    <row r="56" spans="1:7" x14ac:dyDescent="0.25">
      <c r="A56" s="180" t="s">
        <v>650</v>
      </c>
      <c r="B56" s="166">
        <v>7</v>
      </c>
      <c r="C56" s="176">
        <v>7</v>
      </c>
      <c r="D56" s="162">
        <v>550000</v>
      </c>
      <c r="E56" s="834">
        <f>C56*D56</f>
        <v>3850000</v>
      </c>
      <c r="F56" s="848"/>
      <c r="G56" s="396">
        <f t="shared" si="5"/>
        <v>3850000</v>
      </c>
    </row>
    <row r="57" spans="1:7" ht="14.4" x14ac:dyDescent="0.3">
      <c r="A57" s="183" t="s">
        <v>311</v>
      </c>
      <c r="B57" s="167"/>
      <c r="C57" s="176"/>
      <c r="D57" s="162"/>
      <c r="E57" s="833">
        <f>SUM(E58:E59)</f>
        <v>24784380</v>
      </c>
      <c r="F57" s="850"/>
      <c r="G57" s="397">
        <f>SUM(G58:G59)</f>
        <v>24784380</v>
      </c>
    </row>
    <row r="58" spans="1:7" x14ac:dyDescent="0.25">
      <c r="A58" s="163" t="s">
        <v>312</v>
      </c>
      <c r="B58" s="166">
        <v>41</v>
      </c>
      <c r="C58" s="176">
        <v>41</v>
      </c>
      <c r="D58" s="162">
        <v>494100</v>
      </c>
      <c r="E58" s="834">
        <f>C58*D58</f>
        <v>20258100</v>
      </c>
      <c r="F58" s="848"/>
      <c r="G58" s="396">
        <f t="shared" ref="G58:G59" si="6">E58+F58</f>
        <v>20258100</v>
      </c>
    </row>
    <row r="59" spans="1:7" ht="27.6" x14ac:dyDescent="0.25">
      <c r="A59" s="184" t="s">
        <v>723</v>
      </c>
      <c r="B59" s="166">
        <v>3</v>
      </c>
      <c r="C59" s="176">
        <v>3</v>
      </c>
      <c r="D59" s="162">
        <v>1508760</v>
      </c>
      <c r="E59" s="834">
        <v>4526280</v>
      </c>
      <c r="F59" s="848"/>
      <c r="G59" s="396">
        <f t="shared" si="6"/>
        <v>4526280</v>
      </c>
    </row>
    <row r="60" spans="1:7" x14ac:dyDescent="0.25">
      <c r="A60" s="169" t="s">
        <v>313</v>
      </c>
      <c r="B60" s="167"/>
      <c r="C60" s="188"/>
      <c r="D60" s="171">
        <v>1632000</v>
      </c>
      <c r="E60" s="833">
        <f>E61+E62+E63</f>
        <v>78868999</v>
      </c>
      <c r="F60" s="833">
        <f>F61+F62+F63</f>
        <v>-17100</v>
      </c>
      <c r="G60" s="397">
        <f>G61+G62+G63</f>
        <v>78851899</v>
      </c>
    </row>
    <row r="61" spans="1:7" x14ac:dyDescent="0.25">
      <c r="A61" s="163" t="s">
        <v>314</v>
      </c>
      <c r="B61" s="166"/>
      <c r="C61" s="166">
        <v>26.38</v>
      </c>
      <c r="D61" s="162">
        <v>1632000</v>
      </c>
      <c r="E61" s="834">
        <v>43052160</v>
      </c>
      <c r="F61" s="848"/>
      <c r="G61" s="396">
        <f t="shared" ref="G61:G62" si="7">E61+F61</f>
        <v>43052160</v>
      </c>
    </row>
    <row r="62" spans="1:7" x14ac:dyDescent="0.25">
      <c r="A62" s="163" t="s">
        <v>315</v>
      </c>
      <c r="B62" s="166">
        <v>1194</v>
      </c>
      <c r="C62" s="189"/>
      <c r="D62" s="162"/>
      <c r="E62" s="834">
        <v>35089063</v>
      </c>
      <c r="F62" s="848"/>
      <c r="G62" s="396">
        <f t="shared" si="7"/>
        <v>35089063</v>
      </c>
    </row>
    <row r="63" spans="1:7" x14ac:dyDescent="0.25">
      <c r="A63" s="163" t="s">
        <v>717</v>
      </c>
      <c r="B63" s="167">
        <v>2128</v>
      </c>
      <c r="C63" s="189">
        <v>2128</v>
      </c>
      <c r="D63" s="162">
        <v>342</v>
      </c>
      <c r="E63" s="834">
        <v>727776</v>
      </c>
      <c r="F63" s="848">
        <v>-17100</v>
      </c>
      <c r="G63" s="396">
        <f>E63+F63</f>
        <v>710676</v>
      </c>
    </row>
    <row r="64" spans="1:7" x14ac:dyDescent="0.25">
      <c r="A64" s="163" t="s">
        <v>244</v>
      </c>
      <c r="B64" s="166"/>
      <c r="C64" s="166"/>
      <c r="D64" s="162"/>
      <c r="E64" s="834"/>
      <c r="F64" s="848">
        <v>11732993</v>
      </c>
      <c r="G64" s="398">
        <f>F64+E64</f>
        <v>11732993</v>
      </c>
    </row>
    <row r="65" spans="1:10" x14ac:dyDescent="0.25">
      <c r="A65" s="163" t="s">
        <v>245</v>
      </c>
      <c r="B65" s="166"/>
      <c r="C65" s="166"/>
      <c r="D65" s="162"/>
      <c r="E65" s="838"/>
      <c r="F65" s="848">
        <v>1522777</v>
      </c>
      <c r="G65" s="398">
        <f>F65+E65</f>
        <v>1522777</v>
      </c>
    </row>
    <row r="66" spans="1:10" x14ac:dyDescent="0.25">
      <c r="A66" s="163"/>
      <c r="B66" s="166"/>
      <c r="C66" s="166"/>
      <c r="D66" s="162"/>
      <c r="E66" s="838"/>
      <c r="F66" s="848"/>
      <c r="G66" s="396"/>
    </row>
    <row r="67" spans="1:10" x14ac:dyDescent="0.25">
      <c r="A67" s="190" t="s">
        <v>321</v>
      </c>
      <c r="B67" s="164"/>
      <c r="C67" s="164"/>
      <c r="D67" s="164"/>
      <c r="E67" s="831">
        <f>E68</f>
        <v>15905280</v>
      </c>
      <c r="F67" s="850">
        <f>F68+F69+F70</f>
        <v>1471941</v>
      </c>
      <c r="G67" s="398">
        <f>G68+G69+G70</f>
        <v>17377221</v>
      </c>
    </row>
    <row r="68" spans="1:10" x14ac:dyDescent="0.25">
      <c r="A68" s="191" t="s">
        <v>322</v>
      </c>
      <c r="B68" s="176"/>
      <c r="C68" s="176"/>
      <c r="D68" s="162"/>
      <c r="E68" s="830">
        <v>15905280</v>
      </c>
      <c r="F68" s="848"/>
      <c r="G68" s="393">
        <v>15905280</v>
      </c>
    </row>
    <row r="69" spans="1:10" x14ac:dyDescent="0.25">
      <c r="A69" s="180" t="s">
        <v>768</v>
      </c>
      <c r="B69" s="176"/>
      <c r="C69" s="176"/>
      <c r="D69" s="162"/>
      <c r="E69" s="830"/>
      <c r="F69" s="848"/>
      <c r="G69" s="396"/>
    </row>
    <row r="70" spans="1:10" x14ac:dyDescent="0.25">
      <c r="A70" s="180" t="s">
        <v>235</v>
      </c>
      <c r="B70" s="176"/>
      <c r="C70" s="176"/>
      <c r="D70" s="162"/>
      <c r="E70" s="830"/>
      <c r="F70" s="848">
        <v>1471941</v>
      </c>
      <c r="G70" s="396">
        <f>E70+F70</f>
        <v>1471941</v>
      </c>
    </row>
    <row r="71" spans="1:10" x14ac:dyDescent="0.25">
      <c r="A71" s="180"/>
      <c r="B71" s="176"/>
      <c r="C71" s="176"/>
      <c r="D71" s="162"/>
      <c r="E71" s="830"/>
      <c r="F71" s="848"/>
      <c r="G71" s="396"/>
    </row>
    <row r="72" spans="1:10" s="245" customFormat="1" x14ac:dyDescent="0.25">
      <c r="A72" s="179" t="s">
        <v>685</v>
      </c>
      <c r="B72" s="170"/>
      <c r="C72" s="170"/>
      <c r="D72" s="171"/>
      <c r="E72" s="831"/>
      <c r="F72" s="850">
        <f>F73+F74+F75</f>
        <v>3884841</v>
      </c>
      <c r="G72" s="398">
        <f>G73+G74+G75</f>
        <v>3884841</v>
      </c>
    </row>
    <row r="73" spans="1:10" x14ac:dyDescent="0.25">
      <c r="A73" s="180" t="s">
        <v>246</v>
      </c>
      <c r="B73" s="176"/>
      <c r="C73" s="176"/>
      <c r="D73" s="162"/>
      <c r="E73" s="830"/>
      <c r="F73" s="789">
        <v>3884841</v>
      </c>
      <c r="G73" s="396">
        <f>E73+F73</f>
        <v>3884841</v>
      </c>
      <c r="I73" s="328">
        <v>506173</v>
      </c>
      <c r="J73" t="s">
        <v>247</v>
      </c>
    </row>
    <row r="74" spans="1:10" x14ac:dyDescent="0.25">
      <c r="A74" s="180" t="s">
        <v>148</v>
      </c>
      <c r="B74" s="176"/>
      <c r="C74" s="176"/>
      <c r="D74" s="162"/>
      <c r="E74" s="830"/>
      <c r="F74" s="848"/>
      <c r="G74" s="396"/>
    </row>
    <row r="75" spans="1:10" x14ac:dyDescent="0.25">
      <c r="A75" s="180" t="s">
        <v>445</v>
      </c>
      <c r="B75" s="176"/>
      <c r="C75" s="176"/>
      <c r="D75" s="162"/>
      <c r="E75" s="830"/>
      <c r="F75" s="848"/>
      <c r="G75" s="396"/>
    </row>
    <row r="76" spans="1:10" x14ac:dyDescent="0.25">
      <c r="A76" s="180"/>
      <c r="B76" s="176"/>
      <c r="C76" s="176"/>
      <c r="D76" s="162"/>
      <c r="E76" s="830"/>
      <c r="F76" s="848"/>
      <c r="G76" s="396"/>
    </row>
    <row r="77" spans="1:10" s="245" customFormat="1" x14ac:dyDescent="0.25">
      <c r="A77" s="179" t="s">
        <v>683</v>
      </c>
      <c r="B77" s="170"/>
      <c r="C77" s="170"/>
      <c r="D77" s="171"/>
      <c r="F77" s="831">
        <v>3324132</v>
      </c>
      <c r="G77" s="398">
        <f>F77</f>
        <v>3324132</v>
      </c>
    </row>
    <row r="78" spans="1:10" s="245" customFormat="1" x14ac:dyDescent="0.25">
      <c r="A78" s="179"/>
      <c r="B78" s="170"/>
      <c r="C78" s="170"/>
      <c r="D78" s="171"/>
      <c r="E78" s="831"/>
      <c r="F78" s="850"/>
      <c r="G78" s="398"/>
    </row>
    <row r="79" spans="1:10" s="245" customFormat="1" x14ac:dyDescent="0.25">
      <c r="A79" s="179" t="s">
        <v>448</v>
      </c>
      <c r="B79" s="170"/>
      <c r="C79" s="170"/>
      <c r="D79" s="171"/>
      <c r="E79" s="839">
        <f>SUM(E80:E81)</f>
        <v>163583000</v>
      </c>
      <c r="F79" s="839">
        <f>SUM(F80:F81)</f>
        <v>-234616</v>
      </c>
      <c r="G79" s="398">
        <f>SUM(G80:G81)</f>
        <v>163348384</v>
      </c>
    </row>
    <row r="80" spans="1:10" s="245" customFormat="1" x14ac:dyDescent="0.25">
      <c r="A80" s="180" t="s">
        <v>248</v>
      </c>
      <c r="B80" s="170"/>
      <c r="C80" s="170"/>
      <c r="D80" s="171"/>
      <c r="E80" s="830">
        <v>160000000</v>
      </c>
      <c r="F80" s="850"/>
      <c r="G80" s="396">
        <f t="shared" ref="G80:G81" si="8">E80+F80</f>
        <v>160000000</v>
      </c>
    </row>
    <row r="81" spans="1:9" s="160" customFormat="1" x14ac:dyDescent="0.25">
      <c r="A81" s="180" t="s">
        <v>468</v>
      </c>
      <c r="B81" s="176"/>
      <c r="C81" s="176"/>
      <c r="D81" s="162"/>
      <c r="E81" s="830">
        <v>3583000</v>
      </c>
      <c r="F81" s="848">
        <v>-234616</v>
      </c>
      <c r="G81" s="396">
        <f t="shared" si="8"/>
        <v>3348384</v>
      </c>
    </row>
    <row r="82" spans="1:9" s="160" customFormat="1" x14ac:dyDescent="0.25">
      <c r="A82" s="180" t="s">
        <v>469</v>
      </c>
      <c r="B82" s="176"/>
      <c r="C82" s="176"/>
      <c r="D82" s="162"/>
      <c r="E82" s="830"/>
      <c r="F82" s="848"/>
      <c r="G82" s="396"/>
    </row>
    <row r="83" spans="1:9" s="160" customFormat="1" x14ac:dyDescent="0.25">
      <c r="A83" s="840"/>
      <c r="B83" s="176"/>
      <c r="C83" s="176"/>
      <c r="D83" s="162"/>
      <c r="E83" s="830"/>
      <c r="F83" s="848"/>
      <c r="G83" s="396"/>
      <c r="I83" s="481">
        <f>G85-I85</f>
        <v>0</v>
      </c>
    </row>
    <row r="84" spans="1:9" x14ac:dyDescent="0.25">
      <c r="A84" s="191"/>
      <c r="B84" s="176"/>
      <c r="C84" s="176"/>
      <c r="D84" s="162"/>
      <c r="E84" s="830"/>
      <c r="F84" s="848"/>
      <c r="G84" s="396"/>
    </row>
    <row r="85" spans="1:9" ht="14.4" thickBot="1" x14ac:dyDescent="0.3">
      <c r="A85" s="192" t="s">
        <v>325</v>
      </c>
      <c r="B85" s="193"/>
      <c r="C85" s="193"/>
      <c r="D85" s="193"/>
      <c r="E85" s="841">
        <f>E67+E42+E30+E5+E79</f>
        <v>1043254876</v>
      </c>
      <c r="F85" s="841">
        <f>F67+F42+F30+F5+F79+F77+F72</f>
        <v>23447268</v>
      </c>
      <c r="G85" s="194">
        <f>G67+G42+G30+G5+G79+G77+G72</f>
        <v>1066702144</v>
      </c>
      <c r="I85" s="329">
        <f>E85+F85</f>
        <v>1066702144</v>
      </c>
    </row>
  </sheetData>
  <mergeCells count="8">
    <mergeCell ref="A1:G1"/>
    <mergeCell ref="F3:F4"/>
    <mergeCell ref="G3:G4"/>
    <mergeCell ref="E3:E4"/>
    <mergeCell ref="A3:A4"/>
    <mergeCell ref="B3:B4"/>
    <mergeCell ref="C3:C4"/>
    <mergeCell ref="D3:D4"/>
  </mergeCells>
  <phoneticPr fontId="28" type="noConversion"/>
  <pageMargins left="0.7" right="0.7" top="0.75" bottom="0.75" header="0.3" footer="0.3"/>
  <pageSetup paperSize="9" scale="64" orientation="landscape" r:id="rId1"/>
  <headerFooter alignWithMargins="0">
    <oddHeader>&amp;C
2/b. melléklet az önkormányzat 2017. évi költségvetéséről szóló 8/2017. (II.24.) önkormányzati rendeletéhez&amp;R
&amp;P. oldal</oddHeader>
  </headerFooter>
  <rowBreaks count="1" manualBreakCount="1">
    <brk id="38"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5"/>
  <sheetViews>
    <sheetView view="pageLayout" topLeftCell="D1" zoomScaleNormal="100" workbookViewId="0">
      <selection activeCell="G9" sqref="G9"/>
    </sheetView>
  </sheetViews>
  <sheetFormatPr defaultRowHeight="13.8" x14ac:dyDescent="0.25"/>
  <cols>
    <col min="1" max="2" width="9.109375" style="168" customWidth="1"/>
    <col min="3" max="3" width="58.88671875" style="168" customWidth="1"/>
    <col min="4" max="4" width="9.109375" style="168" customWidth="1"/>
    <col min="5" max="5" width="10" style="168" customWidth="1"/>
    <col min="6" max="6" width="11.5546875" style="168" customWidth="1"/>
    <col min="7" max="7" width="17.109375" style="330" customWidth="1"/>
    <col min="8" max="8" width="12.44140625" style="842" customWidth="1"/>
    <col min="9" max="9" width="19.6640625" style="842" bestFit="1" customWidth="1"/>
    <col min="10" max="10" width="11.109375" style="328" bestFit="1" customWidth="1"/>
    <col min="11" max="11" width="12.33203125" bestFit="1" customWidth="1"/>
    <col min="12" max="12" width="9.109375" bestFit="1" customWidth="1"/>
    <col min="13" max="13" width="11.33203125" bestFit="1" customWidth="1"/>
  </cols>
  <sheetData>
    <row r="1" spans="1:13" ht="15.6" x14ac:dyDescent="0.3">
      <c r="A1" s="1524" t="s">
        <v>943</v>
      </c>
      <c r="B1" s="1524"/>
      <c r="C1" s="1524"/>
      <c r="D1" s="1524"/>
      <c r="E1" s="1524"/>
      <c r="F1" s="1524"/>
      <c r="G1" s="1524"/>
      <c r="H1" s="1524"/>
      <c r="I1" s="1524"/>
    </row>
    <row r="2" spans="1:13" ht="14.4" thickBot="1" x14ac:dyDescent="0.3">
      <c r="A2" s="778"/>
      <c r="B2" s="779"/>
      <c r="C2" s="780"/>
      <c r="D2" s="781"/>
      <c r="E2" s="780"/>
      <c r="F2" s="780"/>
      <c r="G2" s="782"/>
    </row>
    <row r="3" spans="1:13" ht="27.6" x14ac:dyDescent="0.25">
      <c r="A3" s="870" t="s">
        <v>326</v>
      </c>
      <c r="B3" s="784" t="s">
        <v>327</v>
      </c>
      <c r="C3" s="399" t="s">
        <v>328</v>
      </c>
      <c r="D3" s="403" t="s">
        <v>329</v>
      </c>
      <c r="E3" s="404" t="s">
        <v>289</v>
      </c>
      <c r="F3" s="405" t="s">
        <v>290</v>
      </c>
      <c r="G3" s="785" t="s">
        <v>678</v>
      </c>
      <c r="H3" s="843" t="s">
        <v>230</v>
      </c>
      <c r="I3" s="844" t="s">
        <v>231</v>
      </c>
    </row>
    <row r="4" spans="1:13" x14ac:dyDescent="0.25">
      <c r="A4" s="786">
        <v>2</v>
      </c>
      <c r="B4" s="787" t="s">
        <v>330</v>
      </c>
      <c r="C4" s="166" t="s">
        <v>316</v>
      </c>
      <c r="D4" s="181">
        <v>17.2</v>
      </c>
      <c r="E4" s="181">
        <v>17.2</v>
      </c>
      <c r="F4" s="162">
        <v>4308000</v>
      </c>
      <c r="G4" s="788">
        <v>51254853</v>
      </c>
      <c r="H4" s="789">
        <v>744984</v>
      </c>
      <c r="I4" s="790">
        <f t="shared" ref="I4:I13" si="0">G4+H4</f>
        <v>51999837</v>
      </c>
      <c r="K4" s="329">
        <f t="shared" ref="K4:K10" si="1">G4+G16+G28+G40</f>
        <v>112641480</v>
      </c>
    </row>
    <row r="5" spans="1:13" x14ac:dyDescent="0.25">
      <c r="A5" s="786">
        <v>2</v>
      </c>
      <c r="B5" s="787" t="s">
        <v>330</v>
      </c>
      <c r="C5" s="166" t="s">
        <v>317</v>
      </c>
      <c r="D5" s="181">
        <v>14</v>
      </c>
      <c r="E5" s="181">
        <v>14</v>
      </c>
      <c r="F5" s="162">
        <v>1800000</v>
      </c>
      <c r="G5" s="791">
        <v>16800000</v>
      </c>
      <c r="H5" s="789"/>
      <c r="I5" s="790">
        <f t="shared" si="0"/>
        <v>16800000</v>
      </c>
      <c r="K5" s="329">
        <f t="shared" si="1"/>
        <v>36000000</v>
      </c>
    </row>
    <row r="6" spans="1:13" x14ac:dyDescent="0.25">
      <c r="A6" s="786">
        <v>2</v>
      </c>
      <c r="B6" s="787" t="s">
        <v>330</v>
      </c>
      <c r="C6" s="166" t="s">
        <v>318</v>
      </c>
      <c r="D6" s="181">
        <v>16.899999999999999</v>
      </c>
      <c r="E6" s="181">
        <v>16.899999999999999</v>
      </c>
      <c r="F6" s="162">
        <v>4308000</v>
      </c>
      <c r="G6" s="791">
        <v>25180437</v>
      </c>
      <c r="H6" s="789"/>
      <c r="I6" s="790">
        <f t="shared" si="0"/>
        <v>25180437</v>
      </c>
      <c r="K6" s="329">
        <f t="shared" si="1"/>
        <v>54532780</v>
      </c>
    </row>
    <row r="7" spans="1:13" x14ac:dyDescent="0.25">
      <c r="A7" s="786">
        <v>2</v>
      </c>
      <c r="B7" s="787" t="s">
        <v>330</v>
      </c>
      <c r="C7" s="166" t="s">
        <v>320</v>
      </c>
      <c r="D7" s="181">
        <v>14</v>
      </c>
      <c r="E7" s="181">
        <v>14</v>
      </c>
      <c r="F7" s="162">
        <v>1800000</v>
      </c>
      <c r="G7" s="791">
        <v>8400000</v>
      </c>
      <c r="H7" s="789"/>
      <c r="I7" s="790">
        <f t="shared" si="0"/>
        <v>8400000</v>
      </c>
      <c r="K7" s="329">
        <f t="shared" si="1"/>
        <v>18000000</v>
      </c>
    </row>
    <row r="8" spans="1:13" x14ac:dyDescent="0.25">
      <c r="A8" s="786">
        <v>2</v>
      </c>
      <c r="B8" s="787" t="s">
        <v>331</v>
      </c>
      <c r="C8" s="166" t="s">
        <v>332</v>
      </c>
      <c r="D8" s="181">
        <v>194</v>
      </c>
      <c r="E8" s="196">
        <f>G8/F8</f>
        <v>129.33334149326805</v>
      </c>
      <c r="F8" s="176">
        <v>81700</v>
      </c>
      <c r="G8" s="791">
        <v>10566534</v>
      </c>
      <c r="H8" s="789">
        <v>163400</v>
      </c>
      <c r="I8" s="790">
        <f t="shared" si="0"/>
        <v>10729934</v>
      </c>
      <c r="K8" s="329">
        <f t="shared" si="1"/>
        <v>22549200</v>
      </c>
    </row>
    <row r="9" spans="1:13" x14ac:dyDescent="0.25">
      <c r="A9" s="786">
        <v>2</v>
      </c>
      <c r="B9" s="787" t="s">
        <v>331</v>
      </c>
      <c r="C9" s="166" t="s">
        <v>333</v>
      </c>
      <c r="D9" s="181">
        <v>190</v>
      </c>
      <c r="E9" s="196">
        <f>G9/F9</f>
        <v>63.333329253365974</v>
      </c>
      <c r="F9" s="176">
        <v>81700</v>
      </c>
      <c r="G9" s="791">
        <v>5174333</v>
      </c>
      <c r="H9" s="789"/>
      <c r="I9" s="790">
        <f t="shared" si="0"/>
        <v>5174333</v>
      </c>
      <c r="K9" s="329">
        <f t="shared" si="1"/>
        <v>10866100</v>
      </c>
    </row>
    <row r="10" spans="1:13" x14ac:dyDescent="0.25">
      <c r="A10" s="786">
        <v>2</v>
      </c>
      <c r="B10" s="787" t="s">
        <v>722</v>
      </c>
      <c r="C10" s="165" t="s">
        <v>641</v>
      </c>
      <c r="D10" s="181">
        <v>7</v>
      </c>
      <c r="E10" s="173">
        <v>7</v>
      </c>
      <c r="F10" s="176">
        <v>418900</v>
      </c>
      <c r="G10" s="791">
        <f>E10*F10</f>
        <v>2932300</v>
      </c>
      <c r="H10" s="789"/>
      <c r="I10" s="790">
        <f t="shared" si="0"/>
        <v>2932300</v>
      </c>
      <c r="K10" s="329">
        <f t="shared" si="1"/>
        <v>7121300</v>
      </c>
      <c r="M10" s="329" t="e">
        <f>K4+K5+K6+K7+#REF!+K8+K9+K10</f>
        <v>#REF!</v>
      </c>
    </row>
    <row r="11" spans="1:13" x14ac:dyDescent="0.25">
      <c r="A11" s="786">
        <v>2</v>
      </c>
      <c r="B11" s="787" t="s">
        <v>334</v>
      </c>
      <c r="C11" s="166" t="s">
        <v>335</v>
      </c>
      <c r="D11" s="188"/>
      <c r="E11" s="173">
        <f>G11/F11</f>
        <v>3.6700674019607842</v>
      </c>
      <c r="F11" s="176">
        <v>1632000</v>
      </c>
      <c r="G11" s="791">
        <v>5989550</v>
      </c>
      <c r="H11" s="789"/>
      <c r="I11" s="790">
        <f t="shared" si="0"/>
        <v>5989550</v>
      </c>
      <c r="K11" s="329">
        <f>G11+G23+G35+G47+G55+G102</f>
        <v>43052160</v>
      </c>
    </row>
    <row r="12" spans="1:13" x14ac:dyDescent="0.25">
      <c r="A12" s="786">
        <v>2</v>
      </c>
      <c r="B12" s="787" t="s">
        <v>336</v>
      </c>
      <c r="C12" s="166" t="s">
        <v>337</v>
      </c>
      <c r="D12" s="181">
        <v>179</v>
      </c>
      <c r="E12" s="173"/>
      <c r="F12" s="176"/>
      <c r="G12" s="791">
        <v>8507072</v>
      </c>
      <c r="H12" s="789"/>
      <c r="I12" s="790">
        <f t="shared" si="0"/>
        <v>8507072</v>
      </c>
      <c r="K12" s="329">
        <f>G12+G24+G36+G48+G56+G103</f>
        <v>35089063</v>
      </c>
    </row>
    <row r="13" spans="1:13" x14ac:dyDescent="0.25">
      <c r="A13" s="786"/>
      <c r="B13" s="787"/>
      <c r="C13" s="166" t="s">
        <v>679</v>
      </c>
      <c r="D13" s="181"/>
      <c r="E13" s="173"/>
      <c r="F13" s="176"/>
      <c r="G13" s="791"/>
      <c r="H13" s="789">
        <v>125640</v>
      </c>
      <c r="I13" s="790">
        <f t="shared" si="0"/>
        <v>125640</v>
      </c>
    </row>
    <row r="14" spans="1:13" x14ac:dyDescent="0.25">
      <c r="A14" s="792"/>
      <c r="B14" s="793"/>
      <c r="C14" s="167" t="s">
        <v>338</v>
      </c>
      <c r="D14" s="188"/>
      <c r="E14" s="170"/>
      <c r="F14" s="170"/>
      <c r="G14" s="794">
        <f>SUM(G4:G12)</f>
        <v>134805079</v>
      </c>
      <c r="H14" s="795">
        <f>SUM(H4:H13)</f>
        <v>1034024</v>
      </c>
      <c r="I14" s="796">
        <f>SUM(I4:I13)</f>
        <v>135839103</v>
      </c>
      <c r="J14" s="783"/>
    </row>
    <row r="15" spans="1:13" x14ac:dyDescent="0.25">
      <c r="A15" s="786"/>
      <c r="B15" s="787"/>
      <c r="C15" s="176"/>
      <c r="D15" s="181"/>
      <c r="E15" s="166"/>
      <c r="F15" s="176"/>
      <c r="G15" s="791"/>
      <c r="H15" s="789"/>
      <c r="I15" s="790"/>
    </row>
    <row r="16" spans="1:13" x14ac:dyDescent="0.25">
      <c r="A16" s="786">
        <v>2</v>
      </c>
      <c r="B16" s="787" t="s">
        <v>330</v>
      </c>
      <c r="C16" s="166" t="s">
        <v>316</v>
      </c>
      <c r="D16" s="181">
        <v>10.1</v>
      </c>
      <c r="E16" s="173">
        <v>10.1</v>
      </c>
      <c r="F16" s="162">
        <v>4308000</v>
      </c>
      <c r="G16" s="791">
        <v>30097327</v>
      </c>
      <c r="H16" s="789">
        <v>297993</v>
      </c>
      <c r="I16" s="790">
        <f t="shared" ref="I16:I25" si="2">G16+H16</f>
        <v>30395320</v>
      </c>
    </row>
    <row r="17" spans="1:12" x14ac:dyDescent="0.25">
      <c r="A17" s="786">
        <v>2</v>
      </c>
      <c r="B17" s="787" t="s">
        <v>330</v>
      </c>
      <c r="C17" s="166" t="s">
        <v>317</v>
      </c>
      <c r="D17" s="181">
        <v>9</v>
      </c>
      <c r="E17" s="173">
        <f>G17/F17</f>
        <v>6</v>
      </c>
      <c r="F17" s="162">
        <v>1800000</v>
      </c>
      <c r="G17" s="791">
        <v>10800000</v>
      </c>
      <c r="H17" s="789"/>
      <c r="I17" s="790">
        <f t="shared" si="2"/>
        <v>10800000</v>
      </c>
      <c r="L17" s="329">
        <f>H13+H25+H37+H49+H58+H75+H80+H85+I89+H105</f>
        <v>3378668</v>
      </c>
    </row>
    <row r="18" spans="1:12" x14ac:dyDescent="0.25">
      <c r="A18" s="786">
        <v>2</v>
      </c>
      <c r="B18" s="787" t="s">
        <v>330</v>
      </c>
      <c r="C18" s="166" t="s">
        <v>318</v>
      </c>
      <c r="D18" s="181">
        <v>10.1</v>
      </c>
      <c r="E18" s="173">
        <v>10.1</v>
      </c>
      <c r="F18" s="162">
        <v>4308000</v>
      </c>
      <c r="G18" s="791">
        <v>15048663</v>
      </c>
      <c r="H18" s="789"/>
      <c r="I18" s="790">
        <f t="shared" si="2"/>
        <v>15048663</v>
      </c>
    </row>
    <row r="19" spans="1:12" x14ac:dyDescent="0.25">
      <c r="A19" s="786">
        <v>2</v>
      </c>
      <c r="B19" s="787" t="s">
        <v>330</v>
      </c>
      <c r="C19" s="166" t="s">
        <v>320</v>
      </c>
      <c r="D19" s="198">
        <v>9</v>
      </c>
      <c r="E19" s="173">
        <f>G19/F19</f>
        <v>3</v>
      </c>
      <c r="F19" s="162">
        <v>1800000</v>
      </c>
      <c r="G19" s="791">
        <v>5400000</v>
      </c>
      <c r="H19" s="789">
        <v>54466</v>
      </c>
      <c r="I19" s="790">
        <f t="shared" si="2"/>
        <v>5454466</v>
      </c>
    </row>
    <row r="20" spans="1:12" x14ac:dyDescent="0.25">
      <c r="A20" s="786">
        <v>2</v>
      </c>
      <c r="B20" s="787" t="s">
        <v>331</v>
      </c>
      <c r="C20" s="166" t="s">
        <v>232</v>
      </c>
      <c r="D20" s="181">
        <v>108</v>
      </c>
      <c r="E20" s="173">
        <f>G20/F20</f>
        <v>72</v>
      </c>
      <c r="F20" s="176">
        <v>81700</v>
      </c>
      <c r="G20" s="791">
        <v>5882400</v>
      </c>
      <c r="H20" s="789"/>
      <c r="I20" s="790">
        <f t="shared" si="2"/>
        <v>5882400</v>
      </c>
    </row>
    <row r="21" spans="1:12" x14ac:dyDescent="0.25">
      <c r="A21" s="786">
        <v>2</v>
      </c>
      <c r="B21" s="787" t="s">
        <v>331</v>
      </c>
      <c r="C21" s="166" t="s">
        <v>233</v>
      </c>
      <c r="D21" s="181">
        <v>108</v>
      </c>
      <c r="E21" s="173">
        <f>G21/F21</f>
        <v>36</v>
      </c>
      <c r="F21" s="176">
        <v>81700</v>
      </c>
      <c r="G21" s="791">
        <v>2941200</v>
      </c>
      <c r="H21" s="789"/>
      <c r="I21" s="790">
        <f t="shared" si="2"/>
        <v>2941200</v>
      </c>
    </row>
    <row r="22" spans="1:12" x14ac:dyDescent="0.25">
      <c r="A22" s="786">
        <v>2</v>
      </c>
      <c r="B22" s="787" t="s">
        <v>722</v>
      </c>
      <c r="C22" s="165" t="s">
        <v>641</v>
      </c>
      <c r="D22" s="181">
        <v>5</v>
      </c>
      <c r="E22" s="173">
        <v>5</v>
      </c>
      <c r="F22" s="176">
        <v>418900</v>
      </c>
      <c r="G22" s="791">
        <f>F22*D22</f>
        <v>2094500</v>
      </c>
      <c r="H22" s="789"/>
      <c r="I22" s="790">
        <f t="shared" si="2"/>
        <v>2094500</v>
      </c>
    </row>
    <row r="23" spans="1:12" x14ac:dyDescent="0.25">
      <c r="A23" s="786">
        <v>2</v>
      </c>
      <c r="B23" s="787" t="s">
        <v>334</v>
      </c>
      <c r="C23" s="166" t="s">
        <v>335</v>
      </c>
      <c r="D23" s="181"/>
      <c r="E23" s="173">
        <f>G23/F23</f>
        <v>2.2020404411764707</v>
      </c>
      <c r="F23" s="176">
        <v>1632000</v>
      </c>
      <c r="G23" s="791">
        <v>3593730</v>
      </c>
      <c r="H23" s="789"/>
      <c r="I23" s="790">
        <f t="shared" si="2"/>
        <v>3593730</v>
      </c>
    </row>
    <row r="24" spans="1:12" x14ac:dyDescent="0.25">
      <c r="A24" s="786">
        <v>2</v>
      </c>
      <c r="B24" s="787" t="s">
        <v>336</v>
      </c>
      <c r="C24" s="166" t="s">
        <v>337</v>
      </c>
      <c r="D24" s="181">
        <v>94</v>
      </c>
      <c r="E24" s="173"/>
      <c r="F24" s="176"/>
      <c r="G24" s="791">
        <v>6138411</v>
      </c>
      <c r="H24" s="789"/>
      <c r="I24" s="790">
        <f t="shared" si="2"/>
        <v>6138411</v>
      </c>
      <c r="J24" s="783"/>
    </row>
    <row r="25" spans="1:12" x14ac:dyDescent="0.25">
      <c r="A25" s="786"/>
      <c r="B25" s="787"/>
      <c r="C25" s="166" t="s">
        <v>679</v>
      </c>
      <c r="D25" s="181"/>
      <c r="E25" s="173"/>
      <c r="F25" s="176"/>
      <c r="G25" s="791"/>
      <c r="H25" s="789">
        <v>202139</v>
      </c>
      <c r="I25" s="790">
        <f t="shared" si="2"/>
        <v>202139</v>
      </c>
    </row>
    <row r="26" spans="1:12" x14ac:dyDescent="0.25">
      <c r="A26" s="786"/>
      <c r="B26" s="793"/>
      <c r="C26" s="167" t="s">
        <v>339</v>
      </c>
      <c r="D26" s="188"/>
      <c r="E26" s="172"/>
      <c r="F26" s="170"/>
      <c r="G26" s="794">
        <f>SUM(G16:G24)</f>
        <v>81996231</v>
      </c>
      <c r="H26" s="794">
        <f>SUM(H16:H25)</f>
        <v>554598</v>
      </c>
      <c r="I26" s="401">
        <f>SUM(I16:I25)</f>
        <v>82550829</v>
      </c>
      <c r="J26" s="783"/>
    </row>
    <row r="27" spans="1:12" x14ac:dyDescent="0.25">
      <c r="A27" s="786"/>
      <c r="B27" s="787"/>
      <c r="C27" s="176"/>
      <c r="D27" s="181"/>
      <c r="E27" s="166"/>
      <c r="F27" s="176"/>
      <c r="G27" s="791"/>
      <c r="H27" s="789"/>
      <c r="I27" s="790"/>
    </row>
    <row r="28" spans="1:12" x14ac:dyDescent="0.25">
      <c r="A28" s="786">
        <v>2</v>
      </c>
      <c r="B28" s="787" t="s">
        <v>330</v>
      </c>
      <c r="C28" s="166" t="s">
        <v>316</v>
      </c>
      <c r="D28" s="181">
        <v>7</v>
      </c>
      <c r="E28" s="181">
        <v>6.8</v>
      </c>
      <c r="F28" s="162">
        <v>4308000</v>
      </c>
      <c r="G28" s="791">
        <v>20859533</v>
      </c>
      <c r="H28" s="789"/>
      <c r="I28" s="790">
        <f t="shared" ref="I28:I37" si="3">G28+H28</f>
        <v>20859533</v>
      </c>
    </row>
    <row r="29" spans="1:12" x14ac:dyDescent="0.25">
      <c r="A29" s="786">
        <v>2</v>
      </c>
      <c r="B29" s="787" t="s">
        <v>330</v>
      </c>
      <c r="C29" s="166" t="s">
        <v>317</v>
      </c>
      <c r="D29" s="198">
        <v>5</v>
      </c>
      <c r="E29" s="181">
        <f>G29/F29</f>
        <v>3.3333333333333335</v>
      </c>
      <c r="F29" s="162">
        <v>1800000</v>
      </c>
      <c r="G29" s="791">
        <v>6000000</v>
      </c>
      <c r="H29" s="789"/>
      <c r="I29" s="790">
        <f t="shared" si="3"/>
        <v>6000000</v>
      </c>
    </row>
    <row r="30" spans="1:12" x14ac:dyDescent="0.25">
      <c r="A30" s="786">
        <v>2</v>
      </c>
      <c r="B30" s="787" t="s">
        <v>330</v>
      </c>
      <c r="C30" s="166" t="s">
        <v>318</v>
      </c>
      <c r="D30" s="198">
        <v>6.6</v>
      </c>
      <c r="E30" s="198">
        <v>6.2</v>
      </c>
      <c r="F30" s="162">
        <v>4308000</v>
      </c>
      <c r="G30" s="791">
        <v>9833780</v>
      </c>
      <c r="H30" s="789"/>
      <c r="I30" s="790">
        <f t="shared" si="3"/>
        <v>9833780</v>
      </c>
    </row>
    <row r="31" spans="1:12" x14ac:dyDescent="0.25">
      <c r="A31" s="786">
        <v>2</v>
      </c>
      <c r="B31" s="787" t="s">
        <v>330</v>
      </c>
      <c r="C31" s="166" t="s">
        <v>320</v>
      </c>
      <c r="D31" s="198">
        <v>5</v>
      </c>
      <c r="E31" s="181">
        <f>G31/F31</f>
        <v>1.6666666666666667</v>
      </c>
      <c r="F31" s="162">
        <v>1800000</v>
      </c>
      <c r="G31" s="791">
        <v>3000000</v>
      </c>
      <c r="H31" s="789"/>
      <c r="I31" s="790">
        <f t="shared" si="3"/>
        <v>3000000</v>
      </c>
    </row>
    <row r="32" spans="1:12" x14ac:dyDescent="0.25">
      <c r="A32" s="786">
        <v>2</v>
      </c>
      <c r="B32" s="787" t="s">
        <v>331</v>
      </c>
      <c r="C32" s="166" t="s">
        <v>232</v>
      </c>
      <c r="D32" s="198">
        <v>73</v>
      </c>
      <c r="E32" s="181">
        <f>G32/F32</f>
        <v>48.666658506731949</v>
      </c>
      <c r="F32" s="176">
        <v>81700</v>
      </c>
      <c r="G32" s="791">
        <v>3976066</v>
      </c>
      <c r="H32" s="789">
        <v>-54466</v>
      </c>
      <c r="I32" s="790">
        <f t="shared" si="3"/>
        <v>3921600</v>
      </c>
    </row>
    <row r="33" spans="1:10" x14ac:dyDescent="0.25">
      <c r="A33" s="786">
        <v>2</v>
      </c>
      <c r="B33" s="787" t="s">
        <v>331</v>
      </c>
      <c r="C33" s="166" t="s">
        <v>233</v>
      </c>
      <c r="D33" s="198">
        <v>67</v>
      </c>
      <c r="E33" s="181">
        <f>G33/F33</f>
        <v>22.333341493268055</v>
      </c>
      <c r="F33" s="176">
        <v>81700</v>
      </c>
      <c r="G33" s="791">
        <v>1824634</v>
      </c>
      <c r="H33" s="789"/>
      <c r="I33" s="790">
        <f t="shared" si="3"/>
        <v>1824634</v>
      </c>
    </row>
    <row r="34" spans="1:10" x14ac:dyDescent="0.25">
      <c r="A34" s="786">
        <v>2</v>
      </c>
      <c r="B34" s="787" t="s">
        <v>722</v>
      </c>
      <c r="C34" s="165" t="s">
        <v>641</v>
      </c>
      <c r="D34" s="198">
        <v>4</v>
      </c>
      <c r="E34" s="181">
        <v>4</v>
      </c>
      <c r="F34" s="176">
        <v>418900</v>
      </c>
      <c r="G34" s="791">
        <f>F34*D34</f>
        <v>1675600</v>
      </c>
      <c r="H34" s="789"/>
      <c r="I34" s="790">
        <f t="shared" si="3"/>
        <v>1675600</v>
      </c>
    </row>
    <row r="35" spans="1:10" x14ac:dyDescent="0.25">
      <c r="A35" s="786">
        <v>2</v>
      </c>
      <c r="B35" s="787" t="s">
        <v>334</v>
      </c>
      <c r="C35" s="166" t="s">
        <v>335</v>
      </c>
      <c r="D35" s="198"/>
      <c r="E35" s="181">
        <f>G35/F35</f>
        <v>1.356813112745098</v>
      </c>
      <c r="F35" s="176">
        <v>1632000</v>
      </c>
      <c r="G35" s="791">
        <v>2214319</v>
      </c>
      <c r="H35" s="789"/>
      <c r="I35" s="790">
        <f t="shared" si="3"/>
        <v>2214319</v>
      </c>
    </row>
    <row r="36" spans="1:10" x14ac:dyDescent="0.25">
      <c r="A36" s="786">
        <v>2</v>
      </c>
      <c r="B36" s="787" t="s">
        <v>336</v>
      </c>
      <c r="C36" s="166" t="s">
        <v>337</v>
      </c>
      <c r="D36" s="198"/>
      <c r="E36" s="181"/>
      <c r="F36" s="176"/>
      <c r="G36" s="791">
        <v>3317104</v>
      </c>
      <c r="H36" s="789"/>
      <c r="I36" s="790">
        <f t="shared" si="3"/>
        <v>3317104</v>
      </c>
    </row>
    <row r="37" spans="1:10" x14ac:dyDescent="0.25">
      <c r="A37" s="786"/>
      <c r="B37" s="787"/>
      <c r="C37" s="166" t="s">
        <v>679</v>
      </c>
      <c r="D37" s="198"/>
      <c r="E37" s="181"/>
      <c r="F37" s="176"/>
      <c r="G37" s="791"/>
      <c r="H37" s="789">
        <v>164296</v>
      </c>
      <c r="I37" s="790">
        <f t="shared" si="3"/>
        <v>164296</v>
      </c>
    </row>
    <row r="38" spans="1:10" x14ac:dyDescent="0.25">
      <c r="A38" s="792"/>
      <c r="B38" s="793"/>
      <c r="C38" s="167" t="s">
        <v>340</v>
      </c>
      <c r="D38" s="188"/>
      <c r="E38" s="167"/>
      <c r="F38" s="170"/>
      <c r="G38" s="794">
        <f>SUM(G28:G36)</f>
        <v>52701036</v>
      </c>
      <c r="H38" s="795">
        <f>SUM(H32:H37)</f>
        <v>109830</v>
      </c>
      <c r="I38" s="796">
        <f>SUM(G38:H38)</f>
        <v>52810866</v>
      </c>
      <c r="J38" s="783"/>
    </row>
    <row r="39" spans="1:10" x14ac:dyDescent="0.25">
      <c r="A39" s="786"/>
      <c r="B39" s="787"/>
      <c r="C39" s="166"/>
      <c r="D39" s="181"/>
      <c r="E39" s="166"/>
      <c r="F39" s="176"/>
      <c r="G39" s="791"/>
      <c r="H39" s="789"/>
      <c r="I39" s="790"/>
    </row>
    <row r="40" spans="1:10" x14ac:dyDescent="0.25">
      <c r="A40" s="786">
        <v>2</v>
      </c>
      <c r="B40" s="787" t="s">
        <v>330</v>
      </c>
      <c r="C40" s="166" t="s">
        <v>316</v>
      </c>
      <c r="D40" s="198">
        <v>3.5</v>
      </c>
      <c r="E40" s="181">
        <v>3.9</v>
      </c>
      <c r="F40" s="162">
        <v>4308000</v>
      </c>
      <c r="G40" s="791">
        <v>10429767</v>
      </c>
      <c r="H40" s="789">
        <v>446990</v>
      </c>
      <c r="I40" s="790">
        <f t="shared" ref="I40:I49" si="4">G40+H40</f>
        <v>10876757</v>
      </c>
    </row>
    <row r="41" spans="1:10" x14ac:dyDescent="0.25">
      <c r="A41" s="786">
        <v>2</v>
      </c>
      <c r="B41" s="787" t="s">
        <v>330</v>
      </c>
      <c r="C41" s="166" t="s">
        <v>317</v>
      </c>
      <c r="D41" s="198">
        <v>2</v>
      </c>
      <c r="E41" s="181">
        <f>G41/F41</f>
        <v>1.3333333333333333</v>
      </c>
      <c r="F41" s="162">
        <v>1800000</v>
      </c>
      <c r="G41" s="791">
        <v>2400000</v>
      </c>
      <c r="H41" s="789"/>
      <c r="I41" s="790">
        <f t="shared" si="4"/>
        <v>2400000</v>
      </c>
    </row>
    <row r="42" spans="1:10" x14ac:dyDescent="0.25">
      <c r="A42" s="786">
        <v>2</v>
      </c>
      <c r="B42" s="787" t="s">
        <v>330</v>
      </c>
      <c r="C42" s="166" t="s">
        <v>318</v>
      </c>
      <c r="D42" s="198">
        <v>3</v>
      </c>
      <c r="E42" s="198">
        <v>3.2</v>
      </c>
      <c r="F42" s="162">
        <v>4308000</v>
      </c>
      <c r="G42" s="791">
        <v>4469900</v>
      </c>
      <c r="H42" s="789"/>
      <c r="I42" s="790">
        <f t="shared" si="4"/>
        <v>4469900</v>
      </c>
    </row>
    <row r="43" spans="1:10" x14ac:dyDescent="0.25">
      <c r="A43" s="786">
        <v>2</v>
      </c>
      <c r="B43" s="787" t="s">
        <v>330</v>
      </c>
      <c r="C43" s="166" t="s">
        <v>320</v>
      </c>
      <c r="D43" s="181">
        <v>2</v>
      </c>
      <c r="E43" s="181">
        <f>G43/F43</f>
        <v>0.66666666666666663</v>
      </c>
      <c r="F43" s="162">
        <v>1800000</v>
      </c>
      <c r="G43" s="791">
        <v>1200000</v>
      </c>
      <c r="H43" s="789"/>
      <c r="I43" s="790">
        <f t="shared" si="4"/>
        <v>1200000</v>
      </c>
    </row>
    <row r="44" spans="1:10" x14ac:dyDescent="0.25">
      <c r="A44" s="786">
        <v>2</v>
      </c>
      <c r="B44" s="787" t="s">
        <v>331</v>
      </c>
      <c r="C44" s="166" t="s">
        <v>232</v>
      </c>
      <c r="D44" s="181">
        <v>39</v>
      </c>
      <c r="E44" s="181">
        <f>G44/F44</f>
        <v>26</v>
      </c>
      <c r="F44" s="176">
        <v>81700</v>
      </c>
      <c r="G44" s="791">
        <v>2124200</v>
      </c>
      <c r="H44" s="789">
        <v>108933</v>
      </c>
      <c r="I44" s="790">
        <f t="shared" si="4"/>
        <v>2233133</v>
      </c>
    </row>
    <row r="45" spans="1:10" x14ac:dyDescent="0.25">
      <c r="A45" s="786">
        <v>2</v>
      </c>
      <c r="B45" s="787" t="s">
        <v>331</v>
      </c>
      <c r="C45" s="166" t="s">
        <v>233</v>
      </c>
      <c r="D45" s="181">
        <v>34</v>
      </c>
      <c r="E45" s="181">
        <f>G45/F45</f>
        <v>11.333329253365973</v>
      </c>
      <c r="F45" s="176">
        <v>81700</v>
      </c>
      <c r="G45" s="791">
        <v>925933</v>
      </c>
      <c r="H45" s="789"/>
      <c r="I45" s="790">
        <f t="shared" si="4"/>
        <v>925933</v>
      </c>
    </row>
    <row r="46" spans="1:10" x14ac:dyDescent="0.25">
      <c r="A46" s="786">
        <v>2</v>
      </c>
      <c r="B46" s="787" t="s">
        <v>722</v>
      </c>
      <c r="C46" s="165" t="s">
        <v>641</v>
      </c>
      <c r="D46" s="181">
        <v>1</v>
      </c>
      <c r="E46" s="181">
        <v>1</v>
      </c>
      <c r="F46" s="176">
        <v>418900</v>
      </c>
      <c r="G46" s="791">
        <f>F46*D46</f>
        <v>418900</v>
      </c>
      <c r="H46" s="789"/>
      <c r="I46" s="790">
        <f t="shared" si="4"/>
        <v>418900</v>
      </c>
    </row>
    <row r="47" spans="1:10" x14ac:dyDescent="0.25">
      <c r="A47" s="786">
        <v>2</v>
      </c>
      <c r="B47" s="787" t="s">
        <v>334</v>
      </c>
      <c r="C47" s="166" t="s">
        <v>335</v>
      </c>
      <c r="D47" s="181"/>
      <c r="E47" s="181">
        <f>G47/F47</f>
        <v>0.77849938725490198</v>
      </c>
      <c r="F47" s="176">
        <v>1632000</v>
      </c>
      <c r="G47" s="791">
        <v>1270511</v>
      </c>
      <c r="H47" s="789"/>
      <c r="I47" s="790">
        <f t="shared" si="4"/>
        <v>1270511</v>
      </c>
    </row>
    <row r="48" spans="1:10" x14ac:dyDescent="0.25">
      <c r="A48" s="786">
        <v>2</v>
      </c>
      <c r="B48" s="787" t="s">
        <v>336</v>
      </c>
      <c r="C48" s="166" t="s">
        <v>337</v>
      </c>
      <c r="D48" s="181"/>
      <c r="E48" s="181"/>
      <c r="F48" s="176"/>
      <c r="G48" s="791">
        <v>2190348</v>
      </c>
      <c r="H48" s="789"/>
      <c r="I48" s="790">
        <f t="shared" si="4"/>
        <v>2190348</v>
      </c>
    </row>
    <row r="49" spans="1:10" x14ac:dyDescent="0.25">
      <c r="A49" s="786"/>
      <c r="B49" s="787"/>
      <c r="C49" s="166" t="s">
        <v>679</v>
      </c>
      <c r="D49" s="181"/>
      <c r="E49" s="181"/>
      <c r="F49" s="176"/>
      <c r="G49" s="791"/>
      <c r="H49" s="789">
        <v>60833</v>
      </c>
      <c r="I49" s="790">
        <f t="shared" si="4"/>
        <v>60833</v>
      </c>
    </row>
    <row r="50" spans="1:10" ht="14.4" thickBot="1" x14ac:dyDescent="0.3">
      <c r="A50" s="871"/>
      <c r="B50" s="873"/>
      <c r="C50" s="806" t="s">
        <v>341</v>
      </c>
      <c r="D50" s="807"/>
      <c r="E50" s="806"/>
      <c r="F50" s="808"/>
      <c r="G50" s="809">
        <f>SUM(G40:G48)</f>
        <v>25429559</v>
      </c>
      <c r="H50" s="846">
        <f>SUM(H40:H49)</f>
        <v>616756</v>
      </c>
      <c r="I50" s="872">
        <f>SUM(I40:I49)</f>
        <v>26046315</v>
      </c>
      <c r="J50" s="783">
        <f>H50+H38+H26+H14</f>
        <v>2315208</v>
      </c>
    </row>
    <row r="51" spans="1:10" ht="27.6" x14ac:dyDescent="0.25">
      <c r="A51" s="870" t="s">
        <v>326</v>
      </c>
      <c r="B51" s="784" t="s">
        <v>327</v>
      </c>
      <c r="C51" s="399" t="s">
        <v>328</v>
      </c>
      <c r="D51" s="400"/>
      <c r="E51" s="865" t="s">
        <v>289</v>
      </c>
      <c r="F51" s="866" t="s">
        <v>290</v>
      </c>
      <c r="G51" s="865" t="s">
        <v>678</v>
      </c>
      <c r="H51" s="843" t="s">
        <v>230</v>
      </c>
      <c r="I51" s="844" t="s">
        <v>231</v>
      </c>
    </row>
    <row r="52" spans="1:10" x14ac:dyDescent="0.25">
      <c r="A52" s="786">
        <v>2</v>
      </c>
      <c r="B52" s="793"/>
      <c r="C52" s="167"/>
      <c r="D52" s="188"/>
      <c r="E52" s="167"/>
      <c r="F52" s="170"/>
      <c r="G52" s="794"/>
      <c r="H52" s="789"/>
      <c r="I52" s="790"/>
    </row>
    <row r="53" spans="1:10" x14ac:dyDescent="0.25">
      <c r="A53" s="786">
        <v>2</v>
      </c>
      <c r="B53" s="787"/>
      <c r="C53" s="167"/>
      <c r="D53" s="181"/>
      <c r="E53" s="166"/>
      <c r="F53" s="176"/>
      <c r="G53" s="794"/>
      <c r="H53" s="789"/>
      <c r="I53" s="790"/>
    </row>
    <row r="54" spans="1:10" x14ac:dyDescent="0.25">
      <c r="A54" s="786"/>
      <c r="B54" s="787" t="s">
        <v>343</v>
      </c>
      <c r="C54" s="166" t="s">
        <v>344</v>
      </c>
      <c r="D54" s="181">
        <v>41</v>
      </c>
      <c r="E54" s="166">
        <v>41</v>
      </c>
      <c r="F54" s="176">
        <v>494100</v>
      </c>
      <c r="G54" s="791">
        <v>20258100</v>
      </c>
      <c r="H54" s="789"/>
      <c r="I54" s="790">
        <f t="shared" ref="I54:I60" si="5">G54+H54</f>
        <v>20258100</v>
      </c>
    </row>
    <row r="55" spans="1:10" x14ac:dyDescent="0.25">
      <c r="A55" s="792"/>
      <c r="B55" s="787" t="s">
        <v>334</v>
      </c>
      <c r="C55" s="166" t="s">
        <v>345</v>
      </c>
      <c r="D55" s="181">
        <v>34</v>
      </c>
      <c r="E55" s="173">
        <f>G55/F55</f>
        <v>0.75625612745098036</v>
      </c>
      <c r="F55" s="176">
        <v>1632000</v>
      </c>
      <c r="G55" s="791">
        <v>1234210</v>
      </c>
      <c r="H55" s="789"/>
      <c r="I55" s="790">
        <f t="shared" si="5"/>
        <v>1234210</v>
      </c>
    </row>
    <row r="56" spans="1:10" x14ac:dyDescent="0.25">
      <c r="A56" s="792"/>
      <c r="B56" s="787" t="s">
        <v>336</v>
      </c>
      <c r="C56" s="166" t="s">
        <v>337</v>
      </c>
      <c r="D56" s="181">
        <v>34</v>
      </c>
      <c r="E56" s="173"/>
      <c r="F56" s="176"/>
      <c r="G56" s="791">
        <v>2184393</v>
      </c>
      <c r="H56" s="789"/>
      <c r="I56" s="790">
        <f t="shared" si="5"/>
        <v>2184393</v>
      </c>
    </row>
    <row r="57" spans="1:10" ht="27.6" x14ac:dyDescent="0.25">
      <c r="A57" s="786"/>
      <c r="B57" s="787" t="s">
        <v>724</v>
      </c>
      <c r="C57" s="184" t="s">
        <v>723</v>
      </c>
      <c r="D57" s="181">
        <v>3</v>
      </c>
      <c r="E57" s="173">
        <v>3</v>
      </c>
      <c r="F57" s="176">
        <v>1508760</v>
      </c>
      <c r="G57" s="791">
        <v>4526280</v>
      </c>
      <c r="H57" s="789"/>
      <c r="I57" s="790">
        <f t="shared" si="5"/>
        <v>4526280</v>
      </c>
    </row>
    <row r="58" spans="1:10" x14ac:dyDescent="0.25">
      <c r="A58" s="786">
        <v>2</v>
      </c>
      <c r="B58" s="787"/>
      <c r="C58" s="166" t="s">
        <v>679</v>
      </c>
      <c r="D58" s="181"/>
      <c r="E58" s="173"/>
      <c r="F58" s="176"/>
      <c r="G58" s="791"/>
      <c r="H58" s="789">
        <v>393239</v>
      </c>
      <c r="I58" s="790">
        <f t="shared" si="5"/>
        <v>393239</v>
      </c>
    </row>
    <row r="59" spans="1:10" x14ac:dyDescent="0.25">
      <c r="A59" s="786">
        <v>2</v>
      </c>
      <c r="B59" s="787"/>
      <c r="C59" s="798" t="s">
        <v>680</v>
      </c>
      <c r="D59" s="181"/>
      <c r="E59" s="173"/>
      <c r="F59" s="176"/>
      <c r="G59" s="791"/>
      <c r="H59" s="789">
        <v>1223716</v>
      </c>
      <c r="I59" s="790">
        <f t="shared" si="5"/>
        <v>1223716</v>
      </c>
    </row>
    <row r="60" spans="1:10" x14ac:dyDescent="0.25">
      <c r="A60" s="786"/>
      <c r="B60" s="787"/>
      <c r="C60" s="798" t="s">
        <v>234</v>
      </c>
      <c r="D60" s="181"/>
      <c r="E60" s="173"/>
      <c r="F60" s="176"/>
      <c r="G60" s="791"/>
      <c r="H60" s="845">
        <v>1522777</v>
      </c>
      <c r="I60" s="790">
        <f t="shared" si="5"/>
        <v>1522777</v>
      </c>
    </row>
    <row r="61" spans="1:10" x14ac:dyDescent="0.25">
      <c r="A61" s="786">
        <v>2</v>
      </c>
      <c r="B61" s="199"/>
      <c r="C61" s="167" t="s">
        <v>346</v>
      </c>
      <c r="D61" s="188"/>
      <c r="E61" s="167"/>
      <c r="F61" s="170"/>
      <c r="G61" s="794">
        <f>SUM(G54:G57)</f>
        <v>28202983</v>
      </c>
      <c r="H61" s="794">
        <f>SUM(H54:H60)</f>
        <v>3139732</v>
      </c>
      <c r="I61" s="401">
        <f>SUM(I54:I60)</f>
        <v>31342715</v>
      </c>
    </row>
    <row r="62" spans="1:10" x14ac:dyDescent="0.25">
      <c r="A62" s="786">
        <v>2</v>
      </c>
      <c r="B62" s="787"/>
      <c r="C62" s="166"/>
      <c r="D62" s="181"/>
      <c r="E62" s="166"/>
      <c r="F62" s="200"/>
      <c r="G62" s="799"/>
      <c r="H62" s="789"/>
      <c r="I62" s="790"/>
    </row>
    <row r="63" spans="1:10" x14ac:dyDescent="0.25">
      <c r="A63" s="786"/>
      <c r="B63" s="201"/>
      <c r="C63" s="182"/>
      <c r="D63" s="198"/>
      <c r="E63" s="182"/>
      <c r="F63" s="182"/>
      <c r="G63" s="800"/>
      <c r="H63" s="789"/>
      <c r="I63" s="790"/>
    </row>
    <row r="64" spans="1:10" x14ac:dyDescent="0.25">
      <c r="A64" s="786"/>
      <c r="B64" s="787" t="s">
        <v>347</v>
      </c>
      <c r="C64" s="167" t="s">
        <v>348</v>
      </c>
      <c r="D64" s="188"/>
      <c r="E64" s="202"/>
      <c r="F64" s="170"/>
      <c r="G64" s="801"/>
      <c r="H64" s="789"/>
      <c r="I64" s="790"/>
    </row>
    <row r="65" spans="1:9" ht="14.4" x14ac:dyDescent="0.3">
      <c r="A65" s="802"/>
      <c r="B65" s="787" t="s">
        <v>718</v>
      </c>
      <c r="C65" s="185" t="s">
        <v>714</v>
      </c>
      <c r="D65" s="189"/>
      <c r="E65" s="173">
        <f>G65/F65</f>
        <v>7.6</v>
      </c>
      <c r="F65" s="162">
        <v>3000000</v>
      </c>
      <c r="G65" s="791">
        <v>22800000</v>
      </c>
      <c r="H65" s="789"/>
      <c r="I65" s="790">
        <f t="shared" ref="I65:I76" si="6">G65+H65</f>
        <v>22800000</v>
      </c>
    </row>
    <row r="66" spans="1:9" ht="14.4" x14ac:dyDescent="0.3">
      <c r="A66" s="786"/>
      <c r="B66" s="787" t="s">
        <v>719</v>
      </c>
      <c r="C66" s="185" t="s">
        <v>715</v>
      </c>
      <c r="D66" s="189"/>
      <c r="E66" s="173">
        <f>G66/F66</f>
        <v>3.7</v>
      </c>
      <c r="F66" s="162">
        <v>3000000</v>
      </c>
      <c r="G66" s="791">
        <v>11100000</v>
      </c>
      <c r="H66" s="789"/>
      <c r="I66" s="790">
        <f t="shared" si="6"/>
        <v>11100000</v>
      </c>
    </row>
    <row r="67" spans="1:9" x14ac:dyDescent="0.25">
      <c r="A67" s="803"/>
      <c r="B67" s="787" t="s">
        <v>349</v>
      </c>
      <c r="C67" s="166" t="s">
        <v>305</v>
      </c>
      <c r="D67" s="176">
        <v>100</v>
      </c>
      <c r="E67" s="176">
        <v>100</v>
      </c>
      <c r="F67" s="162">
        <v>55360</v>
      </c>
      <c r="G67" s="791">
        <v>5536000</v>
      </c>
      <c r="H67" s="789"/>
      <c r="I67" s="790">
        <f t="shared" si="6"/>
        <v>5536000</v>
      </c>
    </row>
    <row r="68" spans="1:9" x14ac:dyDescent="0.25">
      <c r="A68" s="786">
        <v>2</v>
      </c>
      <c r="B68" s="787" t="s">
        <v>1</v>
      </c>
      <c r="C68" s="166" t="s">
        <v>306</v>
      </c>
      <c r="D68" s="176">
        <v>12</v>
      </c>
      <c r="E68" s="176">
        <v>12</v>
      </c>
      <c r="F68" s="162">
        <v>25000</v>
      </c>
      <c r="G68" s="791">
        <f>F68*E68</f>
        <v>300000</v>
      </c>
      <c r="H68" s="789"/>
      <c r="I68" s="790">
        <f t="shared" si="6"/>
        <v>300000</v>
      </c>
    </row>
    <row r="69" spans="1:9" x14ac:dyDescent="0.25">
      <c r="A69" s="786">
        <v>2</v>
      </c>
      <c r="B69" s="787" t="s">
        <v>2</v>
      </c>
      <c r="C69" s="166" t="s">
        <v>306</v>
      </c>
      <c r="D69" s="176">
        <v>25</v>
      </c>
      <c r="E69" s="176">
        <v>25</v>
      </c>
      <c r="F69" s="162">
        <v>273000</v>
      </c>
      <c r="G69" s="791">
        <f>F69*E69</f>
        <v>6825000</v>
      </c>
      <c r="H69" s="789"/>
      <c r="I69" s="790">
        <f t="shared" si="6"/>
        <v>6825000</v>
      </c>
    </row>
    <row r="70" spans="1:9" x14ac:dyDescent="0.25">
      <c r="A70" s="786">
        <v>2</v>
      </c>
      <c r="B70" s="787" t="s">
        <v>350</v>
      </c>
      <c r="C70" s="203" t="s">
        <v>307</v>
      </c>
      <c r="D70" s="176">
        <v>43</v>
      </c>
      <c r="E70" s="176">
        <v>43</v>
      </c>
      <c r="F70" s="177">
        <v>163500</v>
      </c>
      <c r="G70" s="791">
        <f>F70*E70</f>
        <v>7030500</v>
      </c>
      <c r="H70" s="789"/>
      <c r="I70" s="790">
        <f t="shared" si="6"/>
        <v>7030500</v>
      </c>
    </row>
    <row r="71" spans="1:9" ht="28.8" x14ac:dyDescent="0.3">
      <c r="A71" s="786">
        <v>2</v>
      </c>
      <c r="B71" s="787" t="s">
        <v>351</v>
      </c>
      <c r="C71" s="204" t="s">
        <v>308</v>
      </c>
      <c r="D71" s="186"/>
      <c r="E71" s="186"/>
      <c r="F71" s="187"/>
      <c r="G71" s="804">
        <f>G72+G73+G74</f>
        <v>16060000</v>
      </c>
      <c r="H71" s="789"/>
      <c r="I71" s="790">
        <f t="shared" si="6"/>
        <v>16060000</v>
      </c>
    </row>
    <row r="72" spans="1:9" x14ac:dyDescent="0.25">
      <c r="A72" s="786">
        <v>2</v>
      </c>
      <c r="B72" s="787" t="s">
        <v>3</v>
      </c>
      <c r="C72" s="166" t="s">
        <v>309</v>
      </c>
      <c r="D72" s="176">
        <v>13</v>
      </c>
      <c r="E72" s="176">
        <v>13</v>
      </c>
      <c r="F72" s="162">
        <v>550000</v>
      </c>
      <c r="G72" s="791">
        <f>F72*E72</f>
        <v>7150000</v>
      </c>
      <c r="H72" s="789"/>
      <c r="I72" s="790">
        <f t="shared" si="6"/>
        <v>7150000</v>
      </c>
    </row>
    <row r="73" spans="1:9" ht="27.6" x14ac:dyDescent="0.25">
      <c r="A73" s="786"/>
      <c r="B73" s="787" t="s">
        <v>4</v>
      </c>
      <c r="C73" s="203" t="s">
        <v>310</v>
      </c>
      <c r="D73" s="176">
        <v>23</v>
      </c>
      <c r="E73" s="176">
        <v>23</v>
      </c>
      <c r="F73" s="162">
        <v>220000</v>
      </c>
      <c r="G73" s="791">
        <f>F73*E73</f>
        <v>5060000</v>
      </c>
      <c r="H73" s="789"/>
      <c r="I73" s="790">
        <f t="shared" si="6"/>
        <v>5060000</v>
      </c>
    </row>
    <row r="74" spans="1:9" x14ac:dyDescent="0.25">
      <c r="A74" s="786">
        <v>2</v>
      </c>
      <c r="B74" s="787" t="s">
        <v>5</v>
      </c>
      <c r="C74" s="165" t="s">
        <v>640</v>
      </c>
      <c r="D74" s="176">
        <v>7</v>
      </c>
      <c r="E74" s="176">
        <v>7</v>
      </c>
      <c r="F74" s="162">
        <v>550000</v>
      </c>
      <c r="G74" s="791">
        <f>F74*E74</f>
        <v>3850000</v>
      </c>
      <c r="H74" s="789"/>
      <c r="I74" s="790">
        <f t="shared" si="6"/>
        <v>3850000</v>
      </c>
    </row>
    <row r="75" spans="1:9" x14ac:dyDescent="0.25">
      <c r="A75" s="786">
        <v>2</v>
      </c>
      <c r="B75" s="787"/>
      <c r="C75" s="166" t="s">
        <v>679</v>
      </c>
      <c r="D75" s="176"/>
      <c r="E75" s="176"/>
      <c r="F75" s="162"/>
      <c r="G75" s="791"/>
      <c r="H75" s="789">
        <v>1266785</v>
      </c>
      <c r="I75" s="790">
        <f t="shared" si="6"/>
        <v>1266785</v>
      </c>
    </row>
    <row r="76" spans="1:9" x14ac:dyDescent="0.25">
      <c r="A76" s="786">
        <v>2</v>
      </c>
      <c r="B76" s="787"/>
      <c r="C76" s="798" t="s">
        <v>680</v>
      </c>
      <c r="D76" s="176"/>
      <c r="E76" s="176"/>
      <c r="F76" s="162"/>
      <c r="G76" s="791"/>
      <c r="H76" s="789">
        <v>10509277</v>
      </c>
      <c r="I76" s="790">
        <f t="shared" si="6"/>
        <v>10509277</v>
      </c>
    </row>
    <row r="77" spans="1:9" x14ac:dyDescent="0.25">
      <c r="A77" s="786">
        <v>2</v>
      </c>
      <c r="B77" s="793"/>
      <c r="C77" s="167" t="s">
        <v>352</v>
      </c>
      <c r="D77" s="205"/>
      <c r="E77" s="170"/>
      <c r="F77" s="171"/>
      <c r="G77" s="794">
        <f>G65+G66+G67+G68+G70+G71+G69</f>
        <v>69651500</v>
      </c>
      <c r="H77" s="794">
        <f>H65+H66+H67+H68+H70+H71+H69+H75+H76</f>
        <v>11776062</v>
      </c>
      <c r="I77" s="401">
        <f>I65+I66+I67+I68+I70+I71+I69+I75+I76</f>
        <v>81427562</v>
      </c>
    </row>
    <row r="78" spans="1:9" x14ac:dyDescent="0.25">
      <c r="A78" s="786">
        <v>2</v>
      </c>
      <c r="B78" s="787"/>
      <c r="C78" s="167"/>
      <c r="D78" s="205"/>
      <c r="E78" s="167"/>
      <c r="F78" s="170"/>
      <c r="G78" s="794"/>
      <c r="H78" s="789"/>
      <c r="I78" s="401"/>
    </row>
    <row r="79" spans="1:9" x14ac:dyDescent="0.25">
      <c r="A79" s="786"/>
      <c r="B79" s="787" t="s">
        <v>353</v>
      </c>
      <c r="C79" s="166" t="s">
        <v>354</v>
      </c>
      <c r="D79" s="188">
        <v>39.36</v>
      </c>
      <c r="E79" s="166">
        <v>39.36</v>
      </c>
      <c r="F79" s="170">
        <v>4580000</v>
      </c>
      <c r="G79" s="791">
        <v>180635200</v>
      </c>
      <c r="H79" s="789"/>
      <c r="I79" s="790">
        <f t="shared" ref="I79:I80" si="7">G79+H79</f>
        <v>180635200</v>
      </c>
    </row>
    <row r="80" spans="1:9" x14ac:dyDescent="0.25">
      <c r="A80" s="786"/>
      <c r="B80" s="787"/>
      <c r="C80" s="166" t="s">
        <v>679</v>
      </c>
      <c r="D80" s="188"/>
      <c r="E80" s="166"/>
      <c r="F80" s="170"/>
      <c r="G80" s="791"/>
      <c r="H80" s="789">
        <v>1070832</v>
      </c>
      <c r="I80" s="790">
        <f t="shared" si="7"/>
        <v>1070832</v>
      </c>
    </row>
    <row r="81" spans="1:9" x14ac:dyDescent="0.25">
      <c r="A81" s="792"/>
      <c r="B81" s="197"/>
      <c r="C81" s="167" t="s">
        <v>355</v>
      </c>
      <c r="D81" s="205"/>
      <c r="E81" s="167"/>
      <c r="F81" s="170"/>
      <c r="G81" s="794">
        <f>G79</f>
        <v>180635200</v>
      </c>
      <c r="H81" s="795">
        <f>H80</f>
        <v>1070832</v>
      </c>
      <c r="I81" s="401">
        <f>I79+I80</f>
        <v>181706032</v>
      </c>
    </row>
    <row r="82" spans="1:9" x14ac:dyDescent="0.25">
      <c r="A82" s="786"/>
      <c r="B82" s="195"/>
      <c r="C82" s="167"/>
      <c r="D82" s="205"/>
      <c r="E82" s="166"/>
      <c r="F82" s="170"/>
      <c r="G82" s="794"/>
      <c r="H82" s="789"/>
      <c r="I82" s="401"/>
    </row>
    <row r="83" spans="1:9" x14ac:dyDescent="0.25">
      <c r="A83" s="786">
        <v>2</v>
      </c>
      <c r="B83" s="195" t="s">
        <v>356</v>
      </c>
      <c r="C83" s="166" t="s">
        <v>357</v>
      </c>
      <c r="D83" s="189">
        <v>13952</v>
      </c>
      <c r="E83" s="166">
        <v>13952</v>
      </c>
      <c r="F83" s="176">
        <v>1140</v>
      </c>
      <c r="G83" s="791">
        <v>15905280</v>
      </c>
      <c r="H83" s="789"/>
      <c r="I83" s="394">
        <v>15905280</v>
      </c>
    </row>
    <row r="84" spans="1:9" x14ac:dyDescent="0.25">
      <c r="A84" s="786"/>
      <c r="B84" s="195" t="s">
        <v>684</v>
      </c>
      <c r="C84" s="166" t="s">
        <v>681</v>
      </c>
      <c r="D84" s="189"/>
      <c r="E84" s="166"/>
      <c r="F84" s="176"/>
      <c r="G84" s="791"/>
      <c r="H84" s="789"/>
      <c r="I84" s="394"/>
    </row>
    <row r="85" spans="1:9" x14ac:dyDescent="0.25">
      <c r="A85" s="792"/>
      <c r="B85" s="195"/>
      <c r="C85" s="166" t="s">
        <v>679</v>
      </c>
      <c r="D85" s="189"/>
      <c r="E85" s="166"/>
      <c r="F85" s="176"/>
      <c r="G85" s="791"/>
      <c r="H85" s="789">
        <v>246577</v>
      </c>
      <c r="I85" s="790">
        <f t="shared" ref="I85:I86" si="8">G85+H85</f>
        <v>246577</v>
      </c>
    </row>
    <row r="86" spans="1:9" x14ac:dyDescent="0.25">
      <c r="A86" s="792"/>
      <c r="B86" s="195"/>
      <c r="C86" s="166" t="s">
        <v>235</v>
      </c>
      <c r="D86" s="189"/>
      <c r="E86" s="166"/>
      <c r="F86" s="176"/>
      <c r="G86" s="791"/>
      <c r="H86" s="789">
        <v>1471941</v>
      </c>
      <c r="I86" s="790">
        <f t="shared" si="8"/>
        <v>1471941</v>
      </c>
    </row>
    <row r="87" spans="1:9" x14ac:dyDescent="0.25">
      <c r="A87" s="786"/>
      <c r="B87" s="197"/>
      <c r="C87" s="167" t="s">
        <v>604</v>
      </c>
      <c r="D87" s="188"/>
      <c r="E87" s="167"/>
      <c r="F87" s="170"/>
      <c r="G87" s="794">
        <f>G83</f>
        <v>15905280</v>
      </c>
      <c r="H87" s="795">
        <f>SUM(H85:H86)</f>
        <v>1718518</v>
      </c>
      <c r="I87" s="401">
        <f>I83+I84+I85+I86</f>
        <v>17623798</v>
      </c>
    </row>
    <row r="88" spans="1:9" x14ac:dyDescent="0.25">
      <c r="A88" s="786">
        <v>2</v>
      </c>
      <c r="B88" s="197"/>
      <c r="C88" s="167"/>
      <c r="D88" s="188"/>
      <c r="E88" s="167"/>
      <c r="F88" s="170"/>
      <c r="G88" s="794"/>
      <c r="H88" s="789"/>
      <c r="I88" s="790"/>
    </row>
    <row r="89" spans="1:9" x14ac:dyDescent="0.25">
      <c r="A89" s="786" t="s">
        <v>706</v>
      </c>
      <c r="B89" s="197"/>
      <c r="C89" s="166" t="s">
        <v>679</v>
      </c>
      <c r="D89" s="188"/>
      <c r="E89" s="167"/>
      <c r="F89" s="170"/>
      <c r="G89" s="794"/>
      <c r="H89" s="789">
        <v>730850</v>
      </c>
      <c r="I89" s="790">
        <f t="shared" ref="I89" si="9">G89+H89</f>
        <v>730850</v>
      </c>
    </row>
    <row r="90" spans="1:9" ht="14.4" thickBot="1" x14ac:dyDescent="0.3">
      <c r="A90" s="871" t="s">
        <v>707</v>
      </c>
      <c r="B90" s="805"/>
      <c r="C90" s="806" t="s">
        <v>682</v>
      </c>
      <c r="D90" s="807"/>
      <c r="E90" s="806"/>
      <c r="F90" s="808"/>
      <c r="G90" s="809"/>
      <c r="H90" s="846">
        <f>SUM(H89)</f>
        <v>730850</v>
      </c>
      <c r="I90" s="872">
        <f>SUM(I89)</f>
        <v>730850</v>
      </c>
    </row>
    <row r="91" spans="1:9" ht="27.6" x14ac:dyDescent="0.25">
      <c r="A91" s="869"/>
      <c r="B91" s="810" t="s">
        <v>327</v>
      </c>
      <c r="C91" s="406" t="s">
        <v>328</v>
      </c>
      <c r="D91" s="400"/>
      <c r="E91" s="865" t="s">
        <v>289</v>
      </c>
      <c r="F91" s="866" t="s">
        <v>290</v>
      </c>
      <c r="G91" s="785" t="s">
        <v>678</v>
      </c>
      <c r="H91" s="843" t="s">
        <v>230</v>
      </c>
      <c r="I91" s="844" t="s">
        <v>231</v>
      </c>
    </row>
    <row r="92" spans="1:9" ht="27.6" x14ac:dyDescent="0.25">
      <c r="A92" s="792"/>
      <c r="B92" s="811" t="s">
        <v>358</v>
      </c>
      <c r="C92" s="812" t="s">
        <v>638</v>
      </c>
      <c r="D92" s="181"/>
      <c r="E92" s="166"/>
      <c r="F92" s="176"/>
      <c r="G92" s="794"/>
      <c r="H92" s="789"/>
      <c r="I92" s="790"/>
    </row>
    <row r="93" spans="1:9" x14ac:dyDescent="0.25">
      <c r="A93" s="792"/>
      <c r="B93" s="811" t="s">
        <v>359</v>
      </c>
      <c r="C93" s="169" t="s">
        <v>360</v>
      </c>
      <c r="D93" s="188"/>
      <c r="E93" s="167"/>
      <c r="F93" s="170"/>
      <c r="G93" s="794">
        <f>G94+G95+G96+G97</f>
        <v>0</v>
      </c>
      <c r="H93" s="789"/>
      <c r="I93" s="790"/>
    </row>
    <row r="94" spans="1:9" x14ac:dyDescent="0.25">
      <c r="A94" s="792"/>
      <c r="B94" s="811" t="s">
        <v>361</v>
      </c>
      <c r="C94" s="163" t="s">
        <v>293</v>
      </c>
      <c r="D94" s="188"/>
      <c r="E94" s="167"/>
      <c r="F94" s="170"/>
      <c r="G94" s="791">
        <v>0</v>
      </c>
      <c r="H94" s="789"/>
      <c r="I94" s="790"/>
    </row>
    <row r="95" spans="1:9" x14ac:dyDescent="0.25">
      <c r="A95" s="797" t="s">
        <v>326</v>
      </c>
      <c r="B95" s="811" t="s">
        <v>362</v>
      </c>
      <c r="C95" s="163" t="s">
        <v>295</v>
      </c>
      <c r="D95" s="181"/>
      <c r="E95" s="166"/>
      <c r="F95" s="162"/>
      <c r="G95" s="791">
        <v>0</v>
      </c>
      <c r="H95" s="789"/>
      <c r="I95" s="790"/>
    </row>
    <row r="96" spans="1:9" x14ac:dyDescent="0.25">
      <c r="A96" s="786">
        <v>2</v>
      </c>
      <c r="B96" s="811" t="s">
        <v>363</v>
      </c>
      <c r="C96" s="163" t="s">
        <v>296</v>
      </c>
      <c r="D96" s="181"/>
      <c r="E96" s="166"/>
      <c r="F96" s="176"/>
      <c r="G96" s="791">
        <v>0</v>
      </c>
      <c r="H96" s="789"/>
      <c r="I96" s="790"/>
    </row>
    <row r="97" spans="1:11" x14ac:dyDescent="0.25">
      <c r="A97" s="786">
        <v>2</v>
      </c>
      <c r="B97" s="811" t="s">
        <v>364</v>
      </c>
      <c r="C97" s="163" t="s">
        <v>297</v>
      </c>
      <c r="D97" s="181"/>
      <c r="E97" s="176"/>
      <c r="F97" s="196"/>
      <c r="G97" s="791">
        <v>0</v>
      </c>
      <c r="H97" s="789"/>
      <c r="I97" s="790"/>
    </row>
    <row r="98" spans="1:11" x14ac:dyDescent="0.25">
      <c r="A98" s="786">
        <v>2</v>
      </c>
      <c r="B98" s="811" t="s">
        <v>637</v>
      </c>
      <c r="C98" s="163" t="s">
        <v>636</v>
      </c>
      <c r="D98" s="181"/>
      <c r="E98" s="176"/>
      <c r="F98" s="196"/>
      <c r="G98" s="791">
        <v>0</v>
      </c>
      <c r="H98" s="789"/>
      <c r="I98" s="790"/>
    </row>
    <row r="99" spans="1:11" x14ac:dyDescent="0.25">
      <c r="A99" s="786">
        <v>2</v>
      </c>
      <c r="B99" s="811" t="s">
        <v>365</v>
      </c>
      <c r="C99" s="163" t="s">
        <v>324</v>
      </c>
      <c r="D99" s="181"/>
      <c r="E99" s="176"/>
      <c r="F99" s="196"/>
      <c r="G99" s="791">
        <v>0</v>
      </c>
      <c r="H99" s="789"/>
      <c r="I99" s="790"/>
    </row>
    <row r="100" spans="1:11" x14ac:dyDescent="0.25">
      <c r="A100" s="786">
        <v>2</v>
      </c>
      <c r="B100" s="811" t="s">
        <v>635</v>
      </c>
      <c r="C100" s="163" t="s">
        <v>323</v>
      </c>
      <c r="D100" s="198"/>
      <c r="E100" s="176"/>
      <c r="F100" s="206"/>
      <c r="G100" s="791">
        <v>245760465</v>
      </c>
      <c r="H100" s="789"/>
      <c r="I100" s="790">
        <f t="shared" ref="I100:I105" si="10">G100+H100</f>
        <v>245760465</v>
      </c>
    </row>
    <row r="101" spans="1:11" x14ac:dyDescent="0.25">
      <c r="A101" s="786">
        <v>2</v>
      </c>
      <c r="B101" s="811" t="s">
        <v>330</v>
      </c>
      <c r="C101" s="163" t="s">
        <v>319</v>
      </c>
      <c r="D101" s="181"/>
      <c r="E101" s="166"/>
      <c r="F101" s="176"/>
      <c r="G101" s="791">
        <v>1398120</v>
      </c>
      <c r="H101" s="789"/>
      <c r="I101" s="790">
        <f t="shared" si="10"/>
        <v>1398120</v>
      </c>
    </row>
    <row r="102" spans="1:11" x14ac:dyDescent="0.25">
      <c r="A102" s="786">
        <v>2</v>
      </c>
      <c r="B102" s="811" t="s">
        <v>334</v>
      </c>
      <c r="C102" s="163" t="s">
        <v>342</v>
      </c>
      <c r="D102" s="181"/>
      <c r="E102" s="166"/>
      <c r="F102" s="176"/>
      <c r="G102" s="791">
        <v>28749840</v>
      </c>
      <c r="H102" s="789"/>
      <c r="I102" s="790">
        <f t="shared" si="10"/>
        <v>28749840</v>
      </c>
    </row>
    <row r="103" spans="1:11" x14ac:dyDescent="0.25">
      <c r="A103" s="786">
        <v>2</v>
      </c>
      <c r="B103" s="811" t="s">
        <v>336</v>
      </c>
      <c r="C103" s="163" t="s">
        <v>337</v>
      </c>
      <c r="D103" s="181"/>
      <c r="E103" s="166"/>
      <c r="F103" s="176"/>
      <c r="G103" s="791">
        <v>12751735</v>
      </c>
      <c r="H103" s="789"/>
      <c r="I103" s="790">
        <f t="shared" si="10"/>
        <v>12751735</v>
      </c>
    </row>
    <row r="104" spans="1:11" x14ac:dyDescent="0.25">
      <c r="A104" s="786">
        <v>2</v>
      </c>
      <c r="B104" s="811" t="s">
        <v>236</v>
      </c>
      <c r="C104" s="163" t="s">
        <v>720</v>
      </c>
      <c r="D104" s="181"/>
      <c r="E104" s="166">
        <v>2128</v>
      </c>
      <c r="F104" s="176">
        <v>342</v>
      </c>
      <c r="G104" s="791">
        <v>727776</v>
      </c>
      <c r="H104" s="789">
        <v>-17100</v>
      </c>
      <c r="I104" s="790">
        <f t="shared" si="10"/>
        <v>710676</v>
      </c>
    </row>
    <row r="105" spans="1:11" x14ac:dyDescent="0.25">
      <c r="A105" s="786">
        <v>2</v>
      </c>
      <c r="B105" s="811" t="s">
        <v>725</v>
      </c>
      <c r="C105" s="175" t="s">
        <v>237</v>
      </c>
      <c r="D105" s="181"/>
      <c r="E105" s="166"/>
      <c r="F105" s="176"/>
      <c r="G105" s="791">
        <v>957072</v>
      </c>
      <c r="H105" s="789">
        <v>-882523</v>
      </c>
      <c r="I105" s="790">
        <f t="shared" si="10"/>
        <v>74549</v>
      </c>
    </row>
    <row r="106" spans="1:11" x14ac:dyDescent="0.25">
      <c r="A106" s="786"/>
      <c r="B106" s="811"/>
      <c r="C106" s="175" t="s">
        <v>238</v>
      </c>
      <c r="D106" s="181"/>
      <c r="E106" s="166"/>
      <c r="F106" s="176"/>
      <c r="G106" s="791"/>
      <c r="H106" s="789">
        <v>506173</v>
      </c>
      <c r="I106" s="790">
        <f t="shared" ref="I106" si="11">G106+H106</f>
        <v>506173</v>
      </c>
    </row>
    <row r="107" spans="1:11" x14ac:dyDescent="0.25">
      <c r="A107" s="786"/>
      <c r="B107" s="811" t="s">
        <v>447</v>
      </c>
      <c r="C107" s="180" t="s">
        <v>148</v>
      </c>
      <c r="D107" s="181"/>
      <c r="E107" s="166"/>
      <c r="F107" s="176"/>
      <c r="G107" s="791"/>
      <c r="H107" s="789"/>
      <c r="I107" s="790"/>
    </row>
    <row r="108" spans="1:11" x14ac:dyDescent="0.25">
      <c r="A108" s="786"/>
      <c r="B108" s="811" t="s">
        <v>446</v>
      </c>
      <c r="C108" s="180" t="s">
        <v>445</v>
      </c>
      <c r="D108" s="181"/>
      <c r="E108" s="166"/>
      <c r="F108" s="176"/>
      <c r="G108" s="791"/>
      <c r="H108" s="789"/>
      <c r="I108" s="790"/>
    </row>
    <row r="109" spans="1:11" ht="27.6" x14ac:dyDescent="0.25">
      <c r="A109" s="786">
        <v>2</v>
      </c>
      <c r="B109" s="811"/>
      <c r="C109" s="813" t="s">
        <v>35</v>
      </c>
      <c r="D109" s="181"/>
      <c r="E109" s="166"/>
      <c r="F109" s="176"/>
      <c r="G109" s="791">
        <v>160000000</v>
      </c>
      <c r="H109" s="789"/>
      <c r="I109" s="790">
        <f t="shared" ref="I109:I112" si="12">G109+H109</f>
        <v>160000000</v>
      </c>
    </row>
    <row r="110" spans="1:11" ht="27.6" x14ac:dyDescent="0.25">
      <c r="A110" s="786">
        <v>2</v>
      </c>
      <c r="B110" s="811"/>
      <c r="C110" s="813" t="s">
        <v>449</v>
      </c>
      <c r="D110" s="181"/>
      <c r="E110" s="166"/>
      <c r="F110" s="176"/>
      <c r="G110" s="791"/>
      <c r="H110" s="789"/>
      <c r="I110" s="790">
        <f t="shared" si="12"/>
        <v>0</v>
      </c>
    </row>
    <row r="111" spans="1:11" x14ac:dyDescent="0.25">
      <c r="A111" s="786">
        <v>3</v>
      </c>
      <c r="B111" s="811"/>
      <c r="C111" s="813" t="s">
        <v>469</v>
      </c>
      <c r="D111" s="181"/>
      <c r="E111" s="166"/>
      <c r="F111" s="176"/>
      <c r="G111" s="791"/>
      <c r="H111" s="789"/>
      <c r="I111" s="790">
        <f t="shared" si="12"/>
        <v>0</v>
      </c>
      <c r="J111" s="328" t="s">
        <v>239</v>
      </c>
      <c r="K111" t="s">
        <v>240</v>
      </c>
    </row>
    <row r="112" spans="1:11" x14ac:dyDescent="0.25">
      <c r="A112" s="786">
        <v>3</v>
      </c>
      <c r="B112" s="811"/>
      <c r="C112" s="175" t="s">
        <v>683</v>
      </c>
      <c r="D112" s="181"/>
      <c r="E112" s="166"/>
      <c r="F112" s="176"/>
      <c r="G112" s="791"/>
      <c r="H112" s="789">
        <f>J112+K112</f>
        <v>3324132</v>
      </c>
      <c r="I112" s="790">
        <f t="shared" si="12"/>
        <v>3324132</v>
      </c>
      <c r="J112" s="783">
        <v>313100</v>
      </c>
      <c r="K112" s="329">
        <v>3011032</v>
      </c>
    </row>
    <row r="113" spans="1:11" x14ac:dyDescent="0.25">
      <c r="A113" s="786"/>
      <c r="B113" s="811"/>
      <c r="C113" s="175" t="s">
        <v>468</v>
      </c>
      <c r="D113" s="181"/>
      <c r="E113" s="166"/>
      <c r="F113" s="176"/>
      <c r="G113" s="791">
        <v>3583000</v>
      </c>
      <c r="H113" s="789">
        <v>-234616</v>
      </c>
      <c r="I113" s="790">
        <f>G113+H113</f>
        <v>3348384</v>
      </c>
      <c r="J113" s="328" t="s">
        <v>241</v>
      </c>
      <c r="K113" t="s">
        <v>242</v>
      </c>
    </row>
    <row r="114" spans="1:11" x14ac:dyDescent="0.25">
      <c r="A114" s="786"/>
      <c r="B114" s="803"/>
      <c r="C114" s="169" t="s">
        <v>366</v>
      </c>
      <c r="D114" s="198"/>
      <c r="E114" s="182"/>
      <c r="F114" s="182"/>
      <c r="G114" s="794">
        <f>G93+G101+G92+G100+G104+G105+G109+G102+G103+G113</f>
        <v>453928008</v>
      </c>
      <c r="H114" s="795">
        <f>SUM(H93:H113)</f>
        <v>2696066</v>
      </c>
      <c r="I114" s="796">
        <f>SUM(I93:I113)</f>
        <v>456624074</v>
      </c>
    </row>
    <row r="115" spans="1:11" x14ac:dyDescent="0.25">
      <c r="A115" s="786"/>
      <c r="B115" s="803"/>
      <c r="C115" s="169"/>
      <c r="D115" s="198"/>
      <c r="E115" s="182"/>
      <c r="F115" s="182"/>
      <c r="G115" s="794"/>
      <c r="H115" s="789"/>
      <c r="I115" s="790"/>
    </row>
    <row r="116" spans="1:11" x14ac:dyDescent="0.25">
      <c r="A116" s="786"/>
      <c r="B116" s="803"/>
      <c r="C116" s="169"/>
      <c r="D116" s="198"/>
      <c r="E116" s="182"/>
      <c r="F116" s="182"/>
      <c r="G116" s="794"/>
      <c r="H116" s="789"/>
      <c r="I116" s="790"/>
    </row>
    <row r="117" spans="1:11" x14ac:dyDescent="0.25">
      <c r="A117" s="786"/>
      <c r="B117" s="811"/>
      <c r="C117" s="163"/>
      <c r="D117" s="198"/>
      <c r="E117" s="176"/>
      <c r="F117" s="177"/>
      <c r="G117" s="791"/>
      <c r="H117" s="789"/>
      <c r="I117" s="790"/>
    </row>
    <row r="118" spans="1:11" x14ac:dyDescent="0.25">
      <c r="A118" s="803"/>
      <c r="B118" s="811"/>
      <c r="C118" s="163"/>
      <c r="D118" s="198"/>
      <c r="E118" s="176"/>
      <c r="F118" s="177"/>
      <c r="G118" s="791"/>
      <c r="H118" s="789"/>
      <c r="I118" s="790"/>
    </row>
    <row r="119" spans="1:11" x14ac:dyDescent="0.25">
      <c r="A119" s="803"/>
      <c r="B119" s="811"/>
      <c r="C119" s="163"/>
      <c r="D119" s="181"/>
      <c r="E119" s="166"/>
      <c r="F119" s="176"/>
      <c r="G119" s="791"/>
      <c r="H119" s="789"/>
      <c r="I119" s="790"/>
    </row>
    <row r="120" spans="1:11" ht="14.4" thickBot="1" x14ac:dyDescent="0.3">
      <c r="A120" s="814"/>
      <c r="B120" s="815"/>
      <c r="C120" s="816" t="s">
        <v>367</v>
      </c>
      <c r="D120" s="207"/>
      <c r="E120" s="208"/>
      <c r="F120" s="209"/>
      <c r="G120" s="809">
        <f>G14+G26+G38+G50+G77+G81+G114+G61+G116+G87</f>
        <v>1043254876</v>
      </c>
      <c r="H120" s="809">
        <f>H14+H26+H38+H50+H77+H81+H114+H61+H116+H87+H90</f>
        <v>23447268</v>
      </c>
      <c r="I120" s="402">
        <f>I14+I26+I38+I50+I77+I81+I114+I61+I116+I87+I90</f>
        <v>1066702144</v>
      </c>
    </row>
    <row r="121" spans="1:11" x14ac:dyDescent="0.25">
      <c r="A121" s="817"/>
      <c r="B121" s="818"/>
    </row>
    <row r="122" spans="1:11" x14ac:dyDescent="0.25">
      <c r="A122" s="819"/>
      <c r="B122" s="818"/>
      <c r="C122" s="818"/>
    </row>
    <row r="123" spans="1:11" x14ac:dyDescent="0.25">
      <c r="A123" s="819"/>
      <c r="B123" s="818"/>
      <c r="C123" s="818"/>
    </row>
    <row r="124" spans="1:11" x14ac:dyDescent="0.25">
      <c r="A124" s="819"/>
      <c r="B124" s="818"/>
      <c r="C124" s="818"/>
    </row>
    <row r="125" spans="1:11" x14ac:dyDescent="0.25">
      <c r="A125" s="818"/>
      <c r="C125" s="818"/>
    </row>
  </sheetData>
  <mergeCells count="1">
    <mergeCell ref="A1:I1"/>
  </mergeCells>
  <phoneticPr fontId="28" type="noConversion"/>
  <pageMargins left="0.7" right="0.7" top="0.75" bottom="0.75" header="0.3" footer="0.3"/>
  <pageSetup paperSize="9" scale="56" orientation="landscape" r:id="rId1"/>
  <headerFooter alignWithMargins="0">
    <oddHeader>&amp;C
2/c. melléklet az önkormányzat 2017. évi költségvetéséről szóló 8/2017. (II.24.) önkormányzati rendeletéhez&amp;R
&amp;P. oldal</oddHeader>
  </headerFooter>
  <rowBreaks count="2" manualBreakCount="2">
    <brk id="50" max="8" man="1"/>
    <brk id="90"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pageSetUpPr fitToPage="1"/>
  </sheetPr>
  <dimension ref="A1:AZ17"/>
  <sheetViews>
    <sheetView view="pageLayout" topLeftCell="S1" zoomScaleNormal="80" zoomScaleSheetLayoutView="89" workbookViewId="0">
      <selection activeCell="C9" sqref="C9"/>
    </sheetView>
  </sheetViews>
  <sheetFormatPr defaultColWidth="9.109375" defaultRowHeight="13.2" x14ac:dyDescent="0.25"/>
  <cols>
    <col min="1" max="1" width="22.5546875" style="13" customWidth="1"/>
    <col min="2" max="2" width="15.109375" style="13" customWidth="1"/>
    <col min="3" max="3" width="15.6640625" style="13" customWidth="1"/>
    <col min="4" max="4" width="15.33203125" style="13" customWidth="1"/>
    <col min="5" max="5" width="14.6640625" style="13" customWidth="1"/>
    <col min="6" max="6" width="16.109375" style="13" customWidth="1"/>
    <col min="7" max="7" width="15.33203125" style="13" customWidth="1"/>
    <col min="8" max="10" width="14.33203125" style="13" customWidth="1"/>
    <col min="11" max="11" width="15.109375" style="13" customWidth="1"/>
    <col min="12" max="12" width="16.44140625" style="13" customWidth="1"/>
    <col min="13" max="13" width="16.109375" style="13" customWidth="1"/>
    <col min="14" max="14" width="14" style="13" customWidth="1"/>
    <col min="15" max="15" width="16.6640625" style="13" bestFit="1" customWidth="1"/>
    <col min="16" max="16" width="14" style="13" customWidth="1"/>
    <col min="17" max="17" width="16.5546875" style="13" bestFit="1" customWidth="1"/>
    <col min="18" max="18" width="16.6640625" style="13" bestFit="1" customWidth="1"/>
    <col min="19" max="19" width="15.88671875" style="13" customWidth="1"/>
    <col min="20" max="20" width="16" style="13" customWidth="1"/>
    <col min="21" max="21" width="16.88671875" style="13" customWidth="1"/>
    <col min="22" max="22" width="16" style="13" customWidth="1"/>
    <col min="23" max="23" width="11.44140625" style="13" customWidth="1"/>
    <col min="24" max="24" width="19" style="13" customWidth="1"/>
    <col min="25" max="25" width="10.6640625" style="13" customWidth="1"/>
    <col min="26" max="16384" width="9.109375" style="13"/>
  </cols>
  <sheetData>
    <row r="1" spans="1:52" ht="12.75" customHeight="1" x14ac:dyDescent="0.25">
      <c r="A1" s="1529"/>
      <c r="B1" s="1529"/>
      <c r="C1" s="1529"/>
      <c r="D1" s="1529"/>
      <c r="E1" s="1529"/>
      <c r="F1" s="1529"/>
      <c r="G1" s="1529"/>
      <c r="H1" s="1529"/>
      <c r="I1" s="1529"/>
      <c r="J1" s="1529"/>
      <c r="K1" s="1529"/>
      <c r="L1" s="1"/>
      <c r="M1" s="1"/>
      <c r="N1" s="1528"/>
      <c r="O1" s="1528"/>
      <c r="P1" s="1528"/>
      <c r="Q1" s="1528"/>
      <c r="R1" s="1528"/>
      <c r="S1" s="1528"/>
      <c r="T1" s="1528"/>
      <c r="U1" s="1528"/>
      <c r="V1" s="1528"/>
    </row>
    <row r="2" spans="1:52" ht="12.75" customHeight="1" x14ac:dyDescent="0.25">
      <c r="A2" s="1529"/>
      <c r="B2" s="1529"/>
      <c r="C2" s="1529"/>
      <c r="D2" s="1529"/>
      <c r="E2" s="1529"/>
      <c r="F2" s="1529"/>
      <c r="G2" s="1529"/>
      <c r="H2" s="1529"/>
      <c r="I2" s="1529"/>
      <c r="J2" s="1529"/>
      <c r="K2" s="1529"/>
      <c r="L2" s="1"/>
      <c r="M2" s="1529" t="s">
        <v>935</v>
      </c>
      <c r="N2" s="1529"/>
      <c r="O2" s="1529"/>
      <c r="P2" s="1529"/>
      <c r="Q2" s="1529"/>
      <c r="R2" s="1529"/>
      <c r="S2" s="1529"/>
      <c r="T2" s="1529"/>
      <c r="U2" s="1529"/>
      <c r="V2" s="1529"/>
    </row>
    <row r="3" spans="1:52" x14ac:dyDescent="0.25">
      <c r="K3" s="46"/>
      <c r="L3" s="46"/>
      <c r="M3" s="46"/>
      <c r="T3" s="46"/>
      <c r="U3" s="46"/>
      <c r="V3" s="46"/>
    </row>
    <row r="4" spans="1:52" x14ac:dyDescent="0.25">
      <c r="K4" s="46"/>
      <c r="L4" s="46"/>
      <c r="M4" s="46"/>
      <c r="T4" s="46"/>
      <c r="U4" s="46"/>
      <c r="V4" s="46"/>
    </row>
    <row r="5" spans="1:52" ht="13.8" thickBot="1" x14ac:dyDescent="0.3">
      <c r="K5" s="46"/>
      <c r="L5" s="46"/>
      <c r="M5" s="46"/>
      <c r="T5" s="46"/>
      <c r="U5" s="46"/>
      <c r="V5" s="46"/>
    </row>
    <row r="6" spans="1:52" s="48" customFormat="1" ht="32.25" customHeight="1" thickBot="1" x14ac:dyDescent="0.3">
      <c r="A6" s="1538" t="s">
        <v>631</v>
      </c>
      <c r="B6" s="1536" t="s">
        <v>632</v>
      </c>
      <c r="C6" s="1534"/>
      <c r="D6" s="1535"/>
      <c r="E6" s="1533" t="s">
        <v>368</v>
      </c>
      <c r="F6" s="1534"/>
      <c r="G6" s="1535"/>
      <c r="H6" s="1530" t="s">
        <v>369</v>
      </c>
      <c r="I6" s="1537"/>
      <c r="J6" s="1532"/>
      <c r="K6" s="1533" t="s">
        <v>370</v>
      </c>
      <c r="L6" s="1534"/>
      <c r="M6" s="1535"/>
      <c r="N6" s="1530" t="s">
        <v>371</v>
      </c>
      <c r="O6" s="1531"/>
      <c r="P6" s="1532"/>
      <c r="Q6" s="1533" t="s">
        <v>372</v>
      </c>
      <c r="R6" s="1534"/>
      <c r="S6" s="1535"/>
      <c r="T6" s="1525" t="s">
        <v>373</v>
      </c>
      <c r="U6" s="1526"/>
      <c r="V6" s="1527"/>
    </row>
    <row r="7" spans="1:52" s="49" customFormat="1" ht="63.75" customHeight="1" thickBot="1" x14ac:dyDescent="0.3">
      <c r="A7" s="1539"/>
      <c r="B7" s="600" t="s">
        <v>75</v>
      </c>
      <c r="C7" s="601" t="s">
        <v>228</v>
      </c>
      <c r="D7" s="602" t="s">
        <v>229</v>
      </c>
      <c r="E7" s="600" t="s">
        <v>75</v>
      </c>
      <c r="F7" s="601" t="s">
        <v>228</v>
      </c>
      <c r="G7" s="602" t="s">
        <v>229</v>
      </c>
      <c r="H7" s="600" t="s">
        <v>75</v>
      </c>
      <c r="I7" s="601" t="s">
        <v>228</v>
      </c>
      <c r="J7" s="602" t="s">
        <v>229</v>
      </c>
      <c r="K7" s="600" t="s">
        <v>75</v>
      </c>
      <c r="L7" s="601" t="s">
        <v>228</v>
      </c>
      <c r="M7" s="602" t="s">
        <v>229</v>
      </c>
      <c r="N7" s="600" t="s">
        <v>75</v>
      </c>
      <c r="O7" s="601" t="s">
        <v>228</v>
      </c>
      <c r="P7" s="602" t="s">
        <v>229</v>
      </c>
      <c r="Q7" s="600" t="s">
        <v>75</v>
      </c>
      <c r="R7" s="601" t="s">
        <v>228</v>
      </c>
      <c r="S7" s="602" t="s">
        <v>229</v>
      </c>
      <c r="T7" s="600" t="s">
        <v>75</v>
      </c>
      <c r="U7" s="601" t="s">
        <v>228</v>
      </c>
      <c r="V7" s="602" t="s">
        <v>229</v>
      </c>
    </row>
    <row r="8" spans="1:52" s="54" customFormat="1" ht="20.100000000000001" customHeight="1" x14ac:dyDescent="0.25">
      <c r="A8" s="284" t="s">
        <v>374</v>
      </c>
      <c r="B8" s="239">
        <f>'2c. tábla (2)'!G87</f>
        <v>15905280</v>
      </c>
      <c r="C8" s="114">
        <v>17623798</v>
      </c>
      <c r="D8" s="143">
        <f>C8-B8</f>
        <v>1718518</v>
      </c>
      <c r="E8" s="239">
        <f>'2.a tábla ÚJ '!B50-'3.sz. tábla  (2)'!B8</f>
        <v>35133720</v>
      </c>
      <c r="F8" s="239">
        <f>'2.a tábla ÚJ '!C50-'3.sz. tábla  (2)'!C8</f>
        <v>32244022</v>
      </c>
      <c r="G8" s="143">
        <f>F8-E8</f>
        <v>-2889698</v>
      </c>
      <c r="H8" s="239">
        <f>B8+E8</f>
        <v>51039000</v>
      </c>
      <c r="I8" s="114">
        <f>SUM(C8+F8)</f>
        <v>49867820</v>
      </c>
      <c r="J8" s="143">
        <f t="shared" ref="J8:J15" si="0">I8-H8</f>
        <v>-1171180</v>
      </c>
      <c r="K8" s="239">
        <f>'2.a tábla ÚJ '!B44</f>
        <v>4375000</v>
      </c>
      <c r="L8" s="239">
        <f>'2.a tábla ÚJ '!C44</f>
        <v>4375000</v>
      </c>
      <c r="M8" s="143">
        <f>L8-K8</f>
        <v>0</v>
      </c>
      <c r="N8" s="759">
        <f>'2.a tábla ÚJ '!K46</f>
        <v>480000</v>
      </c>
      <c r="O8" s="114">
        <f>'2.a tábla ÚJ '!C46</f>
        <v>2854366</v>
      </c>
      <c r="P8" s="143">
        <f>O8-N8</f>
        <v>2374366</v>
      </c>
      <c r="Q8" s="246"/>
      <c r="R8" s="118"/>
      <c r="S8" s="143"/>
      <c r="T8" s="241">
        <f t="shared" ref="T8:U10" si="1">H8+K8+N8+Q8</f>
        <v>55894000</v>
      </c>
      <c r="U8" s="115">
        <f t="shared" si="1"/>
        <v>57097186</v>
      </c>
      <c r="V8" s="248">
        <f>U8-T8</f>
        <v>1203186</v>
      </c>
      <c r="W8" s="51"/>
      <c r="X8" s="51"/>
      <c r="Y8" s="52"/>
      <c r="Z8" s="52"/>
      <c r="AA8" s="52"/>
      <c r="AB8" s="53"/>
      <c r="AC8" s="52"/>
      <c r="AD8" s="52"/>
      <c r="AE8" s="52"/>
      <c r="AF8" s="53"/>
      <c r="AG8" s="53"/>
      <c r="AH8" s="53"/>
      <c r="AI8" s="53"/>
      <c r="AJ8" s="53"/>
      <c r="AL8" s="51"/>
      <c r="AM8" s="53"/>
      <c r="AN8" s="53"/>
      <c r="AO8" s="51"/>
      <c r="AP8" s="53"/>
      <c r="AQ8" s="53"/>
      <c r="AR8" s="53"/>
      <c r="AS8" s="53"/>
      <c r="AT8" s="53"/>
      <c r="AU8" s="53"/>
      <c r="AV8" s="53"/>
      <c r="AW8" s="53"/>
      <c r="AX8" s="53"/>
    </row>
    <row r="9" spans="1:52" ht="20.100000000000001" customHeight="1" x14ac:dyDescent="0.25">
      <c r="A9" s="281" t="s">
        <v>375</v>
      </c>
      <c r="B9" s="759">
        <f>'2c. tábla (2)'!G90</f>
        <v>0</v>
      </c>
      <c r="C9" s="114">
        <f>'2c. tábla (2)'!H90</f>
        <v>730850</v>
      </c>
      <c r="D9" s="143">
        <f t="shared" ref="D9:D15" si="2">C9-B9</f>
        <v>730850</v>
      </c>
      <c r="E9" s="239">
        <f>'2.a tábla ÚJ '!E50-'3.sz. tábla  (2)'!B9</f>
        <v>31547000</v>
      </c>
      <c r="F9" s="239">
        <f>'2.a tábla ÚJ '!F50-'3.sz. tábla  (2)'!C9</f>
        <v>33222022</v>
      </c>
      <c r="G9" s="143">
        <f t="shared" ref="G9:G15" si="3">F9-E9</f>
        <v>1675022</v>
      </c>
      <c r="H9" s="239">
        <f>B9+E9</f>
        <v>31547000</v>
      </c>
      <c r="I9" s="114">
        <f>SUM(C9+F9)</f>
        <v>33952872</v>
      </c>
      <c r="J9" s="143">
        <f t="shared" si="0"/>
        <v>2405872</v>
      </c>
      <c r="K9" s="239">
        <f>'2.a tábla ÚJ '!E44</f>
        <v>138712000</v>
      </c>
      <c r="L9" s="239">
        <f>'2.a tábla ÚJ '!F44</f>
        <v>142908731</v>
      </c>
      <c r="M9" s="143">
        <f t="shared" ref="M9:M15" si="4">L9-K9</f>
        <v>4196731</v>
      </c>
      <c r="N9" s="759">
        <f>'2.a tábla ÚJ '!E46</f>
        <v>0</v>
      </c>
      <c r="O9" s="114">
        <f>'2.a tábla ÚJ '!F46</f>
        <v>8148956</v>
      </c>
      <c r="P9" s="143">
        <f t="shared" ref="P9:P15" si="5">O9-N9</f>
        <v>8148956</v>
      </c>
      <c r="Q9" s="246"/>
      <c r="R9" s="118"/>
      <c r="S9" s="143"/>
      <c r="T9" s="241">
        <f t="shared" si="1"/>
        <v>170259000</v>
      </c>
      <c r="U9" s="115">
        <f t="shared" si="1"/>
        <v>185010559</v>
      </c>
      <c r="V9" s="248">
        <f t="shared" ref="V9:V15" si="6">U9-T9</f>
        <v>14751559</v>
      </c>
      <c r="W9" s="20"/>
      <c r="X9" s="20"/>
      <c r="Y9" s="55"/>
      <c r="Z9" s="55"/>
      <c r="AA9" s="55"/>
      <c r="AB9" s="55"/>
      <c r="AC9" s="55"/>
      <c r="AD9" s="55"/>
      <c r="AE9" s="55"/>
      <c r="AF9" s="55"/>
      <c r="AG9" s="55"/>
      <c r="AH9" s="55"/>
      <c r="AI9" s="55"/>
      <c r="AJ9" s="55"/>
      <c r="AL9" s="20"/>
      <c r="AM9" s="55"/>
      <c r="AN9" s="55"/>
      <c r="AO9" s="20"/>
      <c r="AP9" s="55"/>
      <c r="AQ9" s="55"/>
      <c r="AR9" s="55"/>
      <c r="AS9" s="55"/>
      <c r="AT9" s="55"/>
      <c r="AU9" s="55"/>
      <c r="AV9" s="55"/>
      <c r="AW9" s="55"/>
      <c r="AX9" s="55"/>
    </row>
    <row r="10" spans="1:52" s="60" customFormat="1" ht="19.5" customHeight="1" x14ac:dyDescent="0.25">
      <c r="A10" s="285" t="s">
        <v>376</v>
      </c>
      <c r="B10" s="759">
        <f>'2c. tábla (2)'!G61+17</f>
        <v>28203000</v>
      </c>
      <c r="C10" s="114">
        <f>'2c. tábla (2)'!I61+17</f>
        <v>31342732</v>
      </c>
      <c r="D10" s="143">
        <f t="shared" si="2"/>
        <v>3139732</v>
      </c>
      <c r="E10" s="239">
        <f>'2.a tábla ÚJ '!H50-'3.sz. tábla  (2)'!B10</f>
        <v>29862000</v>
      </c>
      <c r="F10" s="239">
        <f>'2.a tábla ÚJ '!I50-'3.sz. tábla  (2)'!C10</f>
        <v>25033785</v>
      </c>
      <c r="G10" s="143">
        <f t="shared" si="3"/>
        <v>-4828215</v>
      </c>
      <c r="H10" s="239">
        <f>'2.a tábla ÚJ '!H50</f>
        <v>58065000</v>
      </c>
      <c r="I10" s="114">
        <f>SUM(C10+F10)</f>
        <v>56376517</v>
      </c>
      <c r="J10" s="143">
        <f t="shared" si="0"/>
        <v>-1688483</v>
      </c>
      <c r="K10" s="239">
        <f>'2.a tábla ÚJ '!H44</f>
        <v>3188000</v>
      </c>
      <c r="L10" s="239">
        <f>'2.a tábla ÚJ '!I44</f>
        <v>3188000</v>
      </c>
      <c r="M10" s="143">
        <f t="shared" si="4"/>
        <v>0</v>
      </c>
      <c r="N10" s="759">
        <f>'2.a tábla ÚJ '!H46</f>
        <v>0</v>
      </c>
      <c r="O10" s="114">
        <f>'2.a tábla ÚJ '!I46</f>
        <v>2374784</v>
      </c>
      <c r="P10" s="143">
        <f t="shared" si="5"/>
        <v>2374784</v>
      </c>
      <c r="Q10" s="246"/>
      <c r="R10" s="119"/>
      <c r="S10" s="143"/>
      <c r="T10" s="241">
        <f t="shared" si="1"/>
        <v>61253000</v>
      </c>
      <c r="U10" s="115">
        <f t="shared" si="1"/>
        <v>61939301</v>
      </c>
      <c r="V10" s="248">
        <f t="shared" si="6"/>
        <v>686301</v>
      </c>
      <c r="W10" s="58"/>
      <c r="X10" s="58"/>
      <c r="Y10" s="59"/>
      <c r="Z10" s="59"/>
      <c r="AA10" s="59"/>
      <c r="AB10" s="59"/>
      <c r="AC10" s="59"/>
      <c r="AD10" s="59"/>
      <c r="AE10" s="59"/>
      <c r="AF10" s="59"/>
      <c r="AG10" s="59"/>
      <c r="AH10" s="59"/>
      <c r="AI10" s="59"/>
      <c r="AJ10" s="59"/>
      <c r="AL10" s="58"/>
      <c r="AM10" s="59"/>
      <c r="AN10" s="59"/>
      <c r="AO10" s="58"/>
      <c r="AP10" s="59"/>
      <c r="AQ10" s="59"/>
      <c r="AR10" s="59"/>
      <c r="AS10" s="59"/>
      <c r="AT10" s="59"/>
      <c r="AU10" s="59"/>
      <c r="AV10" s="59"/>
      <c r="AW10" s="59"/>
      <c r="AX10" s="59"/>
    </row>
    <row r="11" spans="1:52" s="17" customFormat="1" ht="27.75" customHeight="1" x14ac:dyDescent="0.25">
      <c r="A11" s="283" t="s">
        <v>377</v>
      </c>
      <c r="B11" s="240">
        <f>B8+B9+B10</f>
        <v>44108280</v>
      </c>
      <c r="C11" s="117">
        <f>C8+C9+C10</f>
        <v>49697380</v>
      </c>
      <c r="D11" s="340">
        <f t="shared" si="2"/>
        <v>5589100</v>
      </c>
      <c r="E11" s="240">
        <f>E8+E9+E10</f>
        <v>96542720</v>
      </c>
      <c r="F11" s="117">
        <f>F8+F9+F10</f>
        <v>90499829</v>
      </c>
      <c r="G11" s="340">
        <f t="shared" si="3"/>
        <v>-6042891</v>
      </c>
      <c r="H11" s="240">
        <f>H8+H9+H10</f>
        <v>140651000</v>
      </c>
      <c r="I11" s="117">
        <f>I8+I9+I10</f>
        <v>140197209</v>
      </c>
      <c r="J11" s="340">
        <f t="shared" si="0"/>
        <v>-453791</v>
      </c>
      <c r="K11" s="240">
        <f>K8+K9+K10</f>
        <v>146275000</v>
      </c>
      <c r="L11" s="117">
        <f>L8+L9+L10</f>
        <v>150471731</v>
      </c>
      <c r="M11" s="340">
        <f t="shared" si="4"/>
        <v>4196731</v>
      </c>
      <c r="N11" s="651">
        <f>N8+N9+N10</f>
        <v>480000</v>
      </c>
      <c r="O11" s="117">
        <f>O8+O9+O10</f>
        <v>13378106</v>
      </c>
      <c r="P11" s="340">
        <f t="shared" si="5"/>
        <v>12898106</v>
      </c>
      <c r="Q11" s="212">
        <f>Q8+Q9+Q10</f>
        <v>0</v>
      </c>
      <c r="R11" s="117">
        <f>R8+R9+R10</f>
        <v>0</v>
      </c>
      <c r="S11" s="117">
        <f>R11-Q11</f>
        <v>0</v>
      </c>
      <c r="T11" s="240">
        <f>T8+T9+T10</f>
        <v>287406000</v>
      </c>
      <c r="U11" s="117">
        <f>U8+U9+U10</f>
        <v>304047046</v>
      </c>
      <c r="V11" s="341">
        <f t="shared" si="6"/>
        <v>16641046</v>
      </c>
      <c r="W11" s="61"/>
      <c r="X11" s="16"/>
      <c r="Y11" s="61"/>
      <c r="Z11" s="61"/>
      <c r="AA11" s="61"/>
      <c r="AB11" s="61"/>
      <c r="AC11" s="61"/>
      <c r="AD11" s="61"/>
      <c r="AE11" s="61"/>
      <c r="AF11" s="61"/>
      <c r="AG11" s="61"/>
      <c r="AH11" s="61"/>
      <c r="AI11" s="61"/>
      <c r="AJ11" s="61"/>
      <c r="AL11" s="16"/>
      <c r="AM11" s="61"/>
      <c r="AN11" s="61"/>
      <c r="AO11" s="16"/>
      <c r="AP11" s="61"/>
      <c r="AQ11" s="61"/>
      <c r="AR11" s="61"/>
      <c r="AS11" s="61"/>
      <c r="AT11" s="61"/>
      <c r="AU11" s="61"/>
      <c r="AV11" s="61"/>
      <c r="AW11" s="61"/>
      <c r="AX11" s="61"/>
    </row>
    <row r="12" spans="1:52" s="62" customFormat="1" ht="15" customHeight="1" x14ac:dyDescent="0.25">
      <c r="A12" s="286" t="s">
        <v>378</v>
      </c>
      <c r="B12" s="239">
        <f>'2c. tábla (2)'!G81</f>
        <v>180635200</v>
      </c>
      <c r="C12" s="239">
        <f>'2c. tábla (2)'!I81</f>
        <v>181706032</v>
      </c>
      <c r="D12" s="143">
        <f t="shared" si="2"/>
        <v>1070832</v>
      </c>
      <c r="E12" s="239">
        <f>'2.a tábla ÚJ '!O50-'3.sz. tábla  (2)'!B12</f>
        <v>168314784</v>
      </c>
      <c r="F12" s="239">
        <f>'2.a tábla ÚJ '!P50-'3.sz. tábla  (2)'!C12</f>
        <v>157999041</v>
      </c>
      <c r="G12" s="143">
        <f t="shared" si="3"/>
        <v>-10315743</v>
      </c>
      <c r="H12" s="239">
        <f>B12+E12</f>
        <v>348949984</v>
      </c>
      <c r="I12" s="114">
        <f>C12+F12</f>
        <v>339705073</v>
      </c>
      <c r="J12" s="143">
        <f t="shared" si="0"/>
        <v>-9244911</v>
      </c>
      <c r="K12" s="239">
        <f>'2.sz.tábla   (2)'!E73</f>
        <v>38108730</v>
      </c>
      <c r="L12" s="210">
        <f>'2.a tábla ÚJ '!P44</f>
        <v>38722024</v>
      </c>
      <c r="M12" s="143">
        <f t="shared" si="4"/>
        <v>613294</v>
      </c>
      <c r="N12" s="759">
        <f>'2.a tábla ÚJ '!O46</f>
        <v>0</v>
      </c>
      <c r="O12" s="759">
        <f>'2.a tábla ÚJ '!P46</f>
        <v>26436722</v>
      </c>
      <c r="P12" s="143">
        <f t="shared" si="5"/>
        <v>26436722</v>
      </c>
      <c r="Q12" s="246"/>
      <c r="R12" s="210"/>
      <c r="S12" s="143"/>
      <c r="T12" s="241">
        <f>H12+K12+N12+Q12</f>
        <v>387058714</v>
      </c>
      <c r="U12" s="115">
        <f>I12+L12+O12+R12</f>
        <v>404863819</v>
      </c>
      <c r="V12" s="248">
        <f t="shared" si="6"/>
        <v>17805105</v>
      </c>
    </row>
    <row r="13" spans="1:52" s="17" customFormat="1" ht="12.75" customHeight="1" x14ac:dyDescent="0.25">
      <c r="A13" s="287" t="s">
        <v>379</v>
      </c>
      <c r="B13" s="240">
        <f>SUM(B11:B12)</f>
        <v>224743480</v>
      </c>
      <c r="C13" s="117">
        <f t="shared" ref="C13:I13" si="7">SUM(C11:C12)</f>
        <v>231403412</v>
      </c>
      <c r="D13" s="340">
        <f t="shared" si="2"/>
        <v>6659932</v>
      </c>
      <c r="E13" s="240">
        <f>SUM(E11:E12)</f>
        <v>264857504</v>
      </c>
      <c r="F13" s="117">
        <f t="shared" si="7"/>
        <v>248498870</v>
      </c>
      <c r="G13" s="340">
        <f t="shared" si="3"/>
        <v>-16358634</v>
      </c>
      <c r="H13" s="240">
        <f>SUM(H11:H12)</f>
        <v>489600984</v>
      </c>
      <c r="I13" s="117">
        <f t="shared" si="7"/>
        <v>479902282</v>
      </c>
      <c r="J13" s="340">
        <f t="shared" si="0"/>
        <v>-9698702</v>
      </c>
      <c r="K13" s="240">
        <f>SUM(K11:K12)</f>
        <v>184383730</v>
      </c>
      <c r="L13" s="117">
        <f t="shared" ref="L13:U13" si="8">SUM(L11:L12)</f>
        <v>189193755</v>
      </c>
      <c r="M13" s="340">
        <f t="shared" si="4"/>
        <v>4810025</v>
      </c>
      <c r="N13" s="651">
        <f>SUM(N11:N12)</f>
        <v>480000</v>
      </c>
      <c r="O13" s="117">
        <f t="shared" si="8"/>
        <v>39814828</v>
      </c>
      <c r="P13" s="340">
        <f t="shared" si="5"/>
        <v>39334828</v>
      </c>
      <c r="Q13" s="212">
        <f>SUM(Q11:Q12)</f>
        <v>0</v>
      </c>
      <c r="R13" s="117">
        <f t="shared" si="8"/>
        <v>0</v>
      </c>
      <c r="S13" s="117">
        <f>R13-Q13</f>
        <v>0</v>
      </c>
      <c r="T13" s="240">
        <f t="shared" si="8"/>
        <v>674464714</v>
      </c>
      <c r="U13" s="117">
        <f t="shared" si="8"/>
        <v>708910865</v>
      </c>
      <c r="V13" s="341">
        <f t="shared" si="6"/>
        <v>34446151</v>
      </c>
      <c r="W13" s="61"/>
      <c r="X13" s="16"/>
      <c r="Y13" s="61"/>
      <c r="Z13" s="61"/>
      <c r="AA13" s="61"/>
      <c r="AB13" s="61"/>
      <c r="AC13" s="61"/>
      <c r="AD13" s="61"/>
      <c r="AE13" s="61"/>
      <c r="AF13" s="61"/>
      <c r="AG13" s="61"/>
      <c r="AH13" s="61"/>
      <c r="AI13" s="61"/>
      <c r="AJ13" s="61"/>
      <c r="AL13" s="16"/>
      <c r="AM13" s="61"/>
      <c r="AN13" s="61"/>
      <c r="AO13" s="16"/>
      <c r="AP13" s="61"/>
      <c r="AQ13" s="61"/>
      <c r="AR13" s="61"/>
      <c r="AS13" s="61"/>
      <c r="AT13" s="61"/>
      <c r="AU13" s="61"/>
      <c r="AV13" s="61"/>
      <c r="AW13" s="61"/>
      <c r="AX13" s="61"/>
    </row>
    <row r="14" spans="1:52" ht="13.8" x14ac:dyDescent="0.25">
      <c r="A14" s="281" t="s">
        <v>790</v>
      </c>
      <c r="B14" s="239">
        <f>B17-B13</f>
        <v>818511396</v>
      </c>
      <c r="C14" s="239">
        <f>C17-C13</f>
        <v>835298732</v>
      </c>
      <c r="D14" s="143">
        <f t="shared" si="2"/>
        <v>16787336</v>
      </c>
      <c r="E14" s="239">
        <f>-E13</f>
        <v>-264857504</v>
      </c>
      <c r="F14" s="115">
        <f>-F13</f>
        <v>-248498870</v>
      </c>
      <c r="G14" s="143">
        <f t="shared" si="3"/>
        <v>16358634</v>
      </c>
      <c r="H14" s="239"/>
      <c r="I14" s="114"/>
      <c r="J14" s="143">
        <f t="shared" si="0"/>
        <v>0</v>
      </c>
      <c r="K14" s="239">
        <f>'2.sz.tábla   (2)'!B91-'2.sz.tábla   (2)'!B78-'2.sz.tábla   (2)'!B75-'2.sz.tábla   (2)'!B7-'2.sz.tábla   (2)'!B22</f>
        <v>4253902634</v>
      </c>
      <c r="L14" s="239">
        <f>'2.sz.tábla   (2)'!C91-'2.sz.tábla   (2)'!C78-'2.sz.tábla   (2)'!C75-'2.sz.tábla   (2)'!C7-'2.sz.tábla   (2)'!C22</f>
        <v>5325365444</v>
      </c>
      <c r="M14" s="143">
        <f t="shared" si="4"/>
        <v>1071462810</v>
      </c>
      <c r="N14" s="759">
        <f>'2.sz.tábla   (2)'!B75</f>
        <v>790696379</v>
      </c>
      <c r="O14" s="759">
        <f>'2.sz.tábla   (2)'!C75</f>
        <v>1017271328</v>
      </c>
      <c r="P14" s="143">
        <f t="shared" si="5"/>
        <v>226574949</v>
      </c>
      <c r="Q14" s="246">
        <f>'2.sz.tábla   (2)'!B78</f>
        <v>1193980000</v>
      </c>
      <c r="R14" s="246">
        <f>'2.sz.tábla   (2)'!C78</f>
        <v>2505160000</v>
      </c>
      <c r="S14" s="143">
        <f>R14-Q14</f>
        <v>1311180000</v>
      </c>
      <c r="T14" s="241">
        <f>H14+K14+N14+Q14+E14+B14</f>
        <v>6792232905</v>
      </c>
      <c r="U14" s="115">
        <f>I14+L14+O14+R14+F14+C14</f>
        <v>9434596634</v>
      </c>
      <c r="V14" s="248">
        <f t="shared" si="6"/>
        <v>2642363729</v>
      </c>
      <c r="W14" s="55"/>
      <c r="X14" s="20"/>
      <c r="Y14" s="55"/>
      <c r="Z14" s="55"/>
      <c r="AA14" s="55"/>
      <c r="AB14" s="55"/>
      <c r="AC14" s="55"/>
      <c r="AD14" s="55"/>
      <c r="AE14" s="55"/>
      <c r="AF14" s="55"/>
      <c r="AG14" s="55"/>
      <c r="AH14" s="55"/>
      <c r="AI14" s="55"/>
      <c r="AJ14" s="55"/>
      <c r="AL14" s="20"/>
      <c r="AM14" s="55"/>
      <c r="AN14" s="55"/>
      <c r="AO14" s="20"/>
      <c r="AP14" s="55"/>
      <c r="AQ14" s="55"/>
      <c r="AR14" s="55"/>
      <c r="AS14" s="55"/>
      <c r="AT14" s="55"/>
      <c r="AU14" s="55"/>
      <c r="AV14" s="55"/>
      <c r="AW14" s="55"/>
      <c r="AX14" s="55"/>
    </row>
    <row r="15" spans="1:52" s="17" customFormat="1" ht="14.4" thickBot="1" x14ac:dyDescent="0.3">
      <c r="A15" s="288" t="s">
        <v>380</v>
      </c>
      <c r="B15" s="242">
        <f>SUM(B13:B14)</f>
        <v>1043254876</v>
      </c>
      <c r="C15" s="242">
        <f>SUM(C13:C14)</f>
        <v>1066702144</v>
      </c>
      <c r="D15" s="642">
        <f t="shared" si="2"/>
        <v>23447268</v>
      </c>
      <c r="E15" s="242">
        <f>SUM(E13:E14)</f>
        <v>0</v>
      </c>
      <c r="F15" s="144">
        <f>SUM(F13:F14)</f>
        <v>0</v>
      </c>
      <c r="G15" s="642">
        <f t="shared" si="3"/>
        <v>0</v>
      </c>
      <c r="H15" s="242">
        <f>SUM(H13:H14)</f>
        <v>489600984</v>
      </c>
      <c r="I15" s="144">
        <f>SUM(I13:I14)</f>
        <v>479902282</v>
      </c>
      <c r="J15" s="642">
        <f t="shared" si="0"/>
        <v>-9698702</v>
      </c>
      <c r="K15" s="242">
        <f>SUM(K13:K14)</f>
        <v>4438286364</v>
      </c>
      <c r="L15" s="144">
        <f t="shared" ref="L15:U15" si="9">SUM(L13:L14)</f>
        <v>5514559199</v>
      </c>
      <c r="M15" s="642">
        <f t="shared" si="4"/>
        <v>1076272835</v>
      </c>
      <c r="N15" s="760">
        <f>SUM(N13:N14)</f>
        <v>791176379</v>
      </c>
      <c r="O15" s="643">
        <f t="shared" si="9"/>
        <v>1057086156</v>
      </c>
      <c r="P15" s="642">
        <f t="shared" si="5"/>
        <v>265909777</v>
      </c>
      <c r="Q15" s="144">
        <f>SUM(Q13:Q14)</f>
        <v>1193980000</v>
      </c>
      <c r="R15" s="144">
        <f t="shared" si="9"/>
        <v>2505160000</v>
      </c>
      <c r="S15" s="144">
        <f>R15-Q15</f>
        <v>1311180000</v>
      </c>
      <c r="T15" s="242">
        <f t="shared" si="9"/>
        <v>7466697619</v>
      </c>
      <c r="U15" s="144">
        <f t="shared" si="9"/>
        <v>10143507499</v>
      </c>
      <c r="V15" s="757">
        <f t="shared" si="6"/>
        <v>2676809880</v>
      </c>
      <c r="W15" s="50"/>
      <c r="Y15" s="16"/>
      <c r="Z15" s="16"/>
      <c r="AA15" s="61"/>
      <c r="AB15" s="61"/>
      <c r="AC15" s="61"/>
      <c r="AD15" s="61"/>
      <c r="AE15" s="61"/>
      <c r="AF15" s="61"/>
      <c r="AG15" s="61"/>
      <c r="AH15" s="61"/>
      <c r="AI15" s="61"/>
      <c r="AJ15" s="61"/>
      <c r="AK15" s="61"/>
      <c r="AL15" s="61"/>
      <c r="AN15" s="16"/>
      <c r="AO15" s="61"/>
      <c r="AP15" s="61"/>
      <c r="AQ15" s="16"/>
      <c r="AR15" s="61"/>
      <c r="AS15" s="61"/>
      <c r="AT15" s="61"/>
      <c r="AU15" s="61"/>
      <c r="AV15" s="61"/>
      <c r="AW15" s="61"/>
      <c r="AX15" s="61"/>
      <c r="AY15" s="61"/>
      <c r="AZ15" s="61"/>
    </row>
    <row r="16" spans="1:52" x14ac:dyDescent="0.25">
      <c r="C16" s="47"/>
      <c r="U16" s="97"/>
      <c r="V16" s="47">
        <f>'2.sz.tábla   (2)'!M91-'3.sz. tábla  (2)'!V15</f>
        <v>0</v>
      </c>
    </row>
    <row r="17" spans="2:4" x14ac:dyDescent="0.25">
      <c r="B17" s="47">
        <f>'2c. tábla (2)'!G120</f>
        <v>1043254876</v>
      </c>
      <c r="C17" s="47">
        <f>'2c. tábla (2)'!I120</f>
        <v>1066702144</v>
      </c>
      <c r="D17" s="47"/>
    </row>
  </sheetData>
  <sheetProtection selectLockedCells="1" selectUnlockedCells="1"/>
  <mergeCells count="12">
    <mergeCell ref="T6:V6"/>
    <mergeCell ref="N1:V1"/>
    <mergeCell ref="A2:K2"/>
    <mergeCell ref="N6:P6"/>
    <mergeCell ref="Q6:S6"/>
    <mergeCell ref="B6:D6"/>
    <mergeCell ref="E6:G6"/>
    <mergeCell ref="H6:J6"/>
    <mergeCell ref="K6:M6"/>
    <mergeCell ref="A1:K1"/>
    <mergeCell ref="A6:A7"/>
    <mergeCell ref="M2:V2"/>
  </mergeCells>
  <phoneticPr fontId="28" type="noConversion"/>
  <printOptions horizontalCentered="1"/>
  <pageMargins left="0.25" right="0.25" top="0.75" bottom="0.75" header="0.3" footer="0.3"/>
  <pageSetup paperSize="9" scale="41" firstPageNumber="0" fitToHeight="0" orientation="landscape" r:id="rId1"/>
  <headerFooter alignWithMargins="0">
    <oddHeader xml:space="preserve">&amp;C
3. mellékletaz önkormányzat 2017. évi költségvetéséről szóló 8/2017. (II.24.) önkormányzati rendeletéhez&amp;R
&amp;P. oldal
</oddHeader>
  </headerFooter>
  <ignoredErrors>
    <ignoredError sqref="V8" evalErro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AO11"/>
  <sheetViews>
    <sheetView view="pageLayout" topLeftCell="AF1" zoomScaleNormal="100" zoomScaleSheetLayoutView="89" workbookViewId="0">
      <selection activeCell="AL18" sqref="AL18"/>
    </sheetView>
  </sheetViews>
  <sheetFormatPr defaultColWidth="9.109375" defaultRowHeight="13.2" x14ac:dyDescent="0.25"/>
  <cols>
    <col min="1" max="1" width="23.44140625" style="13" customWidth="1"/>
    <col min="2" max="4" width="13.33203125" style="13" customWidth="1"/>
    <col min="5" max="7" width="13.44140625" style="13" customWidth="1"/>
    <col min="8" max="8" width="13" style="13" customWidth="1"/>
    <col min="9" max="9" width="14.44140625" style="13" customWidth="1"/>
    <col min="10" max="10" width="13" style="13" customWidth="1"/>
    <col min="11" max="11" width="12.109375" style="13" customWidth="1"/>
    <col min="12" max="12" width="13.5546875" style="13" customWidth="1"/>
    <col min="13" max="13" width="12.109375" style="13" customWidth="1"/>
    <col min="14" max="17" width="0" style="13" hidden="1" customWidth="1"/>
    <col min="18" max="18" width="24.44140625" style="13" customWidth="1"/>
    <col min="19" max="19" width="14.33203125" style="13" bestFit="1" customWidth="1"/>
    <col min="20" max="20" width="13.33203125" style="13" customWidth="1"/>
    <col min="21" max="21" width="14.5546875" style="13" customWidth="1"/>
    <col min="22" max="23" width="14.33203125" style="13" customWidth="1"/>
    <col min="24" max="24" width="14.5546875" style="13" customWidth="1"/>
    <col min="25" max="27" width="13" style="13" customWidth="1"/>
    <col min="28" max="28" width="12.6640625" style="13" customWidth="1"/>
    <col min="29" max="29" width="13" style="13" customWidth="1"/>
    <col min="30" max="30" width="13.109375" style="13" customWidth="1"/>
    <col min="31" max="31" width="26.44140625" style="21" customWidth="1"/>
    <col min="32" max="32" width="13.6640625" style="13" customWidth="1"/>
    <col min="33" max="33" width="15.33203125" style="13" customWidth="1"/>
    <col min="34" max="34" width="14.44140625" style="13" customWidth="1"/>
    <col min="35" max="37" width="13.6640625" style="13" customWidth="1"/>
    <col min="38" max="38" width="14.109375" style="13" customWidth="1"/>
    <col min="39" max="39" width="15.109375" style="13" customWidth="1"/>
    <col min="40" max="40" width="15.6640625" style="13" customWidth="1"/>
    <col min="41" max="41" width="9.88671875" style="13" customWidth="1"/>
    <col min="42" max="16384" width="9.109375" style="13"/>
  </cols>
  <sheetData>
    <row r="1" spans="1:41" ht="13.8" thickBot="1" x14ac:dyDescent="0.3">
      <c r="AF1" s="1495" t="s">
        <v>936</v>
      </c>
      <c r="AG1" s="1495"/>
      <c r="AH1" s="1495"/>
      <c r="AI1" s="1495"/>
      <c r="AJ1" s="1495"/>
      <c r="AK1" s="1495"/>
      <c r="AL1" s="1495"/>
      <c r="AM1" s="1495"/>
      <c r="AN1" s="1495"/>
    </row>
    <row r="2" spans="1:41" ht="46.5" customHeight="1" thickBot="1" x14ac:dyDescent="0.3">
      <c r="A2" s="1540" t="s">
        <v>631</v>
      </c>
      <c r="B2" s="1547" t="s">
        <v>381</v>
      </c>
      <c r="C2" s="1547"/>
      <c r="D2" s="1548"/>
      <c r="E2" s="1530" t="s">
        <v>382</v>
      </c>
      <c r="F2" s="1531"/>
      <c r="G2" s="1532"/>
      <c r="H2" s="1549" t="s">
        <v>383</v>
      </c>
      <c r="I2" s="1550"/>
      <c r="J2" s="1551"/>
      <c r="K2" s="1530" t="s">
        <v>384</v>
      </c>
      <c r="L2" s="1537"/>
      <c r="M2" s="1532"/>
      <c r="N2" s="139"/>
      <c r="O2" s="44"/>
      <c r="P2" s="44"/>
      <c r="Q2" s="145"/>
      <c r="R2" s="1540" t="s">
        <v>631</v>
      </c>
      <c r="S2" s="1544" t="s">
        <v>385</v>
      </c>
      <c r="T2" s="1545"/>
      <c r="U2" s="1545"/>
      <c r="V2" s="1542" t="s">
        <v>386</v>
      </c>
      <c r="W2" s="1542"/>
      <c r="X2" s="1543"/>
      <c r="Y2" s="1554" t="s">
        <v>387</v>
      </c>
      <c r="Z2" s="1555"/>
      <c r="AA2" s="1556"/>
      <c r="AB2" s="1557" t="s">
        <v>388</v>
      </c>
      <c r="AC2" s="1558"/>
      <c r="AD2" s="1559"/>
      <c r="AE2" s="1540" t="s">
        <v>631</v>
      </c>
      <c r="AF2" s="1554" t="s">
        <v>389</v>
      </c>
      <c r="AG2" s="1555"/>
      <c r="AH2" s="1556"/>
      <c r="AI2" s="1560" t="s">
        <v>657</v>
      </c>
      <c r="AJ2" s="1543"/>
      <c r="AK2" s="1543"/>
      <c r="AL2" s="1552" t="s">
        <v>390</v>
      </c>
      <c r="AM2" s="1543"/>
      <c r="AN2" s="1553"/>
    </row>
    <row r="3" spans="1:41" s="63" customFormat="1" ht="52.5" customHeight="1" thickBot="1" x14ac:dyDescent="0.3">
      <c r="A3" s="1541"/>
      <c r="B3" s="600" t="s">
        <v>75</v>
      </c>
      <c r="C3" s="601" t="s">
        <v>228</v>
      </c>
      <c r="D3" s="602" t="s">
        <v>229</v>
      </c>
      <c r="E3" s="600" t="s">
        <v>75</v>
      </c>
      <c r="F3" s="601" t="s">
        <v>228</v>
      </c>
      <c r="G3" s="602" t="s">
        <v>229</v>
      </c>
      <c r="H3" s="600" t="s">
        <v>75</v>
      </c>
      <c r="I3" s="601" t="s">
        <v>228</v>
      </c>
      <c r="J3" s="602" t="s">
        <v>229</v>
      </c>
      <c r="K3" s="600" t="s">
        <v>75</v>
      </c>
      <c r="L3" s="601" t="s">
        <v>228</v>
      </c>
      <c r="M3" s="602" t="s">
        <v>229</v>
      </c>
      <c r="N3" s="140"/>
      <c r="O3" s="106"/>
      <c r="P3" s="106"/>
      <c r="Q3" s="146"/>
      <c r="R3" s="1546"/>
      <c r="S3" s="600" t="s">
        <v>75</v>
      </c>
      <c r="T3" s="601" t="s">
        <v>228</v>
      </c>
      <c r="U3" s="602" t="s">
        <v>229</v>
      </c>
      <c r="V3" s="600" t="s">
        <v>75</v>
      </c>
      <c r="W3" s="601" t="s">
        <v>228</v>
      </c>
      <c r="X3" s="602" t="s">
        <v>229</v>
      </c>
      <c r="Y3" s="600" t="s">
        <v>75</v>
      </c>
      <c r="Z3" s="601" t="s">
        <v>228</v>
      </c>
      <c r="AA3" s="602" t="s">
        <v>229</v>
      </c>
      <c r="AB3" s="600" t="s">
        <v>75</v>
      </c>
      <c r="AC3" s="601" t="s">
        <v>228</v>
      </c>
      <c r="AD3" s="602" t="s">
        <v>229</v>
      </c>
      <c r="AE3" s="1546"/>
      <c r="AF3" s="600" t="s">
        <v>75</v>
      </c>
      <c r="AG3" s="601" t="s">
        <v>228</v>
      </c>
      <c r="AH3" s="602" t="s">
        <v>229</v>
      </c>
      <c r="AI3" s="600" t="s">
        <v>75</v>
      </c>
      <c r="AJ3" s="601" t="s">
        <v>228</v>
      </c>
      <c r="AK3" s="602" t="s">
        <v>229</v>
      </c>
      <c r="AL3" s="600" t="s">
        <v>75</v>
      </c>
      <c r="AM3" s="601" t="s">
        <v>228</v>
      </c>
      <c r="AN3" s="602" t="s">
        <v>229</v>
      </c>
    </row>
    <row r="4" spans="1:41" s="54" customFormat="1" ht="20.100000000000001" customHeight="1" x14ac:dyDescent="0.25">
      <c r="A4" s="284" t="s">
        <v>374</v>
      </c>
      <c r="B4" s="239">
        <v>33334000</v>
      </c>
      <c r="C4" s="114">
        <v>33889155</v>
      </c>
      <c r="D4" s="143">
        <f>C4-B4</f>
        <v>555155</v>
      </c>
      <c r="E4" s="239">
        <v>7550000</v>
      </c>
      <c r="F4" s="114">
        <v>7703142</v>
      </c>
      <c r="G4" s="143">
        <f>F4-E4</f>
        <v>153142</v>
      </c>
      <c r="H4" s="243">
        <v>12039000</v>
      </c>
      <c r="I4" s="243">
        <v>12529689</v>
      </c>
      <c r="J4" s="243">
        <f>I4-H4</f>
        <v>490689</v>
      </c>
      <c r="K4" s="239"/>
      <c r="L4" s="114"/>
      <c r="M4" s="143"/>
      <c r="N4" s="137"/>
      <c r="O4" s="40"/>
      <c r="P4" s="40"/>
      <c r="Q4" s="147"/>
      <c r="R4" s="284" t="s">
        <v>374</v>
      </c>
      <c r="S4" s="246"/>
      <c r="T4" s="637"/>
      <c r="U4" s="246"/>
      <c r="V4" s="239">
        <f>'4a. sz. tábla  (3)'!C5</f>
        <v>2971000</v>
      </c>
      <c r="W4" s="239">
        <f>'4a. sz. tábla  (3)'!D5</f>
        <v>2975200</v>
      </c>
      <c r="X4" s="143">
        <f>W4-V4</f>
        <v>4200</v>
      </c>
      <c r="Y4" s="243"/>
      <c r="Z4" s="115"/>
      <c r="AA4" s="243"/>
      <c r="AB4" s="239"/>
      <c r="AC4" s="115"/>
      <c r="AD4" s="143"/>
      <c r="AE4" s="333" t="s">
        <v>374</v>
      </c>
      <c r="AF4" s="239"/>
      <c r="AG4" s="115"/>
      <c r="AH4" s="143"/>
      <c r="AI4" s="243"/>
      <c r="AJ4" s="255"/>
      <c r="AK4" s="243"/>
      <c r="AL4" s="650">
        <f t="shared" ref="AL4:AM6" si="0">SUM(Y4,AB4,AF4,V4,S4,K4,H4,E4,B4)</f>
        <v>55894000</v>
      </c>
      <c r="AM4" s="115">
        <f t="shared" si="0"/>
        <v>57097186</v>
      </c>
      <c r="AN4" s="407">
        <f t="shared" ref="AN4:AN10" si="1">AM4-AL4</f>
        <v>1203186</v>
      </c>
      <c r="AO4" s="50"/>
    </row>
    <row r="5" spans="1:41" ht="20.100000000000001" customHeight="1" x14ac:dyDescent="0.25">
      <c r="A5" s="281" t="s">
        <v>375</v>
      </c>
      <c r="B5" s="239">
        <v>88161000</v>
      </c>
      <c r="C5" s="114">
        <v>88586016</v>
      </c>
      <c r="D5" s="143">
        <f t="shared" ref="D5:D11" si="2">C5-B5</f>
        <v>425016</v>
      </c>
      <c r="E5" s="239">
        <v>19753000</v>
      </c>
      <c r="F5" s="114">
        <v>20966310</v>
      </c>
      <c r="G5" s="143">
        <f t="shared" ref="G5:G11" si="3">F5-E5</f>
        <v>1213310</v>
      </c>
      <c r="H5" s="243">
        <f>61381000+564000</f>
        <v>61945000</v>
      </c>
      <c r="I5" s="243">
        <v>74458233</v>
      </c>
      <c r="J5" s="243">
        <f t="shared" ref="J5:J11" si="4">I5-H5</f>
        <v>12513233</v>
      </c>
      <c r="K5" s="239"/>
      <c r="L5" s="114"/>
      <c r="M5" s="143"/>
      <c r="N5" s="136"/>
      <c r="O5" s="42"/>
      <c r="P5" s="42"/>
      <c r="Q5" s="43"/>
      <c r="R5" s="281" t="s">
        <v>375</v>
      </c>
      <c r="S5" s="246"/>
      <c r="T5" s="118"/>
      <c r="U5" s="246"/>
      <c r="V5" s="239">
        <f>'4a. sz. tábla  (3)'!C21</f>
        <v>400000</v>
      </c>
      <c r="W5" s="239">
        <f>'4a. sz. tábla  (3)'!D21</f>
        <v>1000000</v>
      </c>
      <c r="X5" s="143">
        <f t="shared" ref="X5:X11" si="5">W5-V5</f>
        <v>600000</v>
      </c>
      <c r="Y5" s="243"/>
      <c r="Z5" s="115"/>
      <c r="AA5" s="243"/>
      <c r="AB5" s="239"/>
      <c r="AC5" s="115"/>
      <c r="AD5" s="143"/>
      <c r="AE5" s="282" t="s">
        <v>375</v>
      </c>
      <c r="AF5" s="239"/>
      <c r="AG5" s="115"/>
      <c r="AH5" s="143"/>
      <c r="AI5" s="243"/>
      <c r="AJ5" s="255"/>
      <c r="AK5" s="243"/>
      <c r="AL5" s="650">
        <f t="shared" si="0"/>
        <v>170259000</v>
      </c>
      <c r="AM5" s="115">
        <f t="shared" si="0"/>
        <v>185010559</v>
      </c>
      <c r="AN5" s="407">
        <f t="shared" si="1"/>
        <v>14751559</v>
      </c>
      <c r="AO5" s="50"/>
    </row>
    <row r="6" spans="1:41" s="60" customFormat="1" ht="20.100000000000001" customHeight="1" x14ac:dyDescent="0.25">
      <c r="A6" s="285" t="s">
        <v>391</v>
      </c>
      <c r="B6" s="239">
        <v>40127000</v>
      </c>
      <c r="C6" s="120">
        <v>39680830</v>
      </c>
      <c r="D6" s="143">
        <f t="shared" si="2"/>
        <v>-446170</v>
      </c>
      <c r="E6" s="239">
        <v>8243000</v>
      </c>
      <c r="F6" s="120">
        <v>8689170</v>
      </c>
      <c r="G6" s="143">
        <f t="shared" si="3"/>
        <v>446170</v>
      </c>
      <c r="H6" s="243">
        <v>12683000</v>
      </c>
      <c r="I6" s="243">
        <v>12983000</v>
      </c>
      <c r="J6" s="243">
        <f t="shared" si="4"/>
        <v>300000</v>
      </c>
      <c r="K6" s="239"/>
      <c r="L6" s="116"/>
      <c r="M6" s="143"/>
      <c r="N6" s="138"/>
      <c r="O6" s="56"/>
      <c r="P6" s="56"/>
      <c r="Q6" s="57"/>
      <c r="R6" s="285" t="s">
        <v>376</v>
      </c>
      <c r="S6" s="246"/>
      <c r="T6" s="119"/>
      <c r="U6" s="246"/>
      <c r="V6" s="239">
        <f>'4a. sz. tábla  (3)'!C14</f>
        <v>200000</v>
      </c>
      <c r="W6" s="239">
        <f>'4a. sz. tábla  (3)'!D14</f>
        <v>586301</v>
      </c>
      <c r="X6" s="143">
        <f t="shared" si="5"/>
        <v>386301</v>
      </c>
      <c r="Y6" s="243"/>
      <c r="Z6" s="116"/>
      <c r="AA6" s="243"/>
      <c r="AB6" s="239"/>
      <c r="AC6" s="116"/>
      <c r="AD6" s="143"/>
      <c r="AE6" s="334" t="s">
        <v>391</v>
      </c>
      <c r="AF6" s="239"/>
      <c r="AG6" s="116"/>
      <c r="AH6" s="143"/>
      <c r="AI6" s="243"/>
      <c r="AJ6" s="256"/>
      <c r="AK6" s="243"/>
      <c r="AL6" s="650">
        <f t="shared" si="0"/>
        <v>61253000</v>
      </c>
      <c r="AM6" s="115">
        <f t="shared" si="0"/>
        <v>61939301</v>
      </c>
      <c r="AN6" s="407">
        <f t="shared" si="1"/>
        <v>686301</v>
      </c>
      <c r="AO6" s="50"/>
    </row>
    <row r="7" spans="1:41" s="17" customFormat="1" ht="27.9" customHeight="1" x14ac:dyDescent="0.25">
      <c r="A7" s="283" t="s">
        <v>377</v>
      </c>
      <c r="B7" s="240">
        <f>B4+B5+B6</f>
        <v>161622000</v>
      </c>
      <c r="C7" s="117">
        <f>C4+C5+C6</f>
        <v>162156001</v>
      </c>
      <c r="D7" s="340">
        <f t="shared" si="2"/>
        <v>534001</v>
      </c>
      <c r="E7" s="240">
        <f>E4+E5+E6</f>
        <v>35546000</v>
      </c>
      <c r="F7" s="117">
        <f>F4+F5+F6</f>
        <v>37358622</v>
      </c>
      <c r="G7" s="340">
        <f t="shared" si="3"/>
        <v>1812622</v>
      </c>
      <c r="H7" s="117">
        <f>+H4+H5+H6</f>
        <v>86667000</v>
      </c>
      <c r="I7" s="244">
        <f>I4+I5+I6</f>
        <v>99970922</v>
      </c>
      <c r="J7" s="244">
        <f t="shared" si="4"/>
        <v>13303922</v>
      </c>
      <c r="K7" s="240">
        <f>K4+K5+K6</f>
        <v>0</v>
      </c>
      <c r="L7" s="117">
        <f>L4+L5+L6</f>
        <v>0</v>
      </c>
      <c r="M7" s="341">
        <f>L7-K7</f>
        <v>0</v>
      </c>
      <c r="N7" s="211" t="e">
        <f>#REF!+N4+N5+N6</f>
        <v>#REF!</v>
      </c>
      <c r="O7" s="117" t="e">
        <f>#REF!+O4+O5+O6</f>
        <v>#REF!</v>
      </c>
      <c r="P7" s="117" t="e">
        <f>#REF!+P4+P5+P6</f>
        <v>#REF!</v>
      </c>
      <c r="Q7" s="212" t="e">
        <f>#REF!+Q4+Q5+Q6</f>
        <v>#REF!</v>
      </c>
      <c r="R7" s="283" t="s">
        <v>377</v>
      </c>
      <c r="S7" s="212">
        <f>S4+S5+S6</f>
        <v>0</v>
      </c>
      <c r="T7" s="117">
        <f>T4+T5+T6</f>
        <v>0</v>
      </c>
      <c r="U7" s="212">
        <f>T7-S7</f>
        <v>0</v>
      </c>
      <c r="V7" s="240">
        <f>V4+V5+V6</f>
        <v>3571000</v>
      </c>
      <c r="W7" s="117">
        <f>W4+W5+W6</f>
        <v>4561501</v>
      </c>
      <c r="X7" s="340">
        <f t="shared" si="5"/>
        <v>990501</v>
      </c>
      <c r="Y7" s="212">
        <f>Y4+Y5+Y6</f>
        <v>0</v>
      </c>
      <c r="Z7" s="117">
        <f>Z4+Z5+Z6</f>
        <v>0</v>
      </c>
      <c r="AA7" s="247">
        <f>Z7-Y7</f>
        <v>0</v>
      </c>
      <c r="AB7" s="240">
        <f>AB4+AB5+AB6</f>
        <v>0</v>
      </c>
      <c r="AC7" s="117">
        <f>AC4+AC5+AC6</f>
        <v>0</v>
      </c>
      <c r="AD7" s="341">
        <f>AC7-AB7</f>
        <v>0</v>
      </c>
      <c r="AE7" s="283" t="s">
        <v>377</v>
      </c>
      <c r="AF7" s="240">
        <f>AF4+AF5+AF6</f>
        <v>0</v>
      </c>
      <c r="AG7" s="117">
        <f>AG4+AG5+AG6</f>
        <v>0</v>
      </c>
      <c r="AH7" s="340">
        <f>AG7-AF7</f>
        <v>0</v>
      </c>
      <c r="AI7" s="117">
        <f>AI4+AI5+AI6</f>
        <v>0</v>
      </c>
      <c r="AJ7" s="117">
        <f>AJ4+AJ5+AJ6</f>
        <v>0</v>
      </c>
      <c r="AK7" s="247">
        <f>AJ7-AI7</f>
        <v>0</v>
      </c>
      <c r="AL7" s="651">
        <f>AL4+AL5+AL6</f>
        <v>287406000</v>
      </c>
      <c r="AM7" s="117">
        <f>AM4+AM5+AM6</f>
        <v>304047046</v>
      </c>
      <c r="AN7" s="408">
        <f t="shared" si="1"/>
        <v>16641046</v>
      </c>
      <c r="AO7" s="50"/>
    </row>
    <row r="8" spans="1:41" s="64" customFormat="1" ht="20.100000000000001" customHeight="1" x14ac:dyDescent="0.25">
      <c r="A8" s="286" t="s">
        <v>378</v>
      </c>
      <c r="B8" s="239">
        <f>'5.tábla (2)'!B7</f>
        <v>248441476</v>
      </c>
      <c r="C8" s="239">
        <f>'5.tábla (2)'!C7</f>
        <v>254177426</v>
      </c>
      <c r="D8" s="143">
        <f t="shared" si="2"/>
        <v>5735950</v>
      </c>
      <c r="E8" s="239">
        <f>'5.tábla (2)'!B8</f>
        <v>59971194</v>
      </c>
      <c r="F8" s="239">
        <f>'5.tábla (2)'!C8</f>
        <v>62183686</v>
      </c>
      <c r="G8" s="143">
        <f t="shared" si="3"/>
        <v>2212492</v>
      </c>
      <c r="H8" s="243">
        <f>'5.tábla (2)'!B9</f>
        <v>73251644</v>
      </c>
      <c r="I8" s="243">
        <f>'5.tábla (2)'!C9</f>
        <v>76141092</v>
      </c>
      <c r="J8" s="243">
        <f t="shared" si="4"/>
        <v>2889448</v>
      </c>
      <c r="K8" s="239">
        <f>'5.tábla (2)'!B15+'5.tábla (2)'!B17</f>
        <v>2394400</v>
      </c>
      <c r="L8" s="239">
        <f>'5.tábla (2)'!C15+'5.tábla (2)'!C17</f>
        <v>2394400</v>
      </c>
      <c r="M8" s="143">
        <f>L8-K8</f>
        <v>0</v>
      </c>
      <c r="N8" s="141"/>
      <c r="O8" s="2"/>
      <c r="P8" s="2"/>
      <c r="Q8" s="148"/>
      <c r="R8" s="286" t="s">
        <v>378</v>
      </c>
      <c r="S8" s="246"/>
      <c r="T8" s="116">
        <f>'5.tábla (2)'!C19</f>
        <v>2105398</v>
      </c>
      <c r="U8" s="246">
        <f>T8-S8</f>
        <v>2105398</v>
      </c>
      <c r="V8" s="239">
        <f>'4a. sz. tábla  (3)'!C25</f>
        <v>3000000</v>
      </c>
      <c r="W8" s="239">
        <f>'5.tábla (2)'!C21</f>
        <v>7861817</v>
      </c>
      <c r="X8" s="143">
        <f t="shared" si="5"/>
        <v>4861817</v>
      </c>
      <c r="Y8" s="243"/>
      <c r="Z8" s="115"/>
      <c r="AA8" s="243"/>
      <c r="AB8" s="239"/>
      <c r="AC8" s="115"/>
      <c r="AD8" s="143"/>
      <c r="AE8" s="335" t="s">
        <v>378</v>
      </c>
      <c r="AF8" s="239"/>
      <c r="AG8" s="355"/>
      <c r="AH8" s="143"/>
      <c r="AI8" s="243"/>
      <c r="AJ8" s="257"/>
      <c r="AK8" s="243"/>
      <c r="AL8" s="650">
        <f>SUM(Y8,AB8,AF8,V8,S8,K8,H8,E8,B8)</f>
        <v>387058714</v>
      </c>
      <c r="AM8" s="115">
        <f>SUM(Z8,AC8,AG8,W8,T8,L8,I8,F8,C8)</f>
        <v>404863819</v>
      </c>
      <c r="AN8" s="407">
        <f t="shared" si="1"/>
        <v>17805105</v>
      </c>
      <c r="AO8" s="50"/>
    </row>
    <row r="9" spans="1:41" s="17" customFormat="1" ht="19.5" customHeight="1" x14ac:dyDescent="0.25">
      <c r="A9" s="287" t="s">
        <v>379</v>
      </c>
      <c r="B9" s="240">
        <f>SUM(B7:B8)</f>
        <v>410063476</v>
      </c>
      <c r="C9" s="117">
        <f t="shared" ref="C9:Q9" si="6">SUM(C7:C8)</f>
        <v>416333427</v>
      </c>
      <c r="D9" s="340">
        <f t="shared" si="2"/>
        <v>6269951</v>
      </c>
      <c r="E9" s="240">
        <f>SUM(E7:E8)</f>
        <v>95517194</v>
      </c>
      <c r="F9" s="117">
        <f t="shared" si="6"/>
        <v>99542308</v>
      </c>
      <c r="G9" s="340">
        <f t="shared" si="3"/>
        <v>4025114</v>
      </c>
      <c r="H9" s="117">
        <f>SUM(H7:H8)</f>
        <v>159918644</v>
      </c>
      <c r="I9" s="117">
        <f t="shared" si="6"/>
        <v>176112014</v>
      </c>
      <c r="J9" s="244">
        <f t="shared" si="4"/>
        <v>16193370</v>
      </c>
      <c r="K9" s="240">
        <f>SUM(K7:K8)</f>
        <v>2394400</v>
      </c>
      <c r="L9" s="117">
        <f t="shared" si="6"/>
        <v>2394400</v>
      </c>
      <c r="M9" s="340">
        <f>L9-K9</f>
        <v>0</v>
      </c>
      <c r="N9" s="142" t="e">
        <f t="shared" si="6"/>
        <v>#REF!</v>
      </c>
      <c r="O9" s="65" t="e">
        <f t="shared" si="6"/>
        <v>#REF!</v>
      </c>
      <c r="P9" s="65" t="e">
        <f t="shared" si="6"/>
        <v>#REF!</v>
      </c>
      <c r="Q9" s="149" t="e">
        <f t="shared" si="6"/>
        <v>#REF!</v>
      </c>
      <c r="R9" s="287" t="s">
        <v>379</v>
      </c>
      <c r="S9" s="212">
        <f>SUM(S7:S8)</f>
        <v>0</v>
      </c>
      <c r="T9" s="117">
        <f t="shared" ref="T9:AC9" si="7">SUM(T7:T8)</f>
        <v>2105398</v>
      </c>
      <c r="U9" s="212">
        <f t="shared" si="7"/>
        <v>2105398</v>
      </c>
      <c r="V9" s="240">
        <f>SUM(V7:V8)</f>
        <v>6571000</v>
      </c>
      <c r="W9" s="117">
        <f t="shared" si="7"/>
        <v>12423318</v>
      </c>
      <c r="X9" s="340">
        <f t="shared" si="5"/>
        <v>5852318</v>
      </c>
      <c r="Y9" s="117">
        <f>SUM(Y7:Y8)</f>
        <v>0</v>
      </c>
      <c r="Z9" s="117">
        <f t="shared" si="7"/>
        <v>0</v>
      </c>
      <c r="AA9" s="247">
        <f>Z9-Y9</f>
        <v>0</v>
      </c>
      <c r="AB9" s="240">
        <f>SUM(AB7:AB8)</f>
        <v>0</v>
      </c>
      <c r="AC9" s="117">
        <f t="shared" si="7"/>
        <v>0</v>
      </c>
      <c r="AD9" s="341">
        <f>AC9-AB9</f>
        <v>0</v>
      </c>
      <c r="AE9" s="283" t="s">
        <v>379</v>
      </c>
      <c r="AF9" s="240">
        <f>SUM(AF7:AF8)</f>
        <v>0</v>
      </c>
      <c r="AG9" s="117">
        <f t="shared" ref="AG9:AM9" si="8">SUM(AG7:AG8)</f>
        <v>0</v>
      </c>
      <c r="AH9" s="340">
        <f>AG9-AF9</f>
        <v>0</v>
      </c>
      <c r="AI9" s="117">
        <f>SUM(AI7:AI8)</f>
        <v>0</v>
      </c>
      <c r="AJ9" s="117">
        <f t="shared" si="8"/>
        <v>0</v>
      </c>
      <c r="AK9" s="247">
        <f>AJ9-AI9</f>
        <v>0</v>
      </c>
      <c r="AL9" s="651">
        <f>SUM(AL7:AL8)</f>
        <v>674464714</v>
      </c>
      <c r="AM9" s="117">
        <f t="shared" si="8"/>
        <v>708910865</v>
      </c>
      <c r="AN9" s="408">
        <f t="shared" si="1"/>
        <v>34446151</v>
      </c>
      <c r="AO9" s="50"/>
    </row>
    <row r="10" spans="1:41" ht="14.4" thickBot="1" x14ac:dyDescent="0.3">
      <c r="A10" s="289" t="s">
        <v>790</v>
      </c>
      <c r="B10" s="644">
        <f>'5.tábla (2)'!B28</f>
        <v>70721753</v>
      </c>
      <c r="C10" s="644">
        <f>'5.tábla (2)'!C28</f>
        <v>82159964</v>
      </c>
      <c r="D10" s="291">
        <f t="shared" si="2"/>
        <v>11438211</v>
      </c>
      <c r="E10" s="644">
        <f>'5.tábla (2)'!B42</f>
        <v>12636881</v>
      </c>
      <c r="F10" s="644">
        <f>'5.tábla (2)'!C42</f>
        <v>18039937</v>
      </c>
      <c r="G10" s="291">
        <f t="shared" si="3"/>
        <v>5403056</v>
      </c>
      <c r="H10" s="292">
        <f>'5.tábla (2)'!B56</f>
        <v>754991434</v>
      </c>
      <c r="I10" s="292">
        <f>'5.tábla (2)'!C56</f>
        <v>1136820370</v>
      </c>
      <c r="J10" s="292">
        <f t="shared" si="4"/>
        <v>381828936</v>
      </c>
      <c r="K10" s="644">
        <f>'5.tábla (2)'!B92</f>
        <v>29200000</v>
      </c>
      <c r="L10" s="644">
        <f>'5.tábla (2)'!C92</f>
        <v>28702500</v>
      </c>
      <c r="M10" s="291">
        <f>L10-K10</f>
        <v>-497500</v>
      </c>
      <c r="N10" s="293"/>
      <c r="O10" s="294"/>
      <c r="P10" s="294"/>
      <c r="Q10" s="295"/>
      <c r="R10" s="289" t="s">
        <v>790</v>
      </c>
      <c r="S10" s="648">
        <f>'5.tábla (2)'!B101</f>
        <v>1009956391</v>
      </c>
      <c r="T10" s="648">
        <f>'5.tábla (2)'!C101</f>
        <v>995609633</v>
      </c>
      <c r="U10" s="648">
        <f>T10-S10</f>
        <v>-14346758</v>
      </c>
      <c r="V10" s="290">
        <f>'7. sz. tábla 1'!B95</f>
        <v>3738509802</v>
      </c>
      <c r="W10" s="290">
        <f>'7. sz. tábla 1'!C95</f>
        <v>3808718660</v>
      </c>
      <c r="X10" s="291">
        <f t="shared" si="5"/>
        <v>70208858</v>
      </c>
      <c r="Y10" s="292">
        <f>'7. sz. tábla 1'!B171</f>
        <v>93139339</v>
      </c>
      <c r="Z10" s="292">
        <f>'7. sz. tábla 1'!C171</f>
        <v>94245404</v>
      </c>
      <c r="AA10" s="649">
        <f>Z10-Y10</f>
        <v>1106065</v>
      </c>
      <c r="AB10" s="644">
        <f>'7. sz. tábla 1'!B160</f>
        <v>688455332</v>
      </c>
      <c r="AC10" s="644">
        <f>'7. sz. tábla 1'!C160</f>
        <v>902535375</v>
      </c>
      <c r="AD10" s="641">
        <f>AC10-AB10</f>
        <v>214080043</v>
      </c>
      <c r="AE10" s="336" t="s">
        <v>790</v>
      </c>
      <c r="AF10" s="644">
        <f>'7. sz. tábla 1'!B166</f>
        <v>118333233</v>
      </c>
      <c r="AG10" s="644">
        <f>'7. sz. tábla 1'!C166</f>
        <v>1428680233</v>
      </c>
      <c r="AH10" s="641">
        <f>AG10-AF10</f>
        <v>1310347000</v>
      </c>
      <c r="AI10" s="292">
        <f>'1.sz.tábla   (2)'!B30</f>
        <v>276288740</v>
      </c>
      <c r="AJ10" s="292">
        <f>'1.sz.tábla   (2)'!C30</f>
        <v>939084558</v>
      </c>
      <c r="AK10" s="648">
        <f>AJ10-AI10</f>
        <v>662795818</v>
      </c>
      <c r="AL10" s="652">
        <f>SUM(Y10,AB10,AF10,V10,S10,K10,H10,E10,B10,AI10)</f>
        <v>6792232905</v>
      </c>
      <c r="AM10" s="296">
        <f>SUM(Z10,AC10,AG10,W10,T10,L10,I10,F10,C10,AJ10)</f>
        <v>9434596634</v>
      </c>
      <c r="AN10" s="407">
        <f t="shared" si="1"/>
        <v>2642363729</v>
      </c>
      <c r="AO10" s="50"/>
    </row>
    <row r="11" spans="1:41" s="17" customFormat="1" ht="14.4" thickBot="1" x14ac:dyDescent="0.3">
      <c r="A11" s="297" t="s">
        <v>380</v>
      </c>
      <c r="B11" s="299">
        <f>SUM(B9:B10)</f>
        <v>480785229</v>
      </c>
      <c r="C11" s="299">
        <f t="shared" ref="C11:Q11" si="9">SUM(C9:C10)</f>
        <v>498493391</v>
      </c>
      <c r="D11" s="646">
        <f t="shared" si="2"/>
        <v>17708162</v>
      </c>
      <c r="E11" s="299">
        <f>SUM(E9:E10)</f>
        <v>108154075</v>
      </c>
      <c r="F11" s="299">
        <f t="shared" si="9"/>
        <v>117582245</v>
      </c>
      <c r="G11" s="647">
        <f t="shared" si="3"/>
        <v>9428170</v>
      </c>
      <c r="H11" s="299">
        <f>SUM(H9:H10)</f>
        <v>914910078</v>
      </c>
      <c r="I11" s="299">
        <f t="shared" si="9"/>
        <v>1312932384</v>
      </c>
      <c r="J11" s="647">
        <f t="shared" si="4"/>
        <v>398022306</v>
      </c>
      <c r="K11" s="299">
        <f>SUM(K9:K10)</f>
        <v>31594400</v>
      </c>
      <c r="L11" s="299">
        <f t="shared" si="9"/>
        <v>31096900</v>
      </c>
      <c r="M11" s="647">
        <f>L11-K11</f>
        <v>-497500</v>
      </c>
      <c r="N11" s="300" t="e">
        <f t="shared" si="9"/>
        <v>#REF!</v>
      </c>
      <c r="O11" s="301" t="e">
        <f t="shared" si="9"/>
        <v>#REF!</v>
      </c>
      <c r="P11" s="301" t="e">
        <f t="shared" si="9"/>
        <v>#REF!</v>
      </c>
      <c r="Q11" s="302" t="e">
        <f t="shared" si="9"/>
        <v>#REF!</v>
      </c>
      <c r="R11" s="297" t="s">
        <v>380</v>
      </c>
      <c r="S11" s="298">
        <f>SUM(S9:S10)</f>
        <v>1009956391</v>
      </c>
      <c r="T11" s="299">
        <f>SUM(T9:T10)</f>
        <v>997715031</v>
      </c>
      <c r="U11" s="410">
        <f>T11-S11</f>
        <v>-12241360</v>
      </c>
      <c r="V11" s="298">
        <f>SUM(V9:V10)</f>
        <v>3745080802</v>
      </c>
      <c r="W11" s="299">
        <f>SUM(W9:W10)</f>
        <v>3821141978</v>
      </c>
      <c r="X11" s="647">
        <f t="shared" si="5"/>
        <v>76061176</v>
      </c>
      <c r="Y11" s="299">
        <f>SUM(Y9:Y10)</f>
        <v>93139339</v>
      </c>
      <c r="Z11" s="299">
        <f>SUM(Z9:Z10)</f>
        <v>94245404</v>
      </c>
      <c r="AA11" s="645">
        <f>Z11-Y11</f>
        <v>1106065</v>
      </c>
      <c r="AB11" s="298">
        <f>SUM(AB9:AB10)</f>
        <v>688455332</v>
      </c>
      <c r="AC11" s="299">
        <f>SUM(AC9:AC10)</f>
        <v>902535375</v>
      </c>
      <c r="AD11" s="410">
        <f>AC11-AB11</f>
        <v>214080043</v>
      </c>
      <c r="AE11" s="337" t="s">
        <v>380</v>
      </c>
      <c r="AF11" s="299">
        <f>SUM(AF9:AF10)</f>
        <v>118333233</v>
      </c>
      <c r="AG11" s="299">
        <f t="shared" ref="AG11:AM11" si="10">SUM(AG9:AG10)</f>
        <v>1428680233</v>
      </c>
      <c r="AH11" s="647">
        <f>AG11-AF11</f>
        <v>1310347000</v>
      </c>
      <c r="AI11" s="299">
        <f>SUM(AI9:AI10)</f>
        <v>276288740</v>
      </c>
      <c r="AJ11" s="299">
        <f t="shared" si="10"/>
        <v>939084558</v>
      </c>
      <c r="AK11" s="647">
        <f>AJ11-AI11</f>
        <v>662795818</v>
      </c>
      <c r="AL11" s="409">
        <f>SUM(AL9:AL10)</f>
        <v>7466697619</v>
      </c>
      <c r="AM11" s="303">
        <f t="shared" si="10"/>
        <v>10143507499</v>
      </c>
      <c r="AN11" s="409">
        <f>AM11-AL11</f>
        <v>2676809880</v>
      </c>
      <c r="AO11" s="50"/>
    </row>
  </sheetData>
  <sheetProtection selectLockedCells="1" selectUnlockedCells="1"/>
  <mergeCells count="15">
    <mergeCell ref="AF1:AN1"/>
    <mergeCell ref="AL2:AN2"/>
    <mergeCell ref="Y2:AA2"/>
    <mergeCell ref="AB2:AD2"/>
    <mergeCell ref="AF2:AH2"/>
    <mergeCell ref="AI2:AK2"/>
    <mergeCell ref="A2:A3"/>
    <mergeCell ref="V2:X2"/>
    <mergeCell ref="S2:U2"/>
    <mergeCell ref="AE2:AE3"/>
    <mergeCell ref="R2:R3"/>
    <mergeCell ref="B2:D2"/>
    <mergeCell ref="E2:G2"/>
    <mergeCell ref="H2:J2"/>
    <mergeCell ref="K2:M2"/>
  </mergeCells>
  <phoneticPr fontId="28" type="noConversion"/>
  <printOptions horizontalCentered="1"/>
  <pageMargins left="0.7" right="0.7" top="0.75" bottom="0.75" header="0.3" footer="0.3"/>
  <pageSetup paperSize="9" scale="54" firstPageNumber="0" orientation="landscape" r:id="rId1"/>
  <headerFooter alignWithMargins="0">
    <oddHeader xml:space="preserve">&amp;C
 4. melléklet az önkormányzat 2017. évi költségvetéséről szóló 8/2017. (II.24.) önkormányzati rendeletéhez&amp;R
&amp;P. oldal
</oddHeader>
  </headerFooter>
  <colBreaks count="2" manualBreakCount="2">
    <brk id="13" min="1" max="17" man="1"/>
    <brk id="30"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E30"/>
  <sheetViews>
    <sheetView view="pageLayout" zoomScaleNormal="100" zoomScaleSheetLayoutView="85" workbookViewId="0">
      <selection activeCell="G21" sqref="G21"/>
    </sheetView>
  </sheetViews>
  <sheetFormatPr defaultColWidth="9.109375" defaultRowHeight="13.8" x14ac:dyDescent="0.25"/>
  <cols>
    <col min="1" max="1" width="22.33203125" style="441" customWidth="1"/>
    <col min="2" max="2" width="28.33203125" style="477" customWidth="1"/>
    <col min="3" max="5" width="12.44140625" style="479" customWidth="1"/>
    <col min="6" max="16384" width="9.109375" style="441"/>
  </cols>
  <sheetData>
    <row r="1" spans="1:5" ht="6.75" customHeight="1" x14ac:dyDescent="0.25">
      <c r="A1" s="453"/>
      <c r="B1" s="454"/>
      <c r="C1" s="478"/>
      <c r="D1" s="478"/>
      <c r="E1" s="478"/>
    </row>
    <row r="2" spans="1:5" ht="19.5" customHeight="1" thickBot="1" x14ac:dyDescent="0.3">
      <c r="A2" s="1561" t="s">
        <v>942</v>
      </c>
      <c r="B2" s="1561"/>
      <c r="C2" s="1561"/>
      <c r="D2" s="1561"/>
      <c r="E2" s="1561"/>
    </row>
    <row r="3" spans="1:5" ht="51.75" customHeight="1" thickBot="1" x14ac:dyDescent="0.3">
      <c r="A3" s="455" t="s">
        <v>131</v>
      </c>
      <c r="B3" s="456" t="s">
        <v>328</v>
      </c>
      <c r="C3" s="600" t="s">
        <v>75</v>
      </c>
      <c r="D3" s="601" t="s">
        <v>228</v>
      </c>
      <c r="E3" s="602" t="s">
        <v>229</v>
      </c>
    </row>
    <row r="4" spans="1:5" s="445" customFormat="1" ht="6" customHeight="1" x14ac:dyDescent="0.25">
      <c r="A4" s="471"/>
      <c r="B4" s="467"/>
      <c r="C4" s="457"/>
      <c r="D4" s="449"/>
      <c r="E4" s="458"/>
    </row>
    <row r="5" spans="1:5" s="445" customFormat="1" x14ac:dyDescent="0.25">
      <c r="A5" s="468" t="s">
        <v>134</v>
      </c>
      <c r="B5" s="469"/>
      <c r="C5" s="463">
        <f>SUM(C6:C12)</f>
        <v>2971000</v>
      </c>
      <c r="D5" s="448">
        <f>SUM(D6:D12)</f>
        <v>2975200</v>
      </c>
      <c r="E5" s="452">
        <f>D5-C5</f>
        <v>4200</v>
      </c>
    </row>
    <row r="6" spans="1:5" x14ac:dyDescent="0.25">
      <c r="A6" s="470"/>
      <c r="B6" s="467" t="s">
        <v>135</v>
      </c>
      <c r="C6" s="457">
        <v>2671000</v>
      </c>
      <c r="D6" s="449">
        <v>2675200</v>
      </c>
      <c r="E6" s="458">
        <f>D6-C6</f>
        <v>4200</v>
      </c>
    </row>
    <row r="7" spans="1:5" x14ac:dyDescent="0.25">
      <c r="A7" s="470"/>
      <c r="B7" s="467" t="s">
        <v>136</v>
      </c>
      <c r="C7" s="457">
        <v>0</v>
      </c>
      <c r="D7" s="449">
        <v>0</v>
      </c>
      <c r="E7" s="458">
        <f t="shared" ref="E7:E12" si="0">D7-C7</f>
        <v>0</v>
      </c>
    </row>
    <row r="8" spans="1:5" x14ac:dyDescent="0.25">
      <c r="A8" s="470"/>
      <c r="B8" s="467" t="s">
        <v>137</v>
      </c>
      <c r="C8" s="457">
        <v>0</v>
      </c>
      <c r="D8" s="449">
        <v>0</v>
      </c>
      <c r="E8" s="458">
        <f t="shared" si="0"/>
        <v>0</v>
      </c>
    </row>
    <row r="9" spans="1:5" x14ac:dyDescent="0.25">
      <c r="A9" s="470"/>
      <c r="B9" s="467" t="s">
        <v>138</v>
      </c>
      <c r="C9" s="457">
        <v>0</v>
      </c>
      <c r="D9" s="449">
        <v>0</v>
      </c>
      <c r="E9" s="458">
        <f t="shared" si="0"/>
        <v>0</v>
      </c>
    </row>
    <row r="10" spans="1:5" x14ac:dyDescent="0.25">
      <c r="A10" s="470"/>
      <c r="B10" s="467" t="s">
        <v>132</v>
      </c>
      <c r="C10" s="457">
        <v>293000</v>
      </c>
      <c r="D10" s="449">
        <v>293000</v>
      </c>
      <c r="E10" s="458">
        <f t="shared" si="0"/>
        <v>0</v>
      </c>
    </row>
    <row r="11" spans="1:5" x14ac:dyDescent="0.25">
      <c r="A11" s="470"/>
      <c r="B11" s="467" t="s">
        <v>133</v>
      </c>
      <c r="C11" s="457">
        <v>0</v>
      </c>
      <c r="D11" s="449">
        <v>0</v>
      </c>
      <c r="E11" s="458">
        <f t="shared" si="0"/>
        <v>0</v>
      </c>
    </row>
    <row r="12" spans="1:5" x14ac:dyDescent="0.25">
      <c r="A12" s="470"/>
      <c r="B12" s="467" t="s">
        <v>139</v>
      </c>
      <c r="C12" s="457">
        <v>7000</v>
      </c>
      <c r="D12" s="449">
        <v>7000</v>
      </c>
      <c r="E12" s="458">
        <f t="shared" si="0"/>
        <v>0</v>
      </c>
    </row>
    <row r="13" spans="1:5" ht="5.25" customHeight="1" x14ac:dyDescent="0.25">
      <c r="A13" s="470"/>
      <c r="B13" s="467"/>
      <c r="C13" s="457"/>
      <c r="D13" s="449"/>
      <c r="E13" s="458"/>
    </row>
    <row r="14" spans="1:5" s="445" customFormat="1" x14ac:dyDescent="0.25">
      <c r="A14" s="464" t="s">
        <v>140</v>
      </c>
      <c r="B14" s="469"/>
      <c r="C14" s="463">
        <f>SUM(C15:C19)</f>
        <v>200000</v>
      </c>
      <c r="D14" s="448">
        <f>SUM(D15:D19)</f>
        <v>586301</v>
      </c>
      <c r="E14" s="452">
        <f>D14-C14</f>
        <v>386301</v>
      </c>
    </row>
    <row r="15" spans="1:5" x14ac:dyDescent="0.25">
      <c r="A15" s="459"/>
      <c r="B15" s="460" t="s">
        <v>878</v>
      </c>
      <c r="C15" s="457"/>
      <c r="D15" s="449">
        <v>80000</v>
      </c>
      <c r="E15" s="458"/>
    </row>
    <row r="16" spans="1:5" x14ac:dyDescent="0.25">
      <c r="A16" s="461"/>
      <c r="B16" s="465" t="s">
        <v>877</v>
      </c>
      <c r="C16" s="457"/>
      <c r="D16" s="449">
        <v>60000</v>
      </c>
      <c r="E16" s="458"/>
    </row>
    <row r="17" spans="1:5" x14ac:dyDescent="0.25">
      <c r="A17" s="464"/>
      <c r="B17" s="472" t="s">
        <v>141</v>
      </c>
      <c r="C17" s="457">
        <v>180000</v>
      </c>
      <c r="D17" s="449">
        <v>180000</v>
      </c>
      <c r="E17" s="458">
        <f>D17-C17</f>
        <v>0</v>
      </c>
    </row>
    <row r="18" spans="1:5" x14ac:dyDescent="0.25">
      <c r="A18" s="466"/>
      <c r="B18" s="459" t="s">
        <v>139</v>
      </c>
      <c r="C18" s="457">
        <v>20000</v>
      </c>
      <c r="D18" s="449">
        <v>236301</v>
      </c>
      <c r="E18" s="458">
        <f>D18-C18</f>
        <v>216301</v>
      </c>
    </row>
    <row r="19" spans="1:5" x14ac:dyDescent="0.25">
      <c r="A19" s="466"/>
      <c r="B19" s="864" t="s">
        <v>876</v>
      </c>
      <c r="C19" s="457"/>
      <c r="D19" s="449">
        <v>30000</v>
      </c>
      <c r="E19" s="458">
        <f>D19-C19</f>
        <v>30000</v>
      </c>
    </row>
    <row r="20" spans="1:5" ht="5.25" customHeight="1" x14ac:dyDescent="0.25">
      <c r="A20" s="466"/>
      <c r="B20" s="459"/>
      <c r="C20" s="457"/>
      <c r="D20" s="449"/>
      <c r="E20" s="458"/>
    </row>
    <row r="21" spans="1:5" s="445" customFormat="1" x14ac:dyDescent="0.25">
      <c r="A21" s="468" t="s">
        <v>142</v>
      </c>
      <c r="B21" s="462"/>
      <c r="C21" s="463">
        <f>SUM(C22:C24)</f>
        <v>400000</v>
      </c>
      <c r="D21" s="448">
        <f>SUM(D22:D24)</f>
        <v>1000000</v>
      </c>
      <c r="E21" s="452">
        <f t="shared" ref="E21:E28" si="1">D21-C21</f>
        <v>600000</v>
      </c>
    </row>
    <row r="22" spans="1:5" x14ac:dyDescent="0.25">
      <c r="A22" s="468"/>
      <c r="B22" s="473" t="s">
        <v>143</v>
      </c>
      <c r="C22" s="457">
        <v>200000</v>
      </c>
      <c r="D22" s="449">
        <v>400000</v>
      </c>
      <c r="E22" s="458">
        <f t="shared" si="1"/>
        <v>200000</v>
      </c>
    </row>
    <row r="23" spans="1:5" x14ac:dyDescent="0.25">
      <c r="A23" s="468"/>
      <c r="B23" s="467" t="s">
        <v>144</v>
      </c>
      <c r="C23" s="457"/>
      <c r="D23" s="449"/>
      <c r="E23" s="458">
        <f t="shared" si="1"/>
        <v>0</v>
      </c>
    </row>
    <row r="24" spans="1:5" x14ac:dyDescent="0.25">
      <c r="A24" s="468"/>
      <c r="B24" s="467" t="s">
        <v>139</v>
      </c>
      <c r="C24" s="457">
        <v>200000</v>
      </c>
      <c r="D24" s="449">
        <v>600000</v>
      </c>
      <c r="E24" s="458">
        <f t="shared" si="1"/>
        <v>400000</v>
      </c>
    </row>
    <row r="25" spans="1:5" s="445" customFormat="1" ht="37.5" customHeight="1" x14ac:dyDescent="0.25">
      <c r="A25" s="471" t="s">
        <v>813</v>
      </c>
      <c r="B25" s="469"/>
      <c r="C25" s="463">
        <f>SUM(C26:C28)</f>
        <v>3000000</v>
      </c>
      <c r="D25" s="448">
        <f>SUM(D26:D28)</f>
        <v>7861817</v>
      </c>
      <c r="E25" s="452">
        <f t="shared" si="1"/>
        <v>4861817</v>
      </c>
    </row>
    <row r="26" spans="1:5" x14ac:dyDescent="0.25">
      <c r="A26" s="467"/>
      <c r="B26" s="467" t="s">
        <v>145</v>
      </c>
      <c r="C26" s="457">
        <v>2000000</v>
      </c>
      <c r="D26" s="449">
        <v>4204300</v>
      </c>
      <c r="E26" s="458">
        <f t="shared" si="1"/>
        <v>2204300</v>
      </c>
    </row>
    <row r="27" spans="1:5" x14ac:dyDescent="0.25">
      <c r="A27" s="467"/>
      <c r="B27" s="467" t="s">
        <v>879</v>
      </c>
      <c r="C27" s="457"/>
      <c r="D27" s="449">
        <v>2657517</v>
      </c>
      <c r="E27" s="458">
        <f t="shared" si="1"/>
        <v>2657517</v>
      </c>
    </row>
    <row r="28" spans="1:5" x14ac:dyDescent="0.25">
      <c r="A28" s="468"/>
      <c r="B28" s="467" t="s">
        <v>139</v>
      </c>
      <c r="C28" s="457">
        <v>1000000</v>
      </c>
      <c r="D28" s="449">
        <f>'5.tábla (2)'!C23</f>
        <v>1000000</v>
      </c>
      <c r="E28" s="458">
        <f t="shared" si="1"/>
        <v>0</v>
      </c>
    </row>
    <row r="29" spans="1:5" s="445" customFormat="1" ht="14.4" thickBot="1" x14ac:dyDescent="0.3">
      <c r="A29" s="474" t="s">
        <v>146</v>
      </c>
      <c r="B29" s="475"/>
      <c r="C29" s="476">
        <f>SUM(C5+C14+C21+C25)</f>
        <v>6571000</v>
      </c>
      <c r="D29" s="476">
        <f>SUM(D5+D14+D21+D25)</f>
        <v>12423318</v>
      </c>
      <c r="E29" s="894">
        <f>SUM(E5+E14+E21+E25)</f>
        <v>5852318</v>
      </c>
    </row>
    <row r="30" spans="1:5" ht="13.2" x14ac:dyDescent="0.25">
      <c r="C30" s="451"/>
      <c r="D30" s="451"/>
      <c r="E30" s="451"/>
    </row>
  </sheetData>
  <sheetProtection selectLockedCells="1" selectUnlockedCells="1"/>
  <mergeCells count="1">
    <mergeCell ref="A2:E2"/>
  </mergeCells>
  <phoneticPr fontId="28" type="noConversion"/>
  <pageMargins left="1.2" right="0.25" top="0.75" bottom="0.75" header="0.3" footer="0.3"/>
  <pageSetup paperSize="9" scale="65" firstPageNumber="0" fitToWidth="0" fitToHeight="0" orientation="portrait" r:id="rId1"/>
  <headerFooter alignWithMargins="0">
    <oddHeader>&amp;C
4/a. melléklet az önkormányzat 2017. évi költségvetéséről szóló 8/2017. (II.24.) önkormányzati rendeletéhez&amp;R
&amp;P. oldal</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3:K116"/>
  <sheetViews>
    <sheetView view="pageLayout" zoomScaleNormal="100" zoomScaleSheetLayoutView="80" workbookViewId="0">
      <selection activeCell="B123" sqref="B123"/>
    </sheetView>
  </sheetViews>
  <sheetFormatPr defaultColWidth="9.109375" defaultRowHeight="13.2" x14ac:dyDescent="0.25"/>
  <cols>
    <col min="1" max="1" width="44.44140625" style="12" customWidth="1"/>
    <col min="2" max="2" width="18.109375" style="344" customWidth="1"/>
    <col min="3" max="3" width="19" style="344" customWidth="1"/>
    <col min="4" max="4" width="18.109375" style="344" customWidth="1"/>
    <col min="5" max="5" width="11.6640625" style="12" customWidth="1"/>
    <col min="6" max="6" width="9.109375" style="12"/>
    <col min="7" max="7" width="10.6640625" style="12" customWidth="1"/>
    <col min="8" max="16384" width="9.109375" style="12"/>
  </cols>
  <sheetData>
    <row r="3" spans="1:4" ht="15.6" x14ac:dyDescent="0.3">
      <c r="A3" s="1562" t="s">
        <v>941</v>
      </c>
      <c r="B3" s="1562"/>
      <c r="C3" s="1562"/>
      <c r="D3" s="1562"/>
    </row>
    <row r="4" spans="1:4" ht="13.8" thickBot="1" x14ac:dyDescent="0.3"/>
    <row r="5" spans="1:4" ht="51.75" customHeight="1" thickBot="1" x14ac:dyDescent="0.3">
      <c r="A5" s="121" t="s">
        <v>631</v>
      </c>
      <c r="B5" s="613" t="s">
        <v>75</v>
      </c>
      <c r="C5" s="614" t="s">
        <v>228</v>
      </c>
      <c r="D5" s="615" t="s">
        <v>229</v>
      </c>
    </row>
    <row r="6" spans="1:4" s="3" customFormat="1" ht="30.75" customHeight="1" x14ac:dyDescent="0.3">
      <c r="A6" s="653" t="s">
        <v>393</v>
      </c>
      <c r="B6" s="659"/>
      <c r="C6" s="660"/>
      <c r="D6" s="661"/>
    </row>
    <row r="7" spans="1:4" s="3" customFormat="1" ht="18.899999999999999" customHeight="1" x14ac:dyDescent="0.3">
      <c r="A7" s="654" t="s">
        <v>394</v>
      </c>
      <c r="B7" s="662">
        <v>248441476</v>
      </c>
      <c r="C7" s="66">
        <v>254177426</v>
      </c>
      <c r="D7" s="663">
        <f>C7-B7</f>
        <v>5735950</v>
      </c>
    </row>
    <row r="8" spans="1:4" s="3" customFormat="1" ht="18.899999999999999" customHeight="1" x14ac:dyDescent="0.3">
      <c r="A8" s="654" t="s">
        <v>395</v>
      </c>
      <c r="B8" s="662">
        <v>59971194</v>
      </c>
      <c r="C8" s="66">
        <v>62183686</v>
      </c>
      <c r="D8" s="663">
        <f>C8-B8</f>
        <v>2212492</v>
      </c>
    </row>
    <row r="9" spans="1:4" s="3" customFormat="1" ht="18.899999999999999" customHeight="1" x14ac:dyDescent="0.3">
      <c r="A9" s="654" t="s">
        <v>396</v>
      </c>
      <c r="B9" s="664">
        <f>SUM(B10:B14)</f>
        <v>73251644</v>
      </c>
      <c r="C9" s="66">
        <f>SUM(C10:C14)</f>
        <v>76141092</v>
      </c>
      <c r="D9" s="663">
        <f>C9-B9</f>
        <v>2889448</v>
      </c>
    </row>
    <row r="10" spans="1:4" ht="18.899999999999999" customHeight="1" x14ac:dyDescent="0.25">
      <c r="A10" s="655" t="s">
        <v>397</v>
      </c>
      <c r="B10" s="665">
        <f>58640000+29624</f>
        <v>58669624</v>
      </c>
      <c r="C10" s="15">
        <v>61559072</v>
      </c>
      <c r="D10" s="666">
        <f>C10-B10</f>
        <v>2889448</v>
      </c>
    </row>
    <row r="11" spans="1:4" ht="18.899999999999999" customHeight="1" x14ac:dyDescent="0.25">
      <c r="A11" s="655" t="s">
        <v>398</v>
      </c>
      <c r="B11" s="665">
        <v>1600000</v>
      </c>
      <c r="C11" s="15">
        <v>1600000</v>
      </c>
      <c r="D11" s="666">
        <f t="shared" ref="D11:D24" si="0">C11-B11</f>
        <v>0</v>
      </c>
    </row>
    <row r="12" spans="1:4" ht="18.899999999999999" customHeight="1" x14ac:dyDescent="0.25">
      <c r="A12" s="656" t="s">
        <v>300</v>
      </c>
      <c r="B12" s="665">
        <v>403000</v>
      </c>
      <c r="C12" s="15">
        <v>403000</v>
      </c>
      <c r="D12" s="666">
        <f t="shared" si="0"/>
        <v>0</v>
      </c>
    </row>
    <row r="13" spans="1:4" ht="18.899999999999999" customHeight="1" x14ac:dyDescent="0.25">
      <c r="A13" s="656" t="s">
        <v>301</v>
      </c>
      <c r="B13" s="665">
        <v>9000000</v>
      </c>
      <c r="C13" s="15">
        <v>9000000</v>
      </c>
      <c r="D13" s="666">
        <f t="shared" si="0"/>
        <v>0</v>
      </c>
    </row>
    <row r="14" spans="1:4" ht="18.899999999999999" customHeight="1" x14ac:dyDescent="0.25">
      <c r="A14" s="656" t="s">
        <v>302</v>
      </c>
      <c r="B14" s="665">
        <v>3579020</v>
      </c>
      <c r="C14" s="15">
        <v>3579020</v>
      </c>
      <c r="D14" s="666">
        <f t="shared" si="0"/>
        <v>0</v>
      </c>
    </row>
    <row r="15" spans="1:4" s="3" customFormat="1" ht="31.2" x14ac:dyDescent="0.3">
      <c r="A15" s="654" t="s">
        <v>399</v>
      </c>
      <c r="B15" s="664">
        <f>B16</f>
        <v>2000000</v>
      </c>
      <c r="C15" s="66">
        <f>C16</f>
        <v>2000000</v>
      </c>
      <c r="D15" s="663">
        <f t="shared" si="0"/>
        <v>0</v>
      </c>
    </row>
    <row r="16" spans="1:4" ht="29.25" customHeight="1" x14ac:dyDescent="0.25">
      <c r="A16" s="656" t="s">
        <v>400</v>
      </c>
      <c r="B16" s="665">
        <v>2000000</v>
      </c>
      <c r="C16" s="15">
        <v>2000000</v>
      </c>
      <c r="D16" s="666">
        <f t="shared" si="0"/>
        <v>0</v>
      </c>
    </row>
    <row r="17" spans="1:10" s="3" customFormat="1" ht="31.2" x14ac:dyDescent="0.3">
      <c r="A17" s="654" t="s">
        <v>401</v>
      </c>
      <c r="B17" s="664">
        <f>SUM(B18:B18)</f>
        <v>394400</v>
      </c>
      <c r="C17" s="66">
        <f>SUM(C18:C18)</f>
        <v>394400</v>
      </c>
      <c r="D17" s="663">
        <f t="shared" si="0"/>
        <v>0</v>
      </c>
      <c r="E17" s="4"/>
      <c r="G17" s="67"/>
      <c r="H17" s="68"/>
      <c r="I17" s="68"/>
      <c r="J17" s="68"/>
    </row>
    <row r="18" spans="1:10" s="3" customFormat="1" ht="30" x14ac:dyDescent="0.3">
      <c r="A18" s="656" t="s">
        <v>400</v>
      </c>
      <c r="B18" s="665">
        <v>394400</v>
      </c>
      <c r="C18" s="15">
        <v>394400</v>
      </c>
      <c r="D18" s="666">
        <f t="shared" si="0"/>
        <v>0</v>
      </c>
      <c r="G18" s="67"/>
      <c r="H18" s="68"/>
      <c r="I18" s="68"/>
      <c r="J18" s="68"/>
    </row>
    <row r="19" spans="1:10" s="3" customFormat="1" ht="31.2" x14ac:dyDescent="0.3">
      <c r="A19" s="654" t="s">
        <v>916</v>
      </c>
      <c r="B19" s="662">
        <v>0</v>
      </c>
      <c r="C19" s="66">
        <v>2105398</v>
      </c>
      <c r="D19" s="663">
        <f t="shared" si="0"/>
        <v>2105398</v>
      </c>
      <c r="G19" s="67"/>
      <c r="H19" s="68"/>
      <c r="I19" s="68"/>
      <c r="J19" s="68"/>
    </row>
    <row r="20" spans="1:10" s="3" customFormat="1" ht="15.6" x14ac:dyDescent="0.3">
      <c r="A20" s="654" t="s">
        <v>769</v>
      </c>
      <c r="B20" s="664">
        <f>B19+B17+B15+B9+B8+B7</f>
        <v>384058714</v>
      </c>
      <c r="C20" s="66">
        <f>C19+C17+C15+C9+C8+C7</f>
        <v>397002002</v>
      </c>
      <c r="D20" s="663">
        <f t="shared" si="0"/>
        <v>12943288</v>
      </c>
      <c r="G20" s="67"/>
      <c r="H20" s="68"/>
      <c r="I20" s="68"/>
      <c r="J20" s="68"/>
    </row>
    <row r="21" spans="1:10" s="3" customFormat="1" ht="18.899999999999999" customHeight="1" x14ac:dyDescent="0.3">
      <c r="A21" s="654" t="s">
        <v>403</v>
      </c>
      <c r="B21" s="664">
        <f>SUM(B22:B23)</f>
        <v>3000000</v>
      </c>
      <c r="C21" s="66">
        <f>SUM(C22:C23)</f>
        <v>7861817</v>
      </c>
      <c r="D21" s="663">
        <f t="shared" si="0"/>
        <v>4861817</v>
      </c>
      <c r="E21" s="4"/>
      <c r="G21" s="69"/>
      <c r="H21" s="70"/>
      <c r="I21" s="70"/>
      <c r="J21" s="70"/>
    </row>
    <row r="22" spans="1:10" ht="30" x14ac:dyDescent="0.3">
      <c r="A22" s="657" t="s">
        <v>536</v>
      </c>
      <c r="B22" s="665">
        <v>2000000</v>
      </c>
      <c r="C22" s="15">
        <v>6861817</v>
      </c>
      <c r="D22" s="666">
        <f t="shared" si="0"/>
        <v>4861817</v>
      </c>
      <c r="G22" s="69"/>
      <c r="H22" s="70"/>
      <c r="I22" s="70"/>
      <c r="J22" s="70"/>
    </row>
    <row r="23" spans="1:10" ht="18.899999999999999" customHeight="1" x14ac:dyDescent="0.3">
      <c r="A23" s="657" t="s">
        <v>303</v>
      </c>
      <c r="B23" s="665">
        <v>1000000</v>
      </c>
      <c r="C23" s="15">
        <v>1000000</v>
      </c>
      <c r="D23" s="666">
        <f t="shared" si="0"/>
        <v>0</v>
      </c>
      <c r="G23" s="69"/>
      <c r="H23" s="70"/>
      <c r="I23" s="70"/>
      <c r="J23" s="70"/>
    </row>
    <row r="24" spans="1:10" s="3" customFormat="1" ht="30" customHeight="1" thickBot="1" x14ac:dyDescent="0.35">
      <c r="A24" s="658" t="s">
        <v>404</v>
      </c>
      <c r="B24" s="667">
        <f>B21+B20</f>
        <v>387058714</v>
      </c>
      <c r="C24" s="668">
        <f>C21+C20</f>
        <v>404863819</v>
      </c>
      <c r="D24" s="1101">
        <f t="shared" si="0"/>
        <v>17805105</v>
      </c>
      <c r="E24" s="4"/>
      <c r="G24" s="69"/>
      <c r="H24" s="70"/>
      <c r="I24" s="70"/>
      <c r="J24" s="70"/>
    </row>
    <row r="25" spans="1:10" s="3" customFormat="1" ht="30" customHeight="1" thickBot="1" x14ac:dyDescent="0.35">
      <c r="A25" s="1007"/>
      <c r="B25" s="70"/>
      <c r="C25" s="70"/>
      <c r="D25" s="1008"/>
      <c r="E25" s="4"/>
      <c r="G25" s="69"/>
      <c r="H25" s="70"/>
      <c r="I25" s="70"/>
      <c r="J25" s="70"/>
    </row>
    <row r="26" spans="1:10" ht="58.5" customHeight="1" thickBot="1" x14ac:dyDescent="0.3">
      <c r="A26" s="121" t="s">
        <v>631</v>
      </c>
      <c r="B26" s="613" t="s">
        <v>75</v>
      </c>
      <c r="C26" s="614" t="s">
        <v>228</v>
      </c>
      <c r="D26" s="615" t="s">
        <v>229</v>
      </c>
      <c r="G26" s="71"/>
      <c r="H26" s="71"/>
      <c r="I26" s="71"/>
      <c r="J26" s="72"/>
    </row>
    <row r="27" spans="1:10" s="3" customFormat="1" ht="18.899999999999999" customHeight="1" x14ac:dyDescent="0.3">
      <c r="A27" s="653" t="s">
        <v>405</v>
      </c>
      <c r="B27" s="671"/>
      <c r="C27" s="672"/>
      <c r="D27" s="379"/>
      <c r="G27" s="69"/>
      <c r="H27" s="70"/>
      <c r="I27" s="70"/>
      <c r="J27" s="70"/>
    </row>
    <row r="28" spans="1:10" s="3" customFormat="1" ht="18.899999999999999" customHeight="1" x14ac:dyDescent="0.3">
      <c r="A28" s="98" t="s">
        <v>406</v>
      </c>
      <c r="B28" s="673">
        <f>SUM(B29:B37)</f>
        <v>70721753</v>
      </c>
      <c r="C28" s="124">
        <f>SUM(C29:C41)</f>
        <v>82159964</v>
      </c>
      <c r="D28" s="338">
        <f>C28-B28</f>
        <v>11438211</v>
      </c>
      <c r="E28" s="4"/>
      <c r="G28" s="69"/>
      <c r="H28" s="70"/>
      <c r="I28" s="70"/>
      <c r="J28" s="70"/>
    </row>
    <row r="29" spans="1:10" ht="18.899999999999999" customHeight="1" x14ac:dyDescent="0.25">
      <c r="A29" s="99" t="s">
        <v>407</v>
      </c>
      <c r="B29" s="674">
        <v>25264401</v>
      </c>
      <c r="C29" s="125">
        <v>27226756</v>
      </c>
      <c r="D29" s="339">
        <f>C29-B29</f>
        <v>1962355</v>
      </c>
      <c r="G29" s="73"/>
      <c r="H29" s="72"/>
      <c r="I29" s="72"/>
      <c r="J29" s="72"/>
    </row>
    <row r="30" spans="1:10" ht="18.899999999999999" customHeight="1" x14ac:dyDescent="0.25">
      <c r="A30" s="99" t="s">
        <v>411</v>
      </c>
      <c r="B30" s="674">
        <v>23149644</v>
      </c>
      <c r="C30" s="125">
        <v>20540693</v>
      </c>
      <c r="D30" s="339">
        <f t="shared" ref="D30:D85" si="1">C30-B30</f>
        <v>-2608951</v>
      </c>
      <c r="G30" s="73"/>
      <c r="H30" s="72"/>
      <c r="I30" s="72"/>
      <c r="J30" s="72"/>
    </row>
    <row r="31" spans="1:10" ht="18.899999999999999" customHeight="1" x14ac:dyDescent="0.25">
      <c r="A31" s="99" t="s">
        <v>304</v>
      </c>
      <c r="B31" s="674">
        <v>0</v>
      </c>
      <c r="C31" s="125"/>
      <c r="D31" s="339">
        <f t="shared" si="1"/>
        <v>0</v>
      </c>
      <c r="G31" s="73"/>
      <c r="H31" s="72"/>
      <c r="I31" s="72"/>
      <c r="J31" s="72"/>
    </row>
    <row r="32" spans="1:10" ht="18.899999999999999" customHeight="1" x14ac:dyDescent="0.25">
      <c r="A32" s="99" t="s">
        <v>9</v>
      </c>
      <c r="B32" s="674">
        <v>2951508</v>
      </c>
      <c r="C32" s="125">
        <v>2951508</v>
      </c>
      <c r="D32" s="339">
        <f t="shared" si="1"/>
        <v>0</v>
      </c>
      <c r="G32" s="73"/>
      <c r="H32" s="72"/>
      <c r="I32" s="72"/>
      <c r="J32" s="72"/>
    </row>
    <row r="33" spans="1:10" ht="18.899999999999999" customHeight="1" x14ac:dyDescent="0.25">
      <c r="A33" s="99" t="s">
        <v>409</v>
      </c>
      <c r="B33" s="674">
        <v>9506200</v>
      </c>
      <c r="C33" s="125">
        <v>9851800</v>
      </c>
      <c r="D33" s="339">
        <f t="shared" si="1"/>
        <v>345600</v>
      </c>
      <c r="G33" s="73"/>
      <c r="H33" s="72"/>
      <c r="I33" s="72"/>
      <c r="J33" s="72"/>
    </row>
    <row r="34" spans="1:10" ht="18.899999999999999" customHeight="1" x14ac:dyDescent="0.25">
      <c r="A34" s="99" t="s">
        <v>408</v>
      </c>
      <c r="B34" s="674">
        <v>1150000</v>
      </c>
      <c r="C34" s="125">
        <v>1070000</v>
      </c>
      <c r="D34" s="339">
        <f t="shared" si="1"/>
        <v>-80000</v>
      </c>
      <c r="G34" s="73"/>
      <c r="H34" s="72"/>
      <c r="I34" s="72"/>
      <c r="J34" s="72"/>
    </row>
    <row r="35" spans="1:10" ht="18.899999999999999" customHeight="1" x14ac:dyDescent="0.25">
      <c r="A35" s="99" t="s">
        <v>410</v>
      </c>
      <c r="B35" s="674">
        <v>5800000</v>
      </c>
      <c r="C35" s="125">
        <v>5800000</v>
      </c>
      <c r="D35" s="339">
        <f t="shared" si="1"/>
        <v>0</v>
      </c>
      <c r="G35" s="73"/>
      <c r="H35" s="72"/>
      <c r="I35" s="72"/>
      <c r="J35" s="72"/>
    </row>
    <row r="36" spans="1:10" ht="22.5" customHeight="1" x14ac:dyDescent="0.25">
      <c r="A36" s="99" t="s">
        <v>674</v>
      </c>
      <c r="B36" s="674">
        <v>2400000</v>
      </c>
      <c r="C36" s="125">
        <f>10363368-500000</f>
        <v>9863368</v>
      </c>
      <c r="D36" s="339">
        <f t="shared" si="1"/>
        <v>7463368</v>
      </c>
      <c r="G36" s="73"/>
      <c r="H36" s="72"/>
      <c r="I36" s="72"/>
      <c r="J36" s="72"/>
    </row>
    <row r="37" spans="1:10" ht="19.5" customHeight="1" x14ac:dyDescent="0.25">
      <c r="A37" s="99" t="s">
        <v>451</v>
      </c>
      <c r="B37" s="674">
        <v>500000</v>
      </c>
      <c r="C37" s="125">
        <v>500000</v>
      </c>
      <c r="D37" s="339">
        <f t="shared" si="1"/>
        <v>0</v>
      </c>
      <c r="G37" s="73"/>
      <c r="H37" s="72"/>
      <c r="I37" s="72"/>
      <c r="J37" s="72"/>
    </row>
    <row r="38" spans="1:10" ht="30" x14ac:dyDescent="0.25">
      <c r="A38" s="903" t="s">
        <v>888</v>
      </c>
      <c r="B38" s="674"/>
      <c r="C38" s="125">
        <v>339106</v>
      </c>
      <c r="D38" s="339">
        <f t="shared" si="1"/>
        <v>339106</v>
      </c>
      <c r="G38" s="73"/>
      <c r="H38" s="72"/>
      <c r="I38" s="72"/>
      <c r="J38" s="72"/>
    </row>
    <row r="39" spans="1:10" ht="30" x14ac:dyDescent="0.25">
      <c r="A39" s="904" t="s">
        <v>889</v>
      </c>
      <c r="B39" s="674"/>
      <c r="C39" s="125">
        <v>85587</v>
      </c>
      <c r="D39" s="339">
        <f t="shared" si="1"/>
        <v>85587</v>
      </c>
      <c r="G39" s="73"/>
      <c r="H39" s="72"/>
      <c r="I39" s="72"/>
      <c r="J39" s="72"/>
    </row>
    <row r="40" spans="1:10" ht="30" x14ac:dyDescent="0.25">
      <c r="A40" s="904" t="s">
        <v>885</v>
      </c>
      <c r="B40" s="674"/>
      <c r="C40" s="125">
        <v>199038</v>
      </c>
      <c r="D40" s="339">
        <f t="shared" si="1"/>
        <v>199038</v>
      </c>
      <c r="G40" s="73"/>
      <c r="H40" s="72"/>
      <c r="I40" s="72"/>
      <c r="J40" s="72"/>
    </row>
    <row r="41" spans="1:10" ht="45" x14ac:dyDescent="0.25">
      <c r="A41" s="904" t="s">
        <v>886</v>
      </c>
      <c r="B41" s="674"/>
      <c r="C41" s="125">
        <v>3732108</v>
      </c>
      <c r="D41" s="339">
        <f t="shared" si="1"/>
        <v>3732108</v>
      </c>
      <c r="G41" s="73"/>
      <c r="H41" s="72"/>
      <c r="I41" s="72"/>
      <c r="J41" s="72"/>
    </row>
    <row r="42" spans="1:10" s="6" customFormat="1" ht="31.2" x14ac:dyDescent="0.3">
      <c r="A42" s="902" t="s">
        <v>412</v>
      </c>
      <c r="B42" s="673">
        <f>SUM(B43:B50)</f>
        <v>12636881</v>
      </c>
      <c r="C42" s="124">
        <f>SUM(C43:C54)</f>
        <v>18039937</v>
      </c>
      <c r="D42" s="124">
        <f>SUM(D43:D54)</f>
        <v>5403056</v>
      </c>
      <c r="E42" s="5"/>
      <c r="G42" s="69"/>
      <c r="H42" s="70"/>
      <c r="I42" s="70"/>
      <c r="J42" s="70"/>
    </row>
    <row r="43" spans="1:10" ht="18.899999999999999" customHeight="1" x14ac:dyDescent="0.25">
      <c r="A43" s="99" t="s">
        <v>407</v>
      </c>
      <c r="B43" s="674">
        <v>5775168</v>
      </c>
      <c r="C43" s="125">
        <v>6338827</v>
      </c>
      <c r="D43" s="339">
        <f t="shared" si="1"/>
        <v>563659</v>
      </c>
      <c r="G43" s="73"/>
      <c r="H43" s="72"/>
      <c r="I43" s="72"/>
      <c r="J43" s="72"/>
    </row>
    <row r="44" spans="1:10" ht="18.899999999999999" customHeight="1" x14ac:dyDescent="0.25">
      <c r="A44" s="99" t="s">
        <v>411</v>
      </c>
      <c r="B44" s="674">
        <v>2585077</v>
      </c>
      <c r="C44" s="125">
        <v>2298092</v>
      </c>
      <c r="D44" s="339">
        <f t="shared" si="1"/>
        <v>-286985</v>
      </c>
      <c r="G44" s="73"/>
      <c r="H44" s="72"/>
      <c r="I44" s="72"/>
      <c r="J44" s="72"/>
    </row>
    <row r="45" spans="1:10" ht="18.899999999999999" customHeight="1" x14ac:dyDescent="0.25">
      <c r="A45" s="669" t="s">
        <v>676</v>
      </c>
      <c r="B45" s="674">
        <v>0</v>
      </c>
      <c r="C45" s="125"/>
      <c r="D45" s="339">
        <f t="shared" si="1"/>
        <v>0</v>
      </c>
      <c r="G45" s="73"/>
      <c r="H45" s="72"/>
      <c r="I45" s="72"/>
      <c r="J45" s="72"/>
    </row>
    <row r="46" spans="1:10" ht="18.899999999999999" customHeight="1" x14ac:dyDescent="0.25">
      <c r="A46" s="99" t="s">
        <v>9</v>
      </c>
      <c r="B46" s="674">
        <v>829715</v>
      </c>
      <c r="C46" s="125">
        <v>829715</v>
      </c>
      <c r="D46" s="339">
        <f t="shared" si="1"/>
        <v>0</v>
      </c>
      <c r="G46" s="73"/>
      <c r="H46" s="72"/>
      <c r="I46" s="72"/>
      <c r="J46" s="72"/>
    </row>
    <row r="47" spans="1:10" ht="18.899999999999999" customHeight="1" x14ac:dyDescent="0.25">
      <c r="A47" s="99" t="s">
        <v>652</v>
      </c>
      <c r="B47" s="674">
        <v>1927781</v>
      </c>
      <c r="C47" s="125">
        <v>1997141</v>
      </c>
      <c r="D47" s="339">
        <f t="shared" si="1"/>
        <v>69360</v>
      </c>
      <c r="G47" s="73"/>
      <c r="H47" s="72"/>
      <c r="I47" s="72"/>
      <c r="J47" s="72"/>
    </row>
    <row r="48" spans="1:10" ht="18.899999999999999" customHeight="1" x14ac:dyDescent="0.25">
      <c r="A48" s="99" t="s">
        <v>408</v>
      </c>
      <c r="B48" s="674">
        <v>253000</v>
      </c>
      <c r="C48" s="125">
        <v>253000</v>
      </c>
      <c r="D48" s="339">
        <f t="shared" si="1"/>
        <v>0</v>
      </c>
      <c r="G48" s="73"/>
      <c r="H48" s="72"/>
      <c r="I48" s="72"/>
      <c r="J48" s="72"/>
    </row>
    <row r="49" spans="1:11" ht="28.5" customHeight="1" x14ac:dyDescent="0.25">
      <c r="A49" s="251" t="s">
        <v>675</v>
      </c>
      <c r="B49" s="674">
        <v>1047840</v>
      </c>
      <c r="C49" s="125">
        <f>5164042-218300</f>
        <v>4945742</v>
      </c>
      <c r="D49" s="339">
        <f t="shared" si="1"/>
        <v>3897902</v>
      </c>
      <c r="G49" s="73"/>
      <c r="H49" s="72"/>
      <c r="I49" s="72"/>
      <c r="J49" s="72"/>
    </row>
    <row r="50" spans="1:11" ht="28.5" customHeight="1" x14ac:dyDescent="0.25">
      <c r="A50" s="99" t="s">
        <v>451</v>
      </c>
      <c r="B50" s="674">
        <v>218300</v>
      </c>
      <c r="C50" s="125">
        <v>218300</v>
      </c>
      <c r="D50" s="339">
        <f t="shared" si="1"/>
        <v>0</v>
      </c>
      <c r="G50" s="73"/>
      <c r="H50" s="72"/>
      <c r="I50" s="72"/>
      <c r="J50" s="72"/>
    </row>
    <row r="51" spans="1:11" ht="28.5" customHeight="1" x14ac:dyDescent="0.25">
      <c r="A51" s="903" t="s">
        <v>888</v>
      </c>
      <c r="B51" s="674"/>
      <c r="C51" s="125">
        <v>74603</v>
      </c>
      <c r="D51" s="339">
        <f t="shared" si="1"/>
        <v>74603</v>
      </c>
      <c r="G51" s="73"/>
      <c r="H51" s="72"/>
      <c r="I51" s="72"/>
      <c r="J51" s="72"/>
    </row>
    <row r="52" spans="1:11" ht="28.5" customHeight="1" x14ac:dyDescent="0.25">
      <c r="A52" s="904" t="s">
        <v>889</v>
      </c>
      <c r="B52" s="674"/>
      <c r="C52" s="125">
        <v>23108</v>
      </c>
      <c r="D52" s="339">
        <f t="shared" si="1"/>
        <v>23108</v>
      </c>
      <c r="G52" s="73"/>
      <c r="H52" s="72"/>
      <c r="I52" s="72"/>
      <c r="J52" s="72"/>
    </row>
    <row r="53" spans="1:11" ht="28.5" customHeight="1" x14ac:dyDescent="0.25">
      <c r="A53" s="904" t="s">
        <v>885</v>
      </c>
      <c r="B53" s="674"/>
      <c r="C53" s="125">
        <v>53740</v>
      </c>
      <c r="D53" s="339">
        <f t="shared" si="1"/>
        <v>53740</v>
      </c>
      <c r="G53" s="73"/>
      <c r="H53" s="72"/>
      <c r="I53" s="72"/>
      <c r="J53" s="72"/>
    </row>
    <row r="54" spans="1:11" ht="45.6" thickBot="1" x14ac:dyDescent="0.3">
      <c r="A54" s="1102" t="s">
        <v>886</v>
      </c>
      <c r="B54" s="1103"/>
      <c r="C54" s="914">
        <v>1007669</v>
      </c>
      <c r="D54" s="1104">
        <f t="shared" si="1"/>
        <v>1007669</v>
      </c>
      <c r="G54" s="73"/>
      <c r="H54" s="72"/>
      <c r="I54" s="72"/>
      <c r="J54" s="72"/>
    </row>
    <row r="55" spans="1:11" ht="36" customHeight="1" thickBot="1" x14ac:dyDescent="0.3">
      <c r="A55" s="121" t="s">
        <v>631</v>
      </c>
      <c r="B55" s="600" t="s">
        <v>75</v>
      </c>
      <c r="C55" s="601" t="s">
        <v>228</v>
      </c>
      <c r="D55" s="602" t="s">
        <v>229</v>
      </c>
      <c r="G55" s="73"/>
      <c r="H55" s="72"/>
      <c r="I55" s="72"/>
      <c r="J55" s="72"/>
    </row>
    <row r="56" spans="1:11" s="3" customFormat="1" ht="18.899999999999999" customHeight="1" x14ac:dyDescent="0.3">
      <c r="A56" s="250" t="s">
        <v>396</v>
      </c>
      <c r="B56" s="905">
        <f>SUM(B57:B90)</f>
        <v>754991434</v>
      </c>
      <c r="C56" s="906">
        <f>SUM(C57:C90)</f>
        <v>1136820370</v>
      </c>
      <c r="D56" s="907">
        <f t="shared" si="1"/>
        <v>381828936</v>
      </c>
      <c r="F56" s="4"/>
      <c r="G56" s="69"/>
      <c r="H56" s="70"/>
      <c r="I56" s="70"/>
      <c r="J56" s="70"/>
      <c r="K56" s="12"/>
    </row>
    <row r="57" spans="1:11" ht="18.899999999999999" customHeight="1" x14ac:dyDescent="0.25">
      <c r="A57" s="656" t="s">
        <v>413</v>
      </c>
      <c r="B57" s="674">
        <v>4000000</v>
      </c>
      <c r="C57" s="125">
        <v>4279400</v>
      </c>
      <c r="D57" s="339">
        <f t="shared" si="1"/>
        <v>279400</v>
      </c>
      <c r="G57" s="73"/>
      <c r="H57" s="72"/>
      <c r="I57" s="72"/>
      <c r="J57" s="72"/>
      <c r="K57" s="3"/>
    </row>
    <row r="58" spans="1:11" ht="18.899999999999999" customHeight="1" x14ac:dyDescent="0.25">
      <c r="A58" s="656" t="s">
        <v>414</v>
      </c>
      <c r="B58" s="674">
        <v>340420445</v>
      </c>
      <c r="C58" s="125">
        <v>388625483</v>
      </c>
      <c r="D58" s="339">
        <f t="shared" si="1"/>
        <v>48205038</v>
      </c>
      <c r="G58" s="73"/>
      <c r="H58" s="72"/>
      <c r="I58" s="72"/>
      <c r="J58" s="72"/>
    </row>
    <row r="59" spans="1:11" ht="18.899999999999999" customHeight="1" x14ac:dyDescent="0.25">
      <c r="A59" s="656" t="s">
        <v>415</v>
      </c>
      <c r="B59" s="674">
        <v>40940000</v>
      </c>
      <c r="C59" s="125">
        <v>33080218</v>
      </c>
      <c r="D59" s="339">
        <f t="shared" si="1"/>
        <v>-7859782</v>
      </c>
      <c r="G59" s="73"/>
      <c r="H59" s="72"/>
      <c r="I59" s="72"/>
      <c r="J59" s="72"/>
    </row>
    <row r="60" spans="1:11" ht="18.899999999999999" customHeight="1" x14ac:dyDescent="0.25">
      <c r="A60" s="656" t="s">
        <v>416</v>
      </c>
      <c r="B60" s="674">
        <v>2500000</v>
      </c>
      <c r="C60" s="125">
        <v>1531202</v>
      </c>
      <c r="D60" s="339">
        <f t="shared" si="1"/>
        <v>-968798</v>
      </c>
      <c r="G60" s="73"/>
      <c r="H60" s="72"/>
      <c r="I60" s="72"/>
      <c r="J60" s="72"/>
    </row>
    <row r="61" spans="1:11" ht="18.899999999999999" customHeight="1" x14ac:dyDescent="0.3">
      <c r="A61" s="656" t="s">
        <v>417</v>
      </c>
      <c r="B61" s="674">
        <v>13085000</v>
      </c>
      <c r="C61" s="125">
        <v>17121155</v>
      </c>
      <c r="D61" s="339">
        <f t="shared" si="1"/>
        <v>4036155</v>
      </c>
      <c r="G61" s="69"/>
      <c r="H61" s="70"/>
      <c r="I61" s="70"/>
      <c r="J61" s="70"/>
    </row>
    <row r="62" spans="1:11" ht="18.899999999999999" customHeight="1" x14ac:dyDescent="0.25">
      <c r="A62" s="656" t="s">
        <v>418</v>
      </c>
      <c r="B62" s="674">
        <v>4700000</v>
      </c>
      <c r="C62" s="125">
        <v>4540080</v>
      </c>
      <c r="D62" s="339">
        <f t="shared" si="1"/>
        <v>-159920</v>
      </c>
      <c r="G62" s="69"/>
      <c r="H62" s="72"/>
      <c r="I62" s="72"/>
      <c r="J62" s="72"/>
    </row>
    <row r="63" spans="1:11" ht="18.899999999999999" customHeight="1" x14ac:dyDescent="0.25">
      <c r="A63" s="656" t="s">
        <v>419</v>
      </c>
      <c r="B63" s="674">
        <v>800000</v>
      </c>
      <c r="C63" s="125">
        <v>800000</v>
      </c>
      <c r="D63" s="339">
        <f t="shared" si="1"/>
        <v>0</v>
      </c>
      <c r="G63" s="73"/>
      <c r="H63" s="72"/>
      <c r="I63" s="72"/>
      <c r="J63" s="72"/>
    </row>
    <row r="64" spans="1:11" ht="18.899999999999999" customHeight="1" x14ac:dyDescent="0.25">
      <c r="A64" s="656" t="s">
        <v>420</v>
      </c>
      <c r="B64" s="674">
        <v>11000000</v>
      </c>
      <c r="C64" s="125">
        <v>11803164</v>
      </c>
      <c r="D64" s="339">
        <f t="shared" si="1"/>
        <v>803164</v>
      </c>
      <c r="G64" s="73"/>
      <c r="H64" s="72"/>
      <c r="I64" s="72"/>
      <c r="J64" s="72"/>
    </row>
    <row r="65" spans="1:10" ht="18.899999999999999" customHeight="1" x14ac:dyDescent="0.25">
      <c r="A65" s="656" t="s">
        <v>421</v>
      </c>
      <c r="B65" s="674">
        <v>36358000</v>
      </c>
      <c r="C65" s="125">
        <v>39645721</v>
      </c>
      <c r="D65" s="339">
        <f t="shared" si="1"/>
        <v>3287721</v>
      </c>
      <c r="G65" s="73"/>
      <c r="H65" s="72"/>
      <c r="I65" s="72"/>
      <c r="J65" s="72"/>
    </row>
    <row r="66" spans="1:10" ht="18.899999999999999" customHeight="1" x14ac:dyDescent="0.25">
      <c r="A66" s="656" t="s">
        <v>422</v>
      </c>
      <c r="B66" s="674">
        <v>48570329</v>
      </c>
      <c r="C66" s="125">
        <v>75577681</v>
      </c>
      <c r="D66" s="339">
        <f t="shared" si="1"/>
        <v>27007352</v>
      </c>
      <c r="G66" s="73"/>
      <c r="H66" s="72"/>
      <c r="I66" s="72"/>
      <c r="J66" s="72"/>
    </row>
    <row r="67" spans="1:10" ht="18.899999999999999" customHeight="1" x14ac:dyDescent="0.3">
      <c r="A67" s="656" t="s">
        <v>423</v>
      </c>
      <c r="B67" s="674">
        <v>1200000</v>
      </c>
      <c r="C67" s="125">
        <v>1514600</v>
      </c>
      <c r="D67" s="339">
        <f t="shared" si="1"/>
        <v>314600</v>
      </c>
      <c r="G67" s="69"/>
      <c r="H67" s="70"/>
      <c r="I67" s="68"/>
      <c r="J67" s="70"/>
    </row>
    <row r="68" spans="1:10" ht="18.899999999999999" customHeight="1" x14ac:dyDescent="0.25">
      <c r="A68" s="656" t="s">
        <v>424</v>
      </c>
      <c r="B68" s="674">
        <v>780000</v>
      </c>
      <c r="C68" s="125">
        <v>780000</v>
      </c>
      <c r="D68" s="339">
        <f t="shared" si="1"/>
        <v>0</v>
      </c>
      <c r="G68" s="73"/>
      <c r="H68" s="72"/>
      <c r="I68" s="72"/>
      <c r="J68" s="72"/>
    </row>
    <row r="69" spans="1:10" ht="18.899999999999999" customHeight="1" x14ac:dyDescent="0.25">
      <c r="A69" s="656" t="s">
        <v>12</v>
      </c>
      <c r="B69" s="674">
        <v>100838784</v>
      </c>
      <c r="C69" s="125">
        <v>100838784</v>
      </c>
      <c r="D69" s="339">
        <f t="shared" si="1"/>
        <v>0</v>
      </c>
      <c r="G69" s="73"/>
      <c r="H69" s="72"/>
      <c r="I69" s="72"/>
      <c r="J69" s="72"/>
    </row>
    <row r="70" spans="1:10" ht="18.899999999999999" customHeight="1" x14ac:dyDescent="0.25">
      <c r="A70" s="656" t="s">
        <v>428</v>
      </c>
      <c r="B70" s="674">
        <v>727776</v>
      </c>
      <c r="C70" s="125">
        <v>1227776</v>
      </c>
      <c r="D70" s="339">
        <f>C70-B70</f>
        <v>500000</v>
      </c>
      <c r="G70" s="73"/>
      <c r="H70" s="72"/>
      <c r="I70" s="72"/>
      <c r="J70" s="72"/>
    </row>
    <row r="71" spans="1:10" ht="18.899999999999999" customHeight="1" x14ac:dyDescent="0.25">
      <c r="A71" s="656" t="s">
        <v>13</v>
      </c>
      <c r="B71" s="674">
        <v>15000000</v>
      </c>
      <c r="C71" s="125">
        <v>15397304</v>
      </c>
      <c r="D71" s="339">
        <f t="shared" si="1"/>
        <v>397304</v>
      </c>
      <c r="G71" s="73"/>
      <c r="H71" s="72"/>
      <c r="I71" s="72"/>
      <c r="J71" s="72"/>
    </row>
    <row r="72" spans="1:10" ht="31.5" customHeight="1" x14ac:dyDescent="0.25">
      <c r="A72" s="656" t="s">
        <v>770</v>
      </c>
      <c r="B72" s="674">
        <v>16230000</v>
      </c>
      <c r="C72" s="125">
        <v>17361737</v>
      </c>
      <c r="D72" s="339">
        <f t="shared" si="1"/>
        <v>1131737</v>
      </c>
      <c r="G72" s="73"/>
      <c r="H72" s="72"/>
      <c r="I72" s="72"/>
      <c r="J72" s="72"/>
    </row>
    <row r="73" spans="1:10" ht="15" x14ac:dyDescent="0.25">
      <c r="A73" s="656" t="s">
        <v>425</v>
      </c>
      <c r="B73" s="674">
        <v>12000000</v>
      </c>
      <c r="C73" s="373">
        <v>12000000</v>
      </c>
      <c r="D73" s="339">
        <f t="shared" si="1"/>
        <v>0</v>
      </c>
      <c r="G73" s="73"/>
      <c r="H73" s="72"/>
      <c r="I73" s="72"/>
      <c r="J73" s="72"/>
    </row>
    <row r="74" spans="1:10" ht="30" x14ac:dyDescent="0.25">
      <c r="A74" s="656" t="s">
        <v>426</v>
      </c>
      <c r="B74" s="674">
        <v>254000</v>
      </c>
      <c r="C74" s="373">
        <v>254000</v>
      </c>
      <c r="D74" s="339">
        <f t="shared" si="1"/>
        <v>0</v>
      </c>
      <c r="E74" s="62"/>
      <c r="G74" s="73"/>
      <c r="H74" s="72"/>
      <c r="I74" s="72"/>
      <c r="J74" s="72"/>
    </row>
    <row r="75" spans="1:10" ht="41.4" x14ac:dyDescent="0.25">
      <c r="A75" s="670" t="s">
        <v>458</v>
      </c>
      <c r="B75" s="674"/>
      <c r="C75" s="373">
        <v>1397000</v>
      </c>
      <c r="D75" s="339">
        <f t="shared" si="1"/>
        <v>1397000</v>
      </c>
      <c r="E75" s="62"/>
      <c r="G75" s="73"/>
      <c r="H75" s="72"/>
      <c r="I75" s="72"/>
      <c r="J75" s="72"/>
    </row>
    <row r="76" spans="1:10" ht="27.6" x14ac:dyDescent="0.25">
      <c r="A76" s="670" t="s">
        <v>457</v>
      </c>
      <c r="B76" s="674"/>
      <c r="C76" s="373"/>
      <c r="D76" s="339">
        <f t="shared" si="1"/>
        <v>0</v>
      </c>
      <c r="E76" s="62"/>
      <c r="G76" s="73"/>
      <c r="H76" s="72"/>
      <c r="I76" s="72"/>
      <c r="J76" s="72"/>
    </row>
    <row r="77" spans="1:10" ht="27.6" x14ac:dyDescent="0.25">
      <c r="A77" s="670" t="s">
        <v>456</v>
      </c>
      <c r="B77" s="674">
        <v>889000</v>
      </c>
      <c r="C77" s="373">
        <v>0</v>
      </c>
      <c r="D77" s="339">
        <f t="shared" si="1"/>
        <v>-889000</v>
      </c>
      <c r="E77" s="62"/>
      <c r="G77" s="73"/>
      <c r="H77" s="72"/>
      <c r="I77" s="72"/>
      <c r="J77" s="72"/>
    </row>
    <row r="78" spans="1:10" ht="30" x14ac:dyDescent="0.25">
      <c r="A78" s="903" t="s">
        <v>888</v>
      </c>
      <c r="B78" s="674"/>
      <c r="C78" s="373">
        <v>4050001</v>
      </c>
      <c r="D78" s="339">
        <f t="shared" si="1"/>
        <v>4050001</v>
      </c>
      <c r="E78" s="62"/>
      <c r="G78" s="73"/>
      <c r="H78" s="72"/>
      <c r="I78" s="72"/>
      <c r="J78" s="72"/>
    </row>
    <row r="79" spans="1:10" ht="27.6" x14ac:dyDescent="0.25">
      <c r="A79" s="670" t="s">
        <v>455</v>
      </c>
      <c r="B79" s="674">
        <v>1016000</v>
      </c>
      <c r="C79" s="373">
        <v>8736000</v>
      </c>
      <c r="D79" s="339">
        <f t="shared" si="1"/>
        <v>7720000</v>
      </c>
      <c r="E79" s="62"/>
      <c r="G79" s="73"/>
      <c r="H79" s="72"/>
      <c r="I79" s="72"/>
      <c r="J79" s="72"/>
    </row>
    <row r="80" spans="1:10" ht="45" x14ac:dyDescent="0.25">
      <c r="A80" s="904" t="s">
        <v>886</v>
      </c>
      <c r="B80" s="674"/>
      <c r="C80" s="373">
        <v>24900000</v>
      </c>
      <c r="D80" s="339">
        <f t="shared" si="1"/>
        <v>24900000</v>
      </c>
      <c r="E80" s="62"/>
      <c r="G80" s="73"/>
      <c r="H80" s="72"/>
      <c r="I80" s="72"/>
      <c r="J80" s="72"/>
    </row>
    <row r="81" spans="1:11" ht="27.6" x14ac:dyDescent="0.25">
      <c r="A81" s="670" t="s">
        <v>454</v>
      </c>
      <c r="B81" s="674"/>
      <c r="C81" s="373"/>
      <c r="D81" s="339">
        <f t="shared" si="1"/>
        <v>0</v>
      </c>
      <c r="E81" s="62"/>
      <c r="G81" s="73"/>
      <c r="H81" s="72"/>
      <c r="I81" s="72"/>
      <c r="J81" s="72"/>
    </row>
    <row r="82" spans="1:11" ht="27.6" x14ac:dyDescent="0.25">
      <c r="A82" s="670" t="s">
        <v>459</v>
      </c>
      <c r="B82" s="674"/>
      <c r="C82" s="373"/>
      <c r="D82" s="339">
        <f t="shared" si="1"/>
        <v>0</v>
      </c>
      <c r="E82" s="62"/>
      <c r="G82" s="73"/>
      <c r="H82" s="72"/>
      <c r="I82" s="72"/>
      <c r="J82" s="72"/>
    </row>
    <row r="83" spans="1:11" ht="27.6" x14ac:dyDescent="0.25">
      <c r="A83" s="670" t="s">
        <v>453</v>
      </c>
      <c r="B83" s="674">
        <v>635000</v>
      </c>
      <c r="C83" s="373">
        <v>3685000</v>
      </c>
      <c r="D83" s="339">
        <f t="shared" si="1"/>
        <v>3050000</v>
      </c>
      <c r="E83" s="62"/>
      <c r="G83" s="73"/>
      <c r="H83" s="72"/>
      <c r="I83" s="72"/>
      <c r="J83" s="72"/>
    </row>
    <row r="84" spans="1:11" ht="69" x14ac:dyDescent="0.25">
      <c r="A84" s="670" t="s">
        <v>452</v>
      </c>
      <c r="B84" s="674"/>
      <c r="C84" s="373"/>
      <c r="D84" s="339">
        <f t="shared" si="1"/>
        <v>0</v>
      </c>
      <c r="E84" s="62"/>
      <c r="G84" s="73"/>
      <c r="H84" s="72"/>
      <c r="I84" s="72"/>
      <c r="J84" s="72"/>
    </row>
    <row r="85" spans="1:11" ht="27.6" x14ac:dyDescent="0.25">
      <c r="A85" s="670" t="s">
        <v>460</v>
      </c>
      <c r="B85" s="674">
        <v>1016000</v>
      </c>
      <c r="C85" s="373">
        <v>1016000</v>
      </c>
      <c r="D85" s="339">
        <f t="shared" si="1"/>
        <v>0</v>
      </c>
      <c r="E85" s="62"/>
      <c r="G85" s="73"/>
      <c r="H85" s="72"/>
      <c r="I85" s="72"/>
      <c r="J85" s="72"/>
    </row>
    <row r="86" spans="1:11" ht="45" x14ac:dyDescent="0.25">
      <c r="A86" s="910" t="s">
        <v>461</v>
      </c>
      <c r="B86" s="908">
        <v>16357600</v>
      </c>
      <c r="C86" s="909">
        <v>17437735</v>
      </c>
      <c r="D86" s="911">
        <f>C86-B86</f>
        <v>1080135</v>
      </c>
      <c r="E86" s="62"/>
      <c r="G86" s="73"/>
      <c r="H86" s="72"/>
      <c r="I86" s="72"/>
      <c r="J86" s="72"/>
    </row>
    <row r="87" spans="1:11" ht="55.2" x14ac:dyDescent="0.25">
      <c r="A87" s="670" t="s">
        <v>690</v>
      </c>
      <c r="B87" s="677">
        <v>1270000</v>
      </c>
      <c r="C87" s="377">
        <v>1270000</v>
      </c>
      <c r="D87" s="678">
        <f t="shared" ref="D87:D90" si="2">C87-B87</f>
        <v>0</v>
      </c>
      <c r="E87" s="62"/>
      <c r="G87" s="73"/>
      <c r="H87" s="72"/>
      <c r="I87" s="72"/>
      <c r="J87" s="72"/>
    </row>
    <row r="88" spans="1:11" ht="15" x14ac:dyDescent="0.25">
      <c r="A88" s="670" t="s">
        <v>866</v>
      </c>
      <c r="B88" s="677">
        <v>3810000</v>
      </c>
      <c r="C88" s="377">
        <v>7080000</v>
      </c>
      <c r="D88" s="678">
        <f t="shared" si="2"/>
        <v>3270000</v>
      </c>
      <c r="E88" s="62"/>
      <c r="G88" s="73"/>
      <c r="H88" s="72"/>
      <c r="I88" s="72"/>
      <c r="J88" s="72"/>
    </row>
    <row r="89" spans="1:11" ht="15" x14ac:dyDescent="0.25">
      <c r="A89" s="327" t="s">
        <v>867</v>
      </c>
      <c r="B89" s="677">
        <v>71250500</v>
      </c>
      <c r="C89" s="377">
        <v>333055409</v>
      </c>
      <c r="D89" s="678">
        <f t="shared" si="2"/>
        <v>261804909</v>
      </c>
      <c r="E89" s="62"/>
      <c r="G89" s="73"/>
      <c r="H89" s="72"/>
      <c r="I89" s="72"/>
      <c r="J89" s="72"/>
    </row>
    <row r="90" spans="1:11" ht="30.6" thickBot="1" x14ac:dyDescent="0.3">
      <c r="A90" s="676" t="s">
        <v>526</v>
      </c>
      <c r="B90" s="679">
        <v>9343000</v>
      </c>
      <c r="C90" s="680">
        <v>7814920</v>
      </c>
      <c r="D90" s="681">
        <f t="shared" si="2"/>
        <v>-1528080</v>
      </c>
      <c r="G90" s="73"/>
      <c r="H90" s="72"/>
      <c r="I90" s="72"/>
      <c r="J90" s="72"/>
    </row>
    <row r="91" spans="1:11" ht="15.6" thickBot="1" x14ac:dyDescent="0.3">
      <c r="A91" s="127"/>
      <c r="B91" s="310"/>
      <c r="C91" s="682"/>
      <c r="D91" s="311"/>
      <c r="G91" s="73"/>
      <c r="H91" s="72"/>
      <c r="I91" s="72"/>
      <c r="J91" s="72"/>
    </row>
    <row r="92" spans="1:11" s="3" customFormat="1" ht="29.25" customHeight="1" x14ac:dyDescent="0.3">
      <c r="A92" s="653" t="s">
        <v>427</v>
      </c>
      <c r="B92" s="687">
        <f>SUM(B93:B100)</f>
        <v>29200000</v>
      </c>
      <c r="C92" s="384">
        <f>SUM(C93:C100)</f>
        <v>28702500</v>
      </c>
      <c r="D92" s="411">
        <f>C92-B92</f>
        <v>-497500</v>
      </c>
      <c r="E92" s="68"/>
      <c r="F92" s="68"/>
      <c r="G92" s="69"/>
      <c r="H92" s="70"/>
      <c r="I92" s="70"/>
      <c r="J92" s="70"/>
      <c r="K92" s="12"/>
    </row>
    <row r="93" spans="1:11" ht="30" customHeight="1" x14ac:dyDescent="0.25">
      <c r="A93" s="656" t="s">
        <v>429</v>
      </c>
      <c r="B93" s="674">
        <v>17500000</v>
      </c>
      <c r="C93" s="125">
        <v>17000000</v>
      </c>
      <c r="D93" s="339">
        <f t="shared" ref="D93:D115" si="3">C93-B93</f>
        <v>-500000</v>
      </c>
      <c r="G93" s="73"/>
      <c r="H93" s="72"/>
      <c r="I93" s="72"/>
      <c r="J93" s="72"/>
    </row>
    <row r="94" spans="1:11" ht="18.899999999999999" customHeight="1" x14ac:dyDescent="0.25">
      <c r="A94" s="656" t="s">
        <v>430</v>
      </c>
      <c r="B94" s="674">
        <v>3000000</v>
      </c>
      <c r="C94" s="125">
        <v>3000000</v>
      </c>
      <c r="D94" s="339">
        <f t="shared" si="3"/>
        <v>0</v>
      </c>
      <c r="G94" s="73"/>
      <c r="H94" s="72"/>
      <c r="I94" s="72"/>
      <c r="J94" s="72"/>
    </row>
    <row r="95" spans="1:11" ht="18.899999999999999" customHeight="1" x14ac:dyDescent="0.3">
      <c r="A95" s="656" t="s">
        <v>642</v>
      </c>
      <c r="B95" s="674">
        <v>2000000</v>
      </c>
      <c r="C95" s="125">
        <v>2000000</v>
      </c>
      <c r="D95" s="339">
        <f t="shared" si="3"/>
        <v>0</v>
      </c>
      <c r="G95" s="67"/>
      <c r="H95" s="70"/>
      <c r="I95" s="70"/>
      <c r="J95" s="70"/>
    </row>
    <row r="96" spans="1:11" ht="18.899999999999999" customHeight="1" x14ac:dyDescent="0.25">
      <c r="A96" s="656" t="s">
        <v>431</v>
      </c>
      <c r="B96" s="674">
        <v>500000</v>
      </c>
      <c r="C96" s="125">
        <v>500000</v>
      </c>
      <c r="D96" s="339">
        <f t="shared" si="3"/>
        <v>0</v>
      </c>
      <c r="G96" s="74"/>
      <c r="H96" s="72"/>
      <c r="I96" s="72"/>
      <c r="J96" s="72"/>
    </row>
    <row r="97" spans="1:11" ht="18.899999999999999" customHeight="1" x14ac:dyDescent="0.25">
      <c r="A97" s="656" t="s">
        <v>432</v>
      </c>
      <c r="B97" s="674">
        <v>500000</v>
      </c>
      <c r="C97" s="125">
        <v>500000</v>
      </c>
      <c r="D97" s="339">
        <f t="shared" si="3"/>
        <v>0</v>
      </c>
      <c r="G97" s="74"/>
      <c r="H97" s="72"/>
      <c r="I97" s="72"/>
      <c r="J97" s="72"/>
    </row>
    <row r="98" spans="1:11" ht="15" x14ac:dyDescent="0.25">
      <c r="A98" s="683" t="s">
        <v>462</v>
      </c>
      <c r="B98" s="674">
        <v>1500000</v>
      </c>
      <c r="C98" s="125">
        <v>1500000</v>
      </c>
      <c r="D98" s="339">
        <f t="shared" si="3"/>
        <v>0</v>
      </c>
      <c r="G98" s="74"/>
      <c r="H98" s="72"/>
      <c r="I98" s="72"/>
      <c r="J98" s="72"/>
    </row>
    <row r="99" spans="1:11" ht="18.899999999999999" customHeight="1" x14ac:dyDescent="0.25">
      <c r="A99" s="656" t="s">
        <v>643</v>
      </c>
      <c r="B99" s="674">
        <v>2000000</v>
      </c>
      <c r="C99" s="125">
        <v>2000000</v>
      </c>
      <c r="D99" s="339">
        <f t="shared" si="3"/>
        <v>0</v>
      </c>
      <c r="G99" s="74"/>
      <c r="H99" s="72"/>
      <c r="I99" s="72"/>
      <c r="J99" s="72"/>
    </row>
    <row r="100" spans="1:11" ht="18.899999999999999" customHeight="1" x14ac:dyDescent="0.25">
      <c r="A100" s="656" t="s">
        <v>644</v>
      </c>
      <c r="B100" s="674">
        <v>2200000</v>
      </c>
      <c r="C100" s="125">
        <v>2202500</v>
      </c>
      <c r="D100" s="339">
        <f t="shared" si="3"/>
        <v>2500</v>
      </c>
      <c r="G100" s="74"/>
      <c r="H100" s="72"/>
      <c r="I100" s="72"/>
      <c r="J100" s="72"/>
    </row>
    <row r="101" spans="1:11" s="3" customFormat="1" ht="28.5" customHeight="1" x14ac:dyDescent="0.3">
      <c r="A101" s="684" t="s">
        <v>402</v>
      </c>
      <c r="B101" s="673">
        <f>B102+B103+B104+B105+B106+B107+B108+B113+B114</f>
        <v>1009956391</v>
      </c>
      <c r="C101" s="124">
        <f>C102+C103+C104+C105+C106+C107+C108+C113+C114</f>
        <v>995609633</v>
      </c>
      <c r="D101" s="338">
        <f t="shared" si="3"/>
        <v>-14346758</v>
      </c>
      <c r="G101" s="67"/>
      <c r="H101" s="153"/>
      <c r="I101" s="153"/>
      <c r="J101" s="153"/>
      <c r="K101" s="12"/>
    </row>
    <row r="102" spans="1:11" ht="28.5" customHeight="1" x14ac:dyDescent="0.25">
      <c r="A102" s="685" t="s">
        <v>433</v>
      </c>
      <c r="B102" s="674">
        <v>1080</v>
      </c>
      <c r="C102" s="125">
        <v>1080</v>
      </c>
      <c r="D102" s="339">
        <f t="shared" si="3"/>
        <v>0</v>
      </c>
      <c r="G102" s="67"/>
      <c r="H102" s="58"/>
      <c r="I102" s="58"/>
      <c r="J102" s="58"/>
      <c r="K102" s="3"/>
    </row>
    <row r="103" spans="1:11" ht="45" x14ac:dyDescent="0.3">
      <c r="A103" s="685" t="s">
        <v>434</v>
      </c>
      <c r="B103" s="674"/>
      <c r="C103" s="124"/>
      <c r="D103" s="339">
        <f t="shared" si="3"/>
        <v>0</v>
      </c>
      <c r="G103" s="67"/>
      <c r="H103" s="58"/>
      <c r="I103" s="58"/>
      <c r="J103" s="58"/>
    </row>
    <row r="104" spans="1:11" ht="48.75" customHeight="1" x14ac:dyDescent="0.3">
      <c r="A104" s="685" t="s">
        <v>435</v>
      </c>
      <c r="B104" s="674"/>
      <c r="C104" s="124"/>
      <c r="D104" s="339">
        <f t="shared" si="3"/>
        <v>0</v>
      </c>
      <c r="G104" s="67"/>
      <c r="H104" s="58"/>
      <c r="I104" s="58"/>
      <c r="J104" s="58"/>
    </row>
    <row r="105" spans="1:11" ht="48.75" customHeight="1" x14ac:dyDescent="0.3">
      <c r="A105" s="685" t="s">
        <v>436</v>
      </c>
      <c r="B105" s="674"/>
      <c r="C105" s="124"/>
      <c r="D105" s="339">
        <f t="shared" si="3"/>
        <v>0</v>
      </c>
      <c r="G105" s="67"/>
      <c r="H105" s="58"/>
      <c r="I105" s="58"/>
      <c r="J105" s="58"/>
    </row>
    <row r="106" spans="1:11" ht="30" x14ac:dyDescent="0.25">
      <c r="A106" s="686" t="s">
        <v>437</v>
      </c>
      <c r="B106" s="912">
        <f>'5b. sz. tábla  (2)'!B4</f>
        <v>513966253</v>
      </c>
      <c r="C106" s="125">
        <f>'5b. sz. tábla  (2)'!C4</f>
        <v>497594495</v>
      </c>
      <c r="D106" s="339">
        <f t="shared" si="3"/>
        <v>-16371758</v>
      </c>
      <c r="G106" s="73"/>
      <c r="H106" s="72"/>
      <c r="I106" s="72"/>
      <c r="J106" s="72"/>
    </row>
    <row r="107" spans="1:11" ht="45" x14ac:dyDescent="0.25">
      <c r="A107" s="685" t="s">
        <v>438</v>
      </c>
      <c r="B107" s="912"/>
      <c r="C107" s="125"/>
      <c r="D107" s="339">
        <f t="shared" si="3"/>
        <v>0</v>
      </c>
      <c r="G107" s="73"/>
      <c r="H107" s="72"/>
      <c r="I107" s="72"/>
      <c r="J107" s="72"/>
    </row>
    <row r="108" spans="1:11" ht="48.75" customHeight="1" x14ac:dyDescent="0.25">
      <c r="A108" s="685" t="s">
        <v>771</v>
      </c>
      <c r="B108" s="912"/>
      <c r="C108" s="125">
        <f>SUM(C109:C112)</f>
        <v>0</v>
      </c>
      <c r="D108" s="339">
        <f t="shared" si="3"/>
        <v>0</v>
      </c>
      <c r="E108" s="62"/>
      <c r="G108" s="73"/>
      <c r="H108" s="72"/>
      <c r="I108" s="72"/>
      <c r="J108" s="72"/>
    </row>
    <row r="109" spans="1:11" ht="30" x14ac:dyDescent="0.25">
      <c r="A109" s="685" t="s">
        <v>742</v>
      </c>
      <c r="B109" s="912"/>
      <c r="C109" s="125"/>
      <c r="D109" s="339">
        <f t="shared" si="3"/>
        <v>0</v>
      </c>
      <c r="G109" s="73"/>
      <c r="H109" s="72"/>
      <c r="I109" s="72"/>
      <c r="J109" s="72"/>
    </row>
    <row r="110" spans="1:11" ht="30" x14ac:dyDescent="0.25">
      <c r="A110" s="685" t="s">
        <v>743</v>
      </c>
      <c r="B110" s="912"/>
      <c r="C110" s="125"/>
      <c r="D110" s="339">
        <f t="shared" si="3"/>
        <v>0</v>
      </c>
      <c r="G110" s="73"/>
      <c r="H110" s="72"/>
      <c r="I110" s="72"/>
      <c r="J110" s="72"/>
    </row>
    <row r="111" spans="1:11" ht="30" x14ac:dyDescent="0.25">
      <c r="A111" s="685" t="s">
        <v>872</v>
      </c>
      <c r="B111" s="912"/>
      <c r="C111" s="125"/>
      <c r="D111" s="339">
        <f t="shared" si="3"/>
        <v>0</v>
      </c>
      <c r="G111" s="73"/>
      <c r="H111" s="72"/>
      <c r="I111" s="72"/>
      <c r="J111" s="72"/>
    </row>
    <row r="112" spans="1:11" ht="15" x14ac:dyDescent="0.25">
      <c r="A112" s="685" t="s">
        <v>868</v>
      </c>
      <c r="B112" s="912"/>
      <c r="C112" s="125"/>
      <c r="D112" s="339">
        <f t="shared" si="3"/>
        <v>0</v>
      </c>
      <c r="G112" s="73"/>
      <c r="H112" s="72"/>
      <c r="I112" s="72"/>
      <c r="J112" s="72"/>
    </row>
    <row r="113" spans="1:11" ht="30" x14ac:dyDescent="0.25">
      <c r="A113" s="686" t="s">
        <v>439</v>
      </c>
      <c r="B113" s="912">
        <f>'5b. sz. tábla  (2)'!B12</f>
        <v>495989058</v>
      </c>
      <c r="C113" s="125">
        <f>'5b. sz. tábla  (2)'!C12</f>
        <v>498014058</v>
      </c>
      <c r="D113" s="339">
        <f t="shared" si="3"/>
        <v>2025000</v>
      </c>
      <c r="G113" s="73"/>
      <c r="H113" s="72"/>
      <c r="I113" s="72"/>
      <c r="J113" s="72"/>
    </row>
    <row r="114" spans="1:11" ht="15" x14ac:dyDescent="0.25">
      <c r="A114" s="685"/>
      <c r="B114" s="674"/>
      <c r="C114" s="385"/>
      <c r="D114" s="339">
        <f t="shared" si="3"/>
        <v>0</v>
      </c>
      <c r="G114" s="73"/>
      <c r="H114" s="72"/>
      <c r="I114" s="72"/>
      <c r="J114" s="72"/>
    </row>
    <row r="115" spans="1:11" s="3" customFormat="1" ht="31.8" thickBot="1" x14ac:dyDescent="0.35">
      <c r="A115" s="658" t="s">
        <v>440</v>
      </c>
      <c r="B115" s="688">
        <f>B101+B92+B56+B42+B28</f>
        <v>1877506459</v>
      </c>
      <c r="C115" s="126">
        <f>C101+C92+C56+C42+C28</f>
        <v>2261332404</v>
      </c>
      <c r="D115" s="338">
        <f t="shared" si="3"/>
        <v>383825945</v>
      </c>
      <c r="E115" s="4"/>
      <c r="G115" s="69"/>
      <c r="H115" s="70"/>
      <c r="I115" s="70"/>
      <c r="J115" s="70"/>
      <c r="K115" s="12"/>
    </row>
    <row r="116" spans="1:11" x14ac:dyDescent="0.25">
      <c r="K116" s="3"/>
    </row>
  </sheetData>
  <sheetProtection selectLockedCells="1" selectUnlockedCells="1"/>
  <mergeCells count="1">
    <mergeCell ref="A3:D3"/>
  </mergeCells>
  <phoneticPr fontId="28" type="noConversion"/>
  <pageMargins left="0.74791666666666667" right="0.74791666666666667" top="0.98402777777777772" bottom="0.98402777777777772" header="0.51180555555555551" footer="0.51180555555555551"/>
  <pageSetup paperSize="9" scale="61" firstPageNumber="0" orientation="portrait" r:id="rId1"/>
  <headerFooter alignWithMargins="0">
    <oddHeader xml:space="preserve">&amp;C
5. melléklet az önkormányzat 2017. évi költségvetéséről szóló 8/2017. (II.24.) önkormányzati rendeletéhez&amp;R
&amp;P. oldal
</oddHeader>
  </headerFooter>
  <rowBreaks count="3" manualBreakCount="3">
    <brk id="25" max="4" man="1"/>
    <brk id="54" max="3" man="1"/>
    <brk id="90"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E86"/>
  <sheetViews>
    <sheetView view="pageLayout" topLeftCell="A51" zoomScaleNormal="100" zoomScaleSheetLayoutView="80" workbookViewId="0">
      <selection activeCell="F51" sqref="F51"/>
    </sheetView>
  </sheetViews>
  <sheetFormatPr defaultColWidth="9.109375" defaultRowHeight="15.75" customHeight="1" x14ac:dyDescent="0.25"/>
  <cols>
    <col min="1" max="1" width="56.6640625" style="915" customWidth="1"/>
    <col min="2" max="2" width="16.109375" style="927" customWidth="1"/>
    <col min="3" max="3" width="13.6640625" style="927" customWidth="1"/>
    <col min="4" max="4" width="17.6640625" style="927" customWidth="1"/>
    <col min="5" max="6" width="13.6640625" style="75" customWidth="1"/>
    <col min="7" max="7" width="10.33203125" style="75" customWidth="1"/>
    <col min="8" max="8" width="16.88671875" style="75" customWidth="1"/>
    <col min="9" max="9" width="15.6640625" style="75" customWidth="1"/>
    <col min="10" max="10" width="11.44140625" style="75" customWidth="1"/>
    <col min="11" max="11" width="11" style="75" customWidth="1"/>
    <col min="12" max="12" width="13.6640625" style="75" customWidth="1"/>
    <col min="13" max="13" width="16.33203125" style="75" customWidth="1"/>
    <col min="14" max="14" width="14.33203125" style="75" customWidth="1"/>
    <col min="15" max="15" width="13" style="75" customWidth="1"/>
    <col min="16" max="16" width="14.109375" style="75" customWidth="1"/>
    <col min="17" max="17" width="13.5546875" style="75" customWidth="1"/>
    <col min="18" max="16384" width="9.109375" style="75"/>
  </cols>
  <sheetData>
    <row r="2" spans="1:5" ht="15.75" customHeight="1" thickBot="1" x14ac:dyDescent="0.35">
      <c r="A2" s="1563" t="s">
        <v>940</v>
      </c>
      <c r="B2" s="1563"/>
      <c r="C2" s="1563"/>
      <c r="D2" s="1563"/>
    </row>
    <row r="3" spans="1:5" s="7" customFormat="1" ht="63.75" customHeight="1" thickBot="1" x14ac:dyDescent="0.3">
      <c r="A3" s="695" t="s">
        <v>631</v>
      </c>
      <c r="B3" s="928" t="s">
        <v>75</v>
      </c>
      <c r="C3" s="929" t="s">
        <v>228</v>
      </c>
      <c r="D3" s="930" t="s">
        <v>229</v>
      </c>
    </row>
    <row r="4" spans="1:5" s="7" customFormat="1" ht="18" customHeight="1" x14ac:dyDescent="0.3">
      <c r="A4" s="694" t="s">
        <v>573</v>
      </c>
      <c r="B4" s="671">
        <f>SUM(B5:B11)</f>
        <v>513966253</v>
      </c>
      <c r="C4" s="672">
        <f>SUM(C5:C11)</f>
        <v>497594495</v>
      </c>
      <c r="D4" s="379">
        <f>C4-B4</f>
        <v>-16371758</v>
      </c>
      <c r="E4" s="8"/>
    </row>
    <row r="5" spans="1:5" s="7" customFormat="1" ht="18" customHeight="1" x14ac:dyDescent="0.25">
      <c r="A5" s="916" t="s">
        <v>441</v>
      </c>
      <c r="B5" s="674"/>
      <c r="C5" s="380"/>
      <c r="D5" s="339"/>
    </row>
    <row r="6" spans="1:5" s="7" customFormat="1" ht="17.25" customHeight="1" x14ac:dyDescent="0.25">
      <c r="A6" s="917" t="s">
        <v>442</v>
      </c>
      <c r="B6" s="674"/>
      <c r="C6" s="380">
        <v>366920</v>
      </c>
      <c r="D6" s="339">
        <f>C6-B6</f>
        <v>366920</v>
      </c>
    </row>
    <row r="7" spans="1:5" s="7" customFormat="1" ht="15.75" customHeight="1" x14ac:dyDescent="0.25">
      <c r="A7" s="917" t="s">
        <v>772</v>
      </c>
      <c r="B7" s="674">
        <v>1350000</v>
      </c>
      <c r="C7" s="380">
        <v>1350000</v>
      </c>
      <c r="D7" s="339">
        <f>C7-B7</f>
        <v>0</v>
      </c>
    </row>
    <row r="8" spans="1:5" s="7" customFormat="1" ht="18" customHeight="1" x14ac:dyDescent="0.25">
      <c r="A8" s="918" t="s">
        <v>443</v>
      </c>
      <c r="B8" s="674">
        <v>126987697</v>
      </c>
      <c r="C8" s="380">
        <v>117044468</v>
      </c>
      <c r="D8" s="339">
        <f t="shared" ref="D8:D50" si="0">C8-B8</f>
        <v>-9943229</v>
      </c>
    </row>
    <row r="9" spans="1:5" s="7" customFormat="1" ht="18" customHeight="1" x14ac:dyDescent="0.25">
      <c r="A9" s="918" t="s">
        <v>470</v>
      </c>
      <c r="B9" s="674">
        <v>385628556</v>
      </c>
      <c r="C9" s="380">
        <v>378653425</v>
      </c>
      <c r="D9" s="339">
        <f t="shared" si="0"/>
        <v>-6975131</v>
      </c>
    </row>
    <row r="10" spans="1:5" s="7" customFormat="1" ht="18" customHeight="1" x14ac:dyDescent="0.25">
      <c r="A10" s="918" t="s">
        <v>890</v>
      </c>
      <c r="B10" s="674"/>
      <c r="C10" s="380">
        <v>179682</v>
      </c>
      <c r="D10" s="339">
        <f t="shared" si="0"/>
        <v>179682</v>
      </c>
    </row>
    <row r="11" spans="1:5" s="7" customFormat="1" ht="18" customHeight="1" x14ac:dyDescent="0.25">
      <c r="A11" s="918" t="s">
        <v>869</v>
      </c>
      <c r="B11" s="674"/>
      <c r="C11" s="380"/>
      <c r="D11" s="339">
        <f t="shared" si="0"/>
        <v>0</v>
      </c>
    </row>
    <row r="12" spans="1:5" s="7" customFormat="1" ht="17.25" customHeight="1" x14ac:dyDescent="0.3">
      <c r="A12" s="689" t="s">
        <v>574</v>
      </c>
      <c r="B12" s="673">
        <f>SUM(B13:B82)</f>
        <v>495989058</v>
      </c>
      <c r="C12" s="124">
        <f>SUM(C13:C84)</f>
        <v>498014058</v>
      </c>
      <c r="D12" s="338">
        <f t="shared" si="0"/>
        <v>2025000</v>
      </c>
      <c r="E12" s="8"/>
    </row>
    <row r="13" spans="1:5" ht="16.5" customHeight="1" x14ac:dyDescent="0.25">
      <c r="A13" s="917" t="s">
        <v>471</v>
      </c>
      <c r="B13" s="912">
        <v>11500000</v>
      </c>
      <c r="C13" s="125">
        <v>11500000</v>
      </c>
      <c r="D13" s="339">
        <f t="shared" si="0"/>
        <v>0</v>
      </c>
    </row>
    <row r="14" spans="1:5" ht="16.5" customHeight="1" x14ac:dyDescent="0.25">
      <c r="A14" s="917" t="s">
        <v>472</v>
      </c>
      <c r="B14" s="912">
        <v>1500000</v>
      </c>
      <c r="C14" s="125">
        <v>1500000</v>
      </c>
      <c r="D14" s="339">
        <f t="shared" si="0"/>
        <v>0</v>
      </c>
    </row>
    <row r="15" spans="1:5" ht="16.5" customHeight="1" x14ac:dyDescent="0.25">
      <c r="A15" s="917" t="s">
        <v>473</v>
      </c>
      <c r="B15" s="912">
        <v>1500000</v>
      </c>
      <c r="C15" s="125">
        <v>1500000</v>
      </c>
      <c r="D15" s="339">
        <f t="shared" si="0"/>
        <v>0</v>
      </c>
    </row>
    <row r="16" spans="1:5" ht="16.5" customHeight="1" x14ac:dyDescent="0.25">
      <c r="A16" s="985" t="s">
        <v>672</v>
      </c>
      <c r="B16" s="912">
        <v>23656200</v>
      </c>
      <c r="C16" s="125">
        <v>23656200</v>
      </c>
      <c r="D16" s="339">
        <f t="shared" si="0"/>
        <v>0</v>
      </c>
    </row>
    <row r="17" spans="1:4" ht="16.5" customHeight="1" x14ac:dyDescent="0.25">
      <c r="A17" s="917" t="s">
        <v>474</v>
      </c>
      <c r="B17" s="912">
        <v>1520000</v>
      </c>
      <c r="C17" s="125">
        <v>1520000</v>
      </c>
      <c r="D17" s="339">
        <f t="shared" si="0"/>
        <v>0</v>
      </c>
    </row>
    <row r="18" spans="1:4" ht="16.5" customHeight="1" x14ac:dyDescent="0.25">
      <c r="A18" s="916" t="s">
        <v>475</v>
      </c>
      <c r="B18" s="912">
        <v>2500000</v>
      </c>
      <c r="C18" s="125">
        <v>2500000</v>
      </c>
      <c r="D18" s="339">
        <f t="shared" si="0"/>
        <v>0</v>
      </c>
    </row>
    <row r="19" spans="1:4" ht="16.5" customHeight="1" x14ac:dyDescent="0.25">
      <c r="A19" s="917" t="s">
        <v>476</v>
      </c>
      <c r="B19" s="912">
        <v>200000</v>
      </c>
      <c r="C19" s="125">
        <v>200000</v>
      </c>
      <c r="D19" s="339">
        <f t="shared" si="0"/>
        <v>0</v>
      </c>
    </row>
    <row r="20" spans="1:4" ht="16.5" customHeight="1" x14ac:dyDescent="0.25">
      <c r="A20" s="917" t="s">
        <v>477</v>
      </c>
      <c r="B20" s="912">
        <v>200000</v>
      </c>
      <c r="C20" s="125">
        <v>200000</v>
      </c>
      <c r="D20" s="339">
        <f t="shared" si="0"/>
        <v>0</v>
      </c>
    </row>
    <row r="21" spans="1:4" ht="16.5" customHeight="1" x14ac:dyDescent="0.25">
      <c r="A21" s="917" t="s">
        <v>478</v>
      </c>
      <c r="B21" s="912">
        <v>400000</v>
      </c>
      <c r="C21" s="125">
        <v>400000</v>
      </c>
      <c r="D21" s="339">
        <f t="shared" si="0"/>
        <v>0</v>
      </c>
    </row>
    <row r="22" spans="1:4" ht="16.5" customHeight="1" x14ac:dyDescent="0.25">
      <c r="A22" s="917" t="s">
        <v>479</v>
      </c>
      <c r="B22" s="912">
        <v>200000</v>
      </c>
      <c r="C22" s="125">
        <v>200000</v>
      </c>
      <c r="D22" s="339">
        <f t="shared" si="0"/>
        <v>0</v>
      </c>
    </row>
    <row r="23" spans="1:4" ht="16.5" customHeight="1" x14ac:dyDescent="0.25">
      <c r="A23" s="917" t="s">
        <v>480</v>
      </c>
      <c r="B23" s="912">
        <v>2000000</v>
      </c>
      <c r="C23" s="125">
        <v>2000000</v>
      </c>
      <c r="D23" s="339">
        <f t="shared" si="0"/>
        <v>0</v>
      </c>
    </row>
    <row r="24" spans="1:4" ht="16.5" customHeight="1" x14ac:dyDescent="0.25">
      <c r="A24" s="917" t="s">
        <v>481</v>
      </c>
      <c r="B24" s="912">
        <v>2100000</v>
      </c>
      <c r="C24" s="125">
        <v>2100000</v>
      </c>
      <c r="D24" s="339">
        <f t="shared" si="0"/>
        <v>0</v>
      </c>
    </row>
    <row r="25" spans="1:4" ht="16.5" customHeight="1" x14ac:dyDescent="0.25">
      <c r="A25" s="917" t="s">
        <v>482</v>
      </c>
      <c r="B25" s="912">
        <v>58000000</v>
      </c>
      <c r="C25" s="380">
        <v>57700000</v>
      </c>
      <c r="D25" s="339">
        <f t="shared" si="0"/>
        <v>-300000</v>
      </c>
    </row>
    <row r="26" spans="1:4" ht="16.5" customHeight="1" x14ac:dyDescent="0.25">
      <c r="A26" s="917" t="s">
        <v>483</v>
      </c>
      <c r="B26" s="912">
        <v>600000</v>
      </c>
      <c r="C26" s="125">
        <v>600000</v>
      </c>
      <c r="D26" s="339">
        <f t="shared" si="0"/>
        <v>0</v>
      </c>
    </row>
    <row r="27" spans="1:4" ht="15" customHeight="1" x14ac:dyDescent="0.25">
      <c r="A27" s="917" t="s">
        <v>484</v>
      </c>
      <c r="B27" s="912">
        <v>484000</v>
      </c>
      <c r="C27" s="125">
        <v>484000</v>
      </c>
      <c r="D27" s="339">
        <f t="shared" si="0"/>
        <v>0</v>
      </c>
    </row>
    <row r="28" spans="1:4" ht="15" customHeight="1" x14ac:dyDescent="0.25">
      <c r="A28" s="917" t="s">
        <v>485</v>
      </c>
      <c r="B28" s="912">
        <v>652000</v>
      </c>
      <c r="C28" s="125">
        <v>652000</v>
      </c>
      <c r="D28" s="339">
        <f t="shared" si="0"/>
        <v>0</v>
      </c>
    </row>
    <row r="29" spans="1:4" ht="15" customHeight="1" x14ac:dyDescent="0.25">
      <c r="A29" s="917" t="s">
        <v>486</v>
      </c>
      <c r="B29" s="912">
        <v>492000</v>
      </c>
      <c r="C29" s="125">
        <v>492000</v>
      </c>
      <c r="D29" s="339">
        <f t="shared" si="0"/>
        <v>0</v>
      </c>
    </row>
    <row r="30" spans="1:4" ht="15" customHeight="1" x14ac:dyDescent="0.25">
      <c r="A30" s="917" t="s">
        <v>487</v>
      </c>
      <c r="B30" s="912">
        <v>1688000</v>
      </c>
      <c r="C30" s="125">
        <v>1688000</v>
      </c>
      <c r="D30" s="339">
        <f t="shared" si="0"/>
        <v>0</v>
      </c>
    </row>
    <row r="31" spans="1:4" ht="16.5" customHeight="1" x14ac:dyDescent="0.25">
      <c r="A31" s="917" t="s">
        <v>488</v>
      </c>
      <c r="B31" s="912">
        <v>4950000</v>
      </c>
      <c r="C31" s="380">
        <v>4885000</v>
      </c>
      <c r="D31" s="339">
        <f t="shared" si="0"/>
        <v>-65000</v>
      </c>
    </row>
    <row r="32" spans="1:4" ht="16.5" customHeight="1" x14ac:dyDescent="0.25">
      <c r="A32" s="917" t="s">
        <v>489</v>
      </c>
      <c r="B32" s="912">
        <v>400000</v>
      </c>
      <c r="C32" s="380">
        <v>270000</v>
      </c>
      <c r="D32" s="339">
        <f t="shared" si="0"/>
        <v>-130000</v>
      </c>
    </row>
    <row r="33" spans="1:4" ht="16.5" customHeight="1" x14ac:dyDescent="0.25">
      <c r="A33" s="917" t="s">
        <v>490</v>
      </c>
      <c r="B33" s="912">
        <v>290000</v>
      </c>
      <c r="C33" s="380">
        <v>280000</v>
      </c>
      <c r="D33" s="339">
        <f t="shared" si="0"/>
        <v>-10000</v>
      </c>
    </row>
    <row r="34" spans="1:4" ht="16.5" customHeight="1" x14ac:dyDescent="0.25">
      <c r="A34" s="917" t="s">
        <v>491</v>
      </c>
      <c r="B34" s="912">
        <v>1398000</v>
      </c>
      <c r="C34" s="380">
        <v>1298000</v>
      </c>
      <c r="D34" s="339">
        <f t="shared" si="0"/>
        <v>-100000</v>
      </c>
    </row>
    <row r="35" spans="1:4" ht="30" x14ac:dyDescent="0.25">
      <c r="A35" s="917" t="s">
        <v>492</v>
      </c>
      <c r="B35" s="912">
        <v>982729</v>
      </c>
      <c r="C35" s="125">
        <v>982729</v>
      </c>
      <c r="D35" s="339">
        <f t="shared" si="0"/>
        <v>0</v>
      </c>
    </row>
    <row r="36" spans="1:4" ht="16.5" customHeight="1" x14ac:dyDescent="0.25">
      <c r="A36" s="917" t="s">
        <v>493</v>
      </c>
      <c r="B36" s="912">
        <v>4000000</v>
      </c>
      <c r="C36" s="125">
        <v>4000000</v>
      </c>
      <c r="D36" s="339">
        <f t="shared" si="0"/>
        <v>0</v>
      </c>
    </row>
    <row r="37" spans="1:4" ht="16.5" customHeight="1" x14ac:dyDescent="0.25">
      <c r="A37" s="917" t="s">
        <v>776</v>
      </c>
      <c r="B37" s="912">
        <v>900000</v>
      </c>
      <c r="C37" s="125">
        <v>900000</v>
      </c>
      <c r="D37" s="339">
        <f t="shared" si="0"/>
        <v>0</v>
      </c>
    </row>
    <row r="38" spans="1:4" ht="16.5" customHeight="1" x14ac:dyDescent="0.25">
      <c r="A38" s="917" t="s">
        <v>537</v>
      </c>
      <c r="B38" s="912">
        <v>597000</v>
      </c>
      <c r="C38" s="125">
        <v>597000</v>
      </c>
      <c r="D38" s="339">
        <f t="shared" si="0"/>
        <v>0</v>
      </c>
    </row>
    <row r="39" spans="1:4" ht="16.5" customHeight="1" x14ac:dyDescent="0.25">
      <c r="A39" s="917" t="s">
        <v>494</v>
      </c>
      <c r="B39" s="912">
        <v>5893840</v>
      </c>
      <c r="C39" s="380">
        <v>2858840</v>
      </c>
      <c r="D39" s="339">
        <f t="shared" si="0"/>
        <v>-3035000</v>
      </c>
    </row>
    <row r="40" spans="1:4" ht="30" x14ac:dyDescent="0.25">
      <c r="A40" s="917" t="s">
        <v>495</v>
      </c>
      <c r="B40" s="912">
        <v>3500000</v>
      </c>
      <c r="C40" s="125">
        <v>3500000</v>
      </c>
      <c r="D40" s="339">
        <f t="shared" si="0"/>
        <v>0</v>
      </c>
    </row>
    <row r="41" spans="1:4" ht="29.25" customHeight="1" x14ac:dyDescent="0.25">
      <c r="A41" s="917" t="s">
        <v>444</v>
      </c>
      <c r="B41" s="912">
        <v>500000</v>
      </c>
      <c r="C41" s="125">
        <v>500000</v>
      </c>
      <c r="D41" s="339">
        <f t="shared" si="0"/>
        <v>0</v>
      </c>
    </row>
    <row r="42" spans="1:4" ht="16.5" customHeight="1" x14ac:dyDescent="0.25">
      <c r="A42" s="917" t="s">
        <v>744</v>
      </c>
      <c r="B42" s="912">
        <v>22500000</v>
      </c>
      <c r="C42" s="125">
        <v>22500000</v>
      </c>
      <c r="D42" s="339">
        <f t="shared" si="0"/>
        <v>0</v>
      </c>
    </row>
    <row r="43" spans="1:4" ht="30" x14ac:dyDescent="0.25">
      <c r="A43" s="917" t="s">
        <v>745</v>
      </c>
      <c r="B43" s="912"/>
      <c r="C43" s="125"/>
      <c r="D43" s="339">
        <f t="shared" si="0"/>
        <v>0</v>
      </c>
    </row>
    <row r="44" spans="1:4" ht="16.5" customHeight="1" x14ac:dyDescent="0.25">
      <c r="A44" s="917" t="s">
        <v>496</v>
      </c>
      <c r="B44" s="912">
        <v>874250</v>
      </c>
      <c r="C44" s="125">
        <v>874250</v>
      </c>
      <c r="D44" s="339">
        <f t="shared" si="0"/>
        <v>0</v>
      </c>
    </row>
    <row r="45" spans="1:4" ht="21" customHeight="1" x14ac:dyDescent="0.25">
      <c r="A45" s="917" t="s">
        <v>497</v>
      </c>
      <c r="B45" s="912">
        <v>300000</v>
      </c>
      <c r="C45" s="125">
        <v>300000</v>
      </c>
      <c r="D45" s="339">
        <f t="shared" si="0"/>
        <v>0</v>
      </c>
    </row>
    <row r="46" spans="1:4" ht="16.5" customHeight="1" x14ac:dyDescent="0.25">
      <c r="A46" s="917" t="s">
        <v>14</v>
      </c>
      <c r="B46" s="912">
        <v>450000</v>
      </c>
      <c r="C46" s="125">
        <v>450000</v>
      </c>
      <c r="D46" s="339">
        <f t="shared" si="0"/>
        <v>0</v>
      </c>
    </row>
    <row r="47" spans="1:4" ht="16.5" customHeight="1" x14ac:dyDescent="0.25">
      <c r="A47" s="917" t="s">
        <v>498</v>
      </c>
      <c r="B47" s="912">
        <v>400000</v>
      </c>
      <c r="C47" s="125">
        <v>400000</v>
      </c>
      <c r="D47" s="339">
        <f t="shared" si="0"/>
        <v>0</v>
      </c>
    </row>
    <row r="48" spans="1:4" ht="30" x14ac:dyDescent="0.25">
      <c r="A48" s="917" t="s">
        <v>499</v>
      </c>
      <c r="B48" s="912">
        <v>8178240</v>
      </c>
      <c r="C48" s="125">
        <v>8178240</v>
      </c>
      <c r="D48" s="339">
        <f t="shared" si="0"/>
        <v>0</v>
      </c>
    </row>
    <row r="49" spans="1:4" ht="16.5" customHeight="1" x14ac:dyDescent="0.25">
      <c r="A49" s="917" t="s">
        <v>500</v>
      </c>
      <c r="B49" s="912">
        <v>1200000</v>
      </c>
      <c r="C49" s="125">
        <v>1200000</v>
      </c>
      <c r="D49" s="339">
        <f t="shared" si="0"/>
        <v>0</v>
      </c>
    </row>
    <row r="50" spans="1:4" ht="17.25" customHeight="1" thickBot="1" x14ac:dyDescent="0.3">
      <c r="A50" s="919" t="s">
        <v>501</v>
      </c>
      <c r="B50" s="913">
        <v>3412400</v>
      </c>
      <c r="C50" s="914">
        <v>3412400</v>
      </c>
      <c r="D50" s="339">
        <f t="shared" si="0"/>
        <v>0</v>
      </c>
    </row>
    <row r="51" spans="1:4" ht="17.25" customHeight="1" x14ac:dyDescent="0.25">
      <c r="A51" s="920"/>
      <c r="B51" s="381"/>
      <c r="C51" s="381"/>
      <c r="D51" s="381"/>
    </row>
    <row r="52" spans="1:4" ht="17.25" customHeight="1" thickBot="1" x14ac:dyDescent="0.3">
      <c r="A52" s="921"/>
      <c r="B52" s="382"/>
      <c r="C52" s="382"/>
      <c r="D52" s="382"/>
    </row>
    <row r="53" spans="1:4" s="7" customFormat="1" ht="63.75" customHeight="1" thickBot="1" x14ac:dyDescent="0.3">
      <c r="A53" s="319" t="s">
        <v>631</v>
      </c>
      <c r="B53" s="928" t="s">
        <v>75</v>
      </c>
      <c r="C53" s="929" t="s">
        <v>228</v>
      </c>
      <c r="D53" s="930" t="s">
        <v>229</v>
      </c>
    </row>
    <row r="54" spans="1:4" ht="29.25" customHeight="1" x14ac:dyDescent="0.25">
      <c r="A54" s="922" t="s">
        <v>502</v>
      </c>
      <c r="B54" s="691">
        <v>1600000</v>
      </c>
      <c r="C54" s="691">
        <v>1600000</v>
      </c>
      <c r="D54" s="692">
        <f>C54-B54</f>
        <v>0</v>
      </c>
    </row>
    <row r="55" spans="1:4" ht="15" x14ac:dyDescent="0.25">
      <c r="A55" s="922" t="s">
        <v>503</v>
      </c>
      <c r="B55" s="674">
        <v>250000</v>
      </c>
      <c r="C55" s="674">
        <v>250000</v>
      </c>
      <c r="D55" s="339">
        <f>C55-B55</f>
        <v>0</v>
      </c>
    </row>
    <row r="56" spans="1:4" ht="18" customHeight="1" x14ac:dyDescent="0.25">
      <c r="A56" s="917" t="s">
        <v>645</v>
      </c>
      <c r="B56" s="674">
        <v>7900000</v>
      </c>
      <c r="C56" s="674">
        <v>7900000</v>
      </c>
      <c r="D56" s="339">
        <f t="shared" ref="D56:D85" si="1">C56-B56</f>
        <v>0</v>
      </c>
    </row>
    <row r="57" spans="1:4" ht="16.5" customHeight="1" x14ac:dyDescent="0.25">
      <c r="A57" s="922" t="s">
        <v>504</v>
      </c>
      <c r="B57" s="674">
        <v>161036000</v>
      </c>
      <c r="C57" s="380">
        <v>162536000</v>
      </c>
      <c r="D57" s="339">
        <f t="shared" si="1"/>
        <v>1500000</v>
      </c>
    </row>
    <row r="58" spans="1:4" ht="18" customHeight="1" x14ac:dyDescent="0.25">
      <c r="A58" s="923" t="s">
        <v>505</v>
      </c>
      <c r="B58" s="674">
        <v>700000</v>
      </c>
      <c r="C58" s="674">
        <v>700000</v>
      </c>
      <c r="D58" s="339">
        <f t="shared" si="1"/>
        <v>0</v>
      </c>
    </row>
    <row r="59" spans="1:4" ht="18" customHeight="1" x14ac:dyDescent="0.25">
      <c r="A59" s="922" t="s">
        <v>506</v>
      </c>
      <c r="B59" s="674">
        <v>1000000</v>
      </c>
      <c r="C59" s="674">
        <v>1000000</v>
      </c>
      <c r="D59" s="339">
        <f t="shared" si="1"/>
        <v>0</v>
      </c>
    </row>
    <row r="60" spans="1:4" ht="15.75" customHeight="1" x14ac:dyDescent="0.25">
      <c r="A60" s="924" t="s">
        <v>507</v>
      </c>
      <c r="B60" s="674">
        <v>200000</v>
      </c>
      <c r="C60" s="674">
        <v>200000</v>
      </c>
      <c r="D60" s="339">
        <f t="shared" si="1"/>
        <v>0</v>
      </c>
    </row>
    <row r="61" spans="1:4" ht="16.5" customHeight="1" x14ac:dyDescent="0.25">
      <c r="A61" s="924" t="s">
        <v>463</v>
      </c>
      <c r="B61" s="674">
        <v>800000</v>
      </c>
      <c r="C61" s="674">
        <v>800000</v>
      </c>
      <c r="D61" s="339">
        <f t="shared" si="1"/>
        <v>0</v>
      </c>
    </row>
    <row r="62" spans="1:4" ht="15.75" customHeight="1" x14ac:dyDescent="0.25">
      <c r="A62" s="924" t="s">
        <v>508</v>
      </c>
      <c r="B62" s="674">
        <v>21614000</v>
      </c>
      <c r="C62" s="380">
        <v>24114000</v>
      </c>
      <c r="D62" s="339">
        <f t="shared" si="1"/>
        <v>2500000</v>
      </c>
    </row>
    <row r="63" spans="1:4" ht="15.75" customHeight="1" x14ac:dyDescent="0.25">
      <c r="A63" s="924" t="s">
        <v>509</v>
      </c>
      <c r="B63" s="674">
        <v>5411000</v>
      </c>
      <c r="C63" s="674">
        <v>5411000</v>
      </c>
      <c r="D63" s="339">
        <f t="shared" si="1"/>
        <v>0</v>
      </c>
    </row>
    <row r="64" spans="1:4" ht="15.75" customHeight="1" x14ac:dyDescent="0.25">
      <c r="A64" s="924" t="s">
        <v>510</v>
      </c>
      <c r="B64" s="674">
        <v>1400000</v>
      </c>
      <c r="C64" s="674">
        <v>1400000</v>
      </c>
      <c r="D64" s="339">
        <f t="shared" si="1"/>
        <v>0</v>
      </c>
    </row>
    <row r="65" spans="1:4" ht="15.75" customHeight="1" x14ac:dyDescent="0.25">
      <c r="A65" s="924" t="s">
        <v>511</v>
      </c>
      <c r="B65" s="674">
        <v>96200000</v>
      </c>
      <c r="C65" s="674">
        <v>96200000</v>
      </c>
      <c r="D65" s="339">
        <f t="shared" si="1"/>
        <v>0</v>
      </c>
    </row>
    <row r="66" spans="1:4" ht="15.75" customHeight="1" x14ac:dyDescent="0.25">
      <c r="A66" s="918" t="s">
        <v>512</v>
      </c>
      <c r="B66" s="674">
        <v>0</v>
      </c>
      <c r="C66" s="674">
        <v>0</v>
      </c>
      <c r="D66" s="339">
        <f t="shared" si="1"/>
        <v>0</v>
      </c>
    </row>
    <row r="67" spans="1:4" ht="30.75" customHeight="1" x14ac:dyDescent="0.25">
      <c r="A67" s="925" t="s">
        <v>686</v>
      </c>
      <c r="B67" s="674">
        <v>0</v>
      </c>
      <c r="C67" s="674">
        <v>0</v>
      </c>
      <c r="D67" s="339">
        <f t="shared" si="1"/>
        <v>0</v>
      </c>
    </row>
    <row r="68" spans="1:4" ht="15.75" customHeight="1" x14ac:dyDescent="0.25">
      <c r="A68" s="925" t="s">
        <v>513</v>
      </c>
      <c r="B68" s="674">
        <v>3750000</v>
      </c>
      <c r="C68" s="674">
        <v>3750000</v>
      </c>
      <c r="D68" s="339">
        <f t="shared" si="1"/>
        <v>0</v>
      </c>
    </row>
    <row r="69" spans="1:4" ht="30" x14ac:dyDescent="0.25">
      <c r="A69" s="925" t="s">
        <v>746</v>
      </c>
      <c r="B69" s="674"/>
      <c r="C69" s="674"/>
      <c r="D69" s="339">
        <f t="shared" si="1"/>
        <v>0</v>
      </c>
    </row>
    <row r="70" spans="1:4" ht="15.75" customHeight="1" x14ac:dyDescent="0.25">
      <c r="A70" s="986" t="s">
        <v>688</v>
      </c>
      <c r="B70" s="674">
        <v>150000</v>
      </c>
      <c r="C70" s="380">
        <v>150000</v>
      </c>
      <c r="D70" s="339">
        <f>C70-B70</f>
        <v>0</v>
      </c>
    </row>
    <row r="71" spans="1:4" ht="15.75" customHeight="1" x14ac:dyDescent="0.25">
      <c r="A71" s="986" t="s">
        <v>658</v>
      </c>
      <c r="B71" s="674">
        <v>4000000</v>
      </c>
      <c r="C71" s="674">
        <v>4000000</v>
      </c>
      <c r="D71" s="339">
        <f t="shared" si="1"/>
        <v>0</v>
      </c>
    </row>
    <row r="72" spans="1:4" ht="15.75" customHeight="1" x14ac:dyDescent="0.25">
      <c r="A72" s="986" t="s">
        <v>870</v>
      </c>
      <c r="B72" s="674">
        <v>100000</v>
      </c>
      <c r="C72" s="674">
        <v>100000</v>
      </c>
      <c r="D72" s="339">
        <f t="shared" si="1"/>
        <v>0</v>
      </c>
    </row>
    <row r="73" spans="1:4" ht="15.75" customHeight="1" x14ac:dyDescent="0.25">
      <c r="A73" s="986" t="s">
        <v>677</v>
      </c>
      <c r="B73" s="674">
        <v>0</v>
      </c>
      <c r="C73" s="674">
        <v>0</v>
      </c>
      <c r="D73" s="339">
        <f t="shared" si="1"/>
        <v>0</v>
      </c>
    </row>
    <row r="74" spans="1:4" ht="30" x14ac:dyDescent="0.25">
      <c r="A74" s="986" t="s">
        <v>773</v>
      </c>
      <c r="B74" s="674">
        <v>0</v>
      </c>
      <c r="C74" s="674">
        <v>0</v>
      </c>
      <c r="D74" s="339">
        <f t="shared" si="1"/>
        <v>0</v>
      </c>
    </row>
    <row r="75" spans="1:4" ht="15.75" customHeight="1" x14ac:dyDescent="0.25">
      <c r="A75" s="986" t="s">
        <v>726</v>
      </c>
      <c r="B75" s="674">
        <v>840756</v>
      </c>
      <c r="C75" s="674">
        <v>840756</v>
      </c>
      <c r="D75" s="339">
        <f t="shared" si="1"/>
        <v>0</v>
      </c>
    </row>
    <row r="76" spans="1:4" ht="15" x14ac:dyDescent="0.25">
      <c r="A76" s="986" t="s">
        <v>754</v>
      </c>
      <c r="B76" s="674">
        <v>150000</v>
      </c>
      <c r="C76" s="380">
        <v>350000</v>
      </c>
      <c r="D76" s="339">
        <f t="shared" si="1"/>
        <v>200000</v>
      </c>
    </row>
    <row r="77" spans="1:4" ht="30" x14ac:dyDescent="0.25">
      <c r="A77" s="986" t="s">
        <v>891</v>
      </c>
      <c r="B77" s="674">
        <v>0</v>
      </c>
      <c r="C77" s="380">
        <v>100000</v>
      </c>
      <c r="D77" s="339">
        <f t="shared" si="1"/>
        <v>100000</v>
      </c>
    </row>
    <row r="78" spans="1:4" ht="15.75" customHeight="1" x14ac:dyDescent="0.25">
      <c r="A78" s="986" t="s">
        <v>892</v>
      </c>
      <c r="B78" s="674">
        <v>0</v>
      </c>
      <c r="C78" s="380">
        <v>1000000</v>
      </c>
      <c r="D78" s="339">
        <f t="shared" si="1"/>
        <v>1000000</v>
      </c>
    </row>
    <row r="79" spans="1:4" ht="30" x14ac:dyDescent="0.25">
      <c r="A79" s="986" t="s">
        <v>177</v>
      </c>
      <c r="B79" s="674">
        <v>3570000</v>
      </c>
      <c r="C79" s="380">
        <v>3570000</v>
      </c>
      <c r="D79" s="339">
        <f t="shared" si="1"/>
        <v>0</v>
      </c>
    </row>
    <row r="80" spans="1:4" ht="30" x14ac:dyDescent="0.25">
      <c r="A80" s="986" t="s">
        <v>871</v>
      </c>
      <c r="B80" s="674">
        <v>1000000</v>
      </c>
      <c r="C80" s="380">
        <v>1000000</v>
      </c>
      <c r="D80" s="339">
        <f t="shared" si="1"/>
        <v>0</v>
      </c>
    </row>
    <row r="81" spans="1:4" ht="15.75" customHeight="1" x14ac:dyDescent="0.25">
      <c r="A81" s="986" t="s">
        <v>16</v>
      </c>
      <c r="B81" s="674">
        <v>2398643</v>
      </c>
      <c r="C81" s="380">
        <v>2463643</v>
      </c>
      <c r="D81" s="339">
        <f t="shared" si="1"/>
        <v>65000</v>
      </c>
    </row>
    <row r="82" spans="1:4" ht="15.75" customHeight="1" x14ac:dyDescent="0.25">
      <c r="A82" s="986" t="s">
        <v>15</v>
      </c>
      <c r="B82" s="674">
        <v>12000000</v>
      </c>
      <c r="C82" s="380">
        <v>12000000</v>
      </c>
      <c r="D82" s="339">
        <f t="shared" si="1"/>
        <v>0</v>
      </c>
    </row>
    <row r="83" spans="1:4" ht="15.75" customHeight="1" x14ac:dyDescent="0.25">
      <c r="A83" s="986" t="s">
        <v>687</v>
      </c>
      <c r="B83" s="674">
        <v>0</v>
      </c>
      <c r="C83" s="674">
        <v>150000</v>
      </c>
      <c r="D83" s="339">
        <f t="shared" ref="D83" si="2">C83-B83</f>
        <v>150000</v>
      </c>
    </row>
    <row r="84" spans="1:4" ht="15.75" customHeight="1" x14ac:dyDescent="0.25">
      <c r="A84" s="986" t="s">
        <v>464</v>
      </c>
      <c r="B84" s="674">
        <v>0</v>
      </c>
      <c r="C84" s="674">
        <v>150000</v>
      </c>
      <c r="D84" s="339">
        <f t="shared" ref="D84" si="3">C84-B84</f>
        <v>150000</v>
      </c>
    </row>
    <row r="85" spans="1:4" s="154" customFormat="1" ht="20.25" customHeight="1" thickBot="1" x14ac:dyDescent="0.35">
      <c r="A85" s="690" t="s">
        <v>392</v>
      </c>
      <c r="B85" s="693">
        <f>B12+B4</f>
        <v>1009955311</v>
      </c>
      <c r="C85" s="383">
        <f>C12+C4</f>
        <v>995608553</v>
      </c>
      <c r="D85" s="338">
        <f t="shared" si="1"/>
        <v>-14346758</v>
      </c>
    </row>
    <row r="86" spans="1:4" ht="20.25" customHeight="1" x14ac:dyDescent="0.25">
      <c r="A86" s="926"/>
      <c r="B86" s="931"/>
      <c r="D86" s="931"/>
    </row>
  </sheetData>
  <sheetProtection selectLockedCells="1" selectUnlockedCells="1"/>
  <mergeCells count="1">
    <mergeCell ref="A2:D2"/>
  </mergeCells>
  <phoneticPr fontId="28" type="noConversion"/>
  <printOptions horizontalCentered="1"/>
  <pageMargins left="0.2361111111111111" right="0.2361111111111111" top="0.70833333333333326" bottom="0.39374999999999999" header="0.2361111111111111" footer="0.51180555555555551"/>
  <pageSetup paperSize="9" scale="77" firstPageNumber="0" orientation="portrait" r:id="rId1"/>
  <headerFooter alignWithMargins="0">
    <oddHeader>&amp;C
 5/b. melléklet az önkormányzat 2017. évi költségvetéséről szóló 8/2017. (II.24.) önkormányzati rendeletéhez
&amp;R
&amp;P. oldal</oddHeader>
  </headerFooter>
  <rowBreaks count="2" manualBreakCount="2">
    <brk id="50" max="4" man="1"/>
    <brk id="86"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sheetPr>
  <dimension ref="A1:H126"/>
  <sheetViews>
    <sheetView view="pageLayout" zoomScaleNormal="100" zoomScaleSheetLayoutView="100" workbookViewId="0">
      <selection activeCell="A38" sqref="A37:D38"/>
    </sheetView>
  </sheetViews>
  <sheetFormatPr defaultColWidth="9.109375" defaultRowHeight="13.2" x14ac:dyDescent="0.25"/>
  <cols>
    <col min="1" max="1" width="29.6640625" style="441" customWidth="1"/>
    <col min="2" max="4" width="13.5546875" style="441" customWidth="1"/>
    <col min="5" max="5" width="9.109375" style="441"/>
    <col min="6" max="6" width="13.6640625" style="441" customWidth="1"/>
    <col min="7" max="7" width="13" style="441" customWidth="1"/>
    <col min="8" max="8" width="13.88671875" style="441" customWidth="1"/>
    <col min="9" max="9" width="11.44140625" style="441" customWidth="1"/>
    <col min="10" max="10" width="12" style="441" customWidth="1"/>
    <col min="11" max="11" width="12.5546875" style="441" customWidth="1"/>
    <col min="12" max="12" width="13.109375" style="441" customWidth="1"/>
    <col min="13" max="16384" width="9.109375" style="441"/>
  </cols>
  <sheetData>
    <row r="1" spans="1:6" ht="15" customHeight="1" x14ac:dyDescent="0.25">
      <c r="A1" s="596"/>
      <c r="B1" s="440"/>
      <c r="C1" s="440"/>
      <c r="D1" s="440"/>
    </row>
    <row r="2" spans="1:6" ht="15" customHeight="1" x14ac:dyDescent="0.25">
      <c r="A2" s="596"/>
      <c r="B2" s="440"/>
      <c r="C2" s="440"/>
      <c r="D2" s="440"/>
    </row>
    <row r="3" spans="1:6" ht="29.25" customHeight="1" thickBot="1" x14ac:dyDescent="0.3">
      <c r="A3" s="1564" t="s">
        <v>939</v>
      </c>
      <c r="B3" s="1564"/>
      <c r="C3" s="1564"/>
      <c r="D3" s="1564"/>
    </row>
    <row r="4" spans="1:6" ht="48" customHeight="1" thickBot="1" x14ac:dyDescent="0.3">
      <c r="A4" s="442" t="s">
        <v>76</v>
      </c>
      <c r="B4" s="613" t="s">
        <v>75</v>
      </c>
      <c r="C4" s="614" t="s">
        <v>228</v>
      </c>
      <c r="D4" s="615" t="s">
        <v>229</v>
      </c>
    </row>
    <row r="5" spans="1:6" ht="13.8" x14ac:dyDescent="0.25">
      <c r="A5" s="696"/>
      <c r="B5" s="933"/>
      <c r="C5" s="703"/>
      <c r="D5" s="704"/>
    </row>
    <row r="6" spans="1:6" ht="13.8" x14ac:dyDescent="0.25">
      <c r="A6" s="697" t="s">
        <v>77</v>
      </c>
      <c r="B6" s="934"/>
      <c r="C6" s="443"/>
      <c r="D6" s="444"/>
    </row>
    <row r="7" spans="1:6" ht="27.6" x14ac:dyDescent="0.25">
      <c r="A7" s="697" t="s">
        <v>78</v>
      </c>
      <c r="B7" s="935"/>
      <c r="C7" s="449"/>
      <c r="D7" s="458"/>
    </row>
    <row r="8" spans="1:6" ht="13.8" x14ac:dyDescent="0.25">
      <c r="A8" s="697" t="s">
        <v>211</v>
      </c>
      <c r="B8" s="935">
        <v>200000</v>
      </c>
      <c r="C8" s="935">
        <v>200000</v>
      </c>
      <c r="D8" s="995"/>
      <c r="F8" s="587"/>
    </row>
    <row r="9" spans="1:6" s="445" customFormat="1" ht="13.8" x14ac:dyDescent="0.25">
      <c r="A9" s="698" t="s">
        <v>392</v>
      </c>
      <c r="B9" s="936">
        <f>SUM(B8)</f>
        <v>200000</v>
      </c>
      <c r="C9" s="448">
        <f>SUM(C8)</f>
        <v>200000</v>
      </c>
      <c r="D9" s="452">
        <f t="shared" ref="D9:D62" si="0">C9-B9</f>
        <v>0</v>
      </c>
    </row>
    <row r="10" spans="1:6" ht="13.8" x14ac:dyDescent="0.25">
      <c r="A10" s="697"/>
      <c r="B10" s="935"/>
      <c r="C10" s="449"/>
      <c r="D10" s="458">
        <f t="shared" si="0"/>
        <v>0</v>
      </c>
    </row>
    <row r="11" spans="1:6" ht="27.6" x14ac:dyDescent="0.25">
      <c r="A11" s="697" t="s">
        <v>79</v>
      </c>
      <c r="B11" s="935"/>
      <c r="C11" s="449"/>
      <c r="D11" s="458">
        <f t="shared" si="0"/>
        <v>0</v>
      </c>
    </row>
    <row r="12" spans="1:6" ht="41.4" x14ac:dyDescent="0.25">
      <c r="A12" s="699" t="s">
        <v>108</v>
      </c>
      <c r="B12" s="935">
        <v>4500000</v>
      </c>
      <c r="C12" s="449">
        <v>4500000</v>
      </c>
      <c r="D12" s="458">
        <f t="shared" si="0"/>
        <v>0</v>
      </c>
    </row>
    <row r="13" spans="1:6" ht="27.6" x14ac:dyDescent="0.25">
      <c r="A13" s="699" t="s">
        <v>107</v>
      </c>
      <c r="B13" s="935">
        <v>500000</v>
      </c>
      <c r="C13" s="449">
        <v>500000</v>
      </c>
      <c r="D13" s="458">
        <f t="shared" si="0"/>
        <v>0</v>
      </c>
    </row>
    <row r="14" spans="1:6" s="445" customFormat="1" ht="13.8" x14ac:dyDescent="0.25">
      <c r="A14" s="698" t="s">
        <v>392</v>
      </c>
      <c r="B14" s="936">
        <f>SUM(B12:B13)</f>
        <v>5000000</v>
      </c>
      <c r="C14" s="448">
        <f>SUM(C12:C13)</f>
        <v>5000000</v>
      </c>
      <c r="D14" s="452">
        <f t="shared" si="0"/>
        <v>0</v>
      </c>
    </row>
    <row r="15" spans="1:6" ht="13.8" x14ac:dyDescent="0.25">
      <c r="A15" s="697"/>
      <c r="B15" s="935"/>
      <c r="C15" s="449"/>
      <c r="D15" s="458">
        <f t="shared" si="0"/>
        <v>0</v>
      </c>
    </row>
    <row r="16" spans="1:6" ht="13.8" x14ac:dyDescent="0.25">
      <c r="A16" s="697" t="s">
        <v>80</v>
      </c>
      <c r="B16" s="935"/>
      <c r="C16" s="449"/>
      <c r="D16" s="458">
        <f t="shared" si="0"/>
        <v>0</v>
      </c>
    </row>
    <row r="17" spans="1:6" ht="27.6" x14ac:dyDescent="0.25">
      <c r="A17" s="932" t="s">
        <v>917</v>
      </c>
      <c r="B17" s="935"/>
      <c r="C17" s="449">
        <v>1000000</v>
      </c>
      <c r="D17" s="458">
        <f t="shared" si="0"/>
        <v>1000000</v>
      </c>
    </row>
    <row r="18" spans="1:6" ht="27.6" x14ac:dyDescent="0.25">
      <c r="A18" s="697" t="s">
        <v>109</v>
      </c>
      <c r="B18" s="935">
        <v>500000</v>
      </c>
      <c r="C18" s="449">
        <v>500000</v>
      </c>
      <c r="D18" s="458">
        <f t="shared" si="0"/>
        <v>0</v>
      </c>
    </row>
    <row r="19" spans="1:6" ht="27.6" x14ac:dyDescent="0.25">
      <c r="A19" s="697" t="s">
        <v>110</v>
      </c>
      <c r="B19" s="935">
        <v>1000000</v>
      </c>
      <c r="C19" s="449">
        <v>1000000</v>
      </c>
      <c r="D19" s="458">
        <f t="shared" si="0"/>
        <v>0</v>
      </c>
    </row>
    <row r="20" spans="1:6" s="445" customFormat="1" ht="13.8" x14ac:dyDescent="0.25">
      <c r="A20" s="698" t="s">
        <v>392</v>
      </c>
      <c r="B20" s="936">
        <f>SUM(B17:B19)</f>
        <v>1500000</v>
      </c>
      <c r="C20" s="448">
        <f>SUM(C17:C19)</f>
        <v>2500000</v>
      </c>
      <c r="D20" s="452">
        <f t="shared" si="0"/>
        <v>1000000</v>
      </c>
    </row>
    <row r="21" spans="1:6" ht="13.8" x14ac:dyDescent="0.25">
      <c r="A21" s="697"/>
      <c r="B21" s="935"/>
      <c r="C21" s="449"/>
      <c r="D21" s="458"/>
    </row>
    <row r="22" spans="1:6" ht="13.8" x14ac:dyDescent="0.25">
      <c r="A22" s="697" t="s">
        <v>81</v>
      </c>
      <c r="B22" s="935"/>
      <c r="C22" s="449"/>
      <c r="D22" s="458">
        <f t="shared" si="0"/>
        <v>0</v>
      </c>
    </row>
    <row r="23" spans="1:6" ht="27.6" x14ac:dyDescent="0.25">
      <c r="A23" s="697" t="s">
        <v>113</v>
      </c>
      <c r="B23" s="935">
        <v>3600000</v>
      </c>
      <c r="C23" s="449">
        <v>3600000</v>
      </c>
      <c r="D23" s="458">
        <f t="shared" si="0"/>
        <v>0</v>
      </c>
    </row>
    <row r="24" spans="1:6" ht="27.6" x14ac:dyDescent="0.25">
      <c r="A24" s="932" t="s">
        <v>917</v>
      </c>
      <c r="B24" s="935"/>
      <c r="C24" s="449">
        <v>200000</v>
      </c>
      <c r="D24" s="458">
        <f t="shared" si="0"/>
        <v>200000</v>
      </c>
    </row>
    <row r="25" spans="1:6" ht="27.6" x14ac:dyDescent="0.25">
      <c r="A25" s="697" t="s">
        <v>111</v>
      </c>
      <c r="B25" s="935">
        <v>2700000</v>
      </c>
      <c r="C25" s="449">
        <v>2700000</v>
      </c>
      <c r="D25" s="458">
        <f t="shared" si="0"/>
        <v>0</v>
      </c>
    </row>
    <row r="26" spans="1:6" ht="27.6" x14ac:dyDescent="0.25">
      <c r="A26" s="697" t="s">
        <v>212</v>
      </c>
      <c r="B26" s="935">
        <v>12000000</v>
      </c>
      <c r="C26" s="449">
        <v>12000000</v>
      </c>
      <c r="D26" s="458">
        <f t="shared" si="0"/>
        <v>0</v>
      </c>
    </row>
    <row r="27" spans="1:6" ht="27.6" x14ac:dyDescent="0.25">
      <c r="A27" s="697" t="s">
        <v>213</v>
      </c>
      <c r="B27" s="935">
        <v>2500000</v>
      </c>
      <c r="C27" s="449">
        <v>2500000</v>
      </c>
      <c r="D27" s="458">
        <f t="shared" si="0"/>
        <v>0</v>
      </c>
      <c r="F27" s="587"/>
    </row>
    <row r="28" spans="1:6" ht="13.8" x14ac:dyDescent="0.25">
      <c r="A28" s="697" t="s">
        <v>214</v>
      </c>
      <c r="B28" s="935">
        <v>400000</v>
      </c>
      <c r="C28" s="449">
        <v>400000</v>
      </c>
      <c r="D28" s="458">
        <f t="shared" si="0"/>
        <v>0</v>
      </c>
      <c r="F28" s="587"/>
    </row>
    <row r="29" spans="1:6" ht="13.8" x14ac:dyDescent="0.25">
      <c r="A29" s="697" t="s">
        <v>215</v>
      </c>
      <c r="B29" s="935">
        <v>180000</v>
      </c>
      <c r="C29" s="449">
        <v>180000</v>
      </c>
      <c r="D29" s="458">
        <f t="shared" si="0"/>
        <v>0</v>
      </c>
      <c r="F29" s="587"/>
    </row>
    <row r="30" spans="1:6" ht="13.8" x14ac:dyDescent="0.25">
      <c r="A30" s="697" t="s">
        <v>216</v>
      </c>
      <c r="B30" s="935">
        <v>2500000</v>
      </c>
      <c r="C30" s="449">
        <v>2500000</v>
      </c>
      <c r="D30" s="458">
        <f t="shared" si="0"/>
        <v>0</v>
      </c>
      <c r="F30" s="587"/>
    </row>
    <row r="31" spans="1:6" ht="13.8" x14ac:dyDescent="0.25">
      <c r="A31" s="697" t="s">
        <v>217</v>
      </c>
      <c r="B31" s="935">
        <v>1500000</v>
      </c>
      <c r="C31" s="449">
        <v>1500000</v>
      </c>
      <c r="D31" s="458">
        <f t="shared" si="0"/>
        <v>0</v>
      </c>
      <c r="F31" s="587"/>
    </row>
    <row r="32" spans="1:6" s="445" customFormat="1" ht="13.8" x14ac:dyDescent="0.25">
      <c r="A32" s="698" t="s">
        <v>392</v>
      </c>
      <c r="B32" s="936">
        <f>SUM(B23:B31)</f>
        <v>25380000</v>
      </c>
      <c r="C32" s="448">
        <f>SUM(C23:C31)</f>
        <v>25580000</v>
      </c>
      <c r="D32" s="452">
        <f t="shared" si="0"/>
        <v>200000</v>
      </c>
      <c r="F32" s="588"/>
    </row>
    <row r="33" spans="1:6" ht="13.8" x14ac:dyDescent="0.25">
      <c r="A33" s="697"/>
      <c r="B33" s="935"/>
      <c r="C33" s="449"/>
      <c r="D33" s="458"/>
      <c r="F33" s="587"/>
    </row>
    <row r="34" spans="1:6" ht="13.8" x14ac:dyDescent="0.25">
      <c r="A34" s="697" t="s">
        <v>82</v>
      </c>
      <c r="B34" s="935"/>
      <c r="C34" s="449"/>
      <c r="D34" s="458">
        <f t="shared" si="0"/>
        <v>0</v>
      </c>
      <c r="F34" s="587"/>
    </row>
    <row r="35" spans="1:6" ht="27.6" x14ac:dyDescent="0.25">
      <c r="A35" s="697" t="s">
        <v>112</v>
      </c>
      <c r="B35" s="935">
        <v>3600000</v>
      </c>
      <c r="C35" s="449">
        <v>3600000</v>
      </c>
      <c r="D35" s="458">
        <f t="shared" si="0"/>
        <v>0</v>
      </c>
      <c r="F35" s="587"/>
    </row>
    <row r="36" spans="1:6" ht="13.8" x14ac:dyDescent="0.25">
      <c r="A36" s="697" t="s">
        <v>83</v>
      </c>
      <c r="B36" s="935">
        <v>400000</v>
      </c>
      <c r="C36" s="449">
        <v>400000</v>
      </c>
      <c r="D36" s="458">
        <f t="shared" si="0"/>
        <v>0</v>
      </c>
      <c r="F36" s="587"/>
    </row>
    <row r="37" spans="1:6" ht="27.75" customHeight="1" x14ac:dyDescent="0.25">
      <c r="A37" s="697" t="s">
        <v>218</v>
      </c>
      <c r="B37" s="935">
        <v>2210000</v>
      </c>
      <c r="C37" s="449">
        <v>2210000</v>
      </c>
      <c r="D37" s="458">
        <f t="shared" si="0"/>
        <v>0</v>
      </c>
      <c r="F37" s="587"/>
    </row>
    <row r="38" spans="1:6" s="445" customFormat="1" ht="14.4" thickBot="1" x14ac:dyDescent="0.3">
      <c r="A38" s="708" t="s">
        <v>392</v>
      </c>
      <c r="B38" s="937">
        <f>SUM(B35:B37)</f>
        <v>6210000</v>
      </c>
      <c r="C38" s="450">
        <f>SUM(C35:C37)</f>
        <v>6210000</v>
      </c>
      <c r="D38" s="996">
        <f t="shared" si="0"/>
        <v>0</v>
      </c>
      <c r="F38" s="588"/>
    </row>
    <row r="39" spans="1:6" s="445" customFormat="1" ht="13.8" x14ac:dyDescent="0.25">
      <c r="A39" s="1005"/>
      <c r="B39" s="1006"/>
      <c r="C39" s="1006"/>
      <c r="D39" s="1006"/>
      <c r="F39" s="588"/>
    </row>
    <row r="40" spans="1:6" s="445" customFormat="1" ht="13.8" x14ac:dyDescent="0.25">
      <c r="A40" s="1005"/>
      <c r="B40" s="1006"/>
      <c r="C40" s="1006"/>
      <c r="D40" s="1006"/>
      <c r="F40" s="588"/>
    </row>
    <row r="41" spans="1:6" s="445" customFormat="1" ht="13.8" x14ac:dyDescent="0.25">
      <c r="A41" s="1005"/>
      <c r="B41" s="1006"/>
      <c r="C41" s="1006"/>
      <c r="D41" s="1006"/>
      <c r="F41" s="588"/>
    </row>
    <row r="42" spans="1:6" ht="40.200000000000003" thickBot="1" x14ac:dyDescent="0.3">
      <c r="A42" s="1001" t="s">
        <v>76</v>
      </c>
      <c r="B42" s="1002" t="s">
        <v>75</v>
      </c>
      <c r="C42" s="1003" t="s">
        <v>228</v>
      </c>
      <c r="D42" s="1004" t="s">
        <v>229</v>
      </c>
      <c r="F42" s="587"/>
    </row>
    <row r="43" spans="1:6" ht="13.8" x14ac:dyDescent="0.25">
      <c r="A43" s="697" t="s">
        <v>84</v>
      </c>
      <c r="B43" s="935"/>
      <c r="C43" s="449"/>
      <c r="D43" s="458">
        <f t="shared" si="0"/>
        <v>0</v>
      </c>
      <c r="F43" s="587"/>
    </row>
    <row r="44" spans="1:6" ht="41.4" x14ac:dyDescent="0.25">
      <c r="A44" s="700" t="s">
        <v>116</v>
      </c>
      <c r="B44" s="935">
        <v>1000000</v>
      </c>
      <c r="C44" s="449">
        <v>1000000</v>
      </c>
      <c r="D44" s="458">
        <f t="shared" si="0"/>
        <v>0</v>
      </c>
      <c r="F44" s="587"/>
    </row>
    <row r="45" spans="1:6" ht="27.6" x14ac:dyDescent="0.25">
      <c r="A45" s="701" t="s">
        <v>114</v>
      </c>
      <c r="B45" s="935">
        <v>350000</v>
      </c>
      <c r="C45" s="449">
        <v>350000</v>
      </c>
      <c r="D45" s="458">
        <f t="shared" si="0"/>
        <v>0</v>
      </c>
      <c r="F45" s="587"/>
    </row>
    <row r="46" spans="1:6" ht="27.6" x14ac:dyDescent="0.25">
      <c r="A46" s="700" t="s">
        <v>115</v>
      </c>
      <c r="B46" s="935">
        <v>100000</v>
      </c>
      <c r="C46" s="449">
        <v>100000</v>
      </c>
      <c r="D46" s="458">
        <f t="shared" si="0"/>
        <v>0</v>
      </c>
      <c r="F46" s="587"/>
    </row>
    <row r="47" spans="1:6" ht="13.8" x14ac:dyDescent="0.25">
      <c r="A47" s="700" t="s">
        <v>219</v>
      </c>
      <c r="B47" s="935">
        <v>2500000</v>
      </c>
      <c r="C47" s="449">
        <v>2500000</v>
      </c>
      <c r="D47" s="458">
        <f t="shared" si="0"/>
        <v>0</v>
      </c>
      <c r="F47" s="587"/>
    </row>
    <row r="48" spans="1:6" s="445" customFormat="1" ht="13.8" x14ac:dyDescent="0.25">
      <c r="A48" s="698" t="s">
        <v>392</v>
      </c>
      <c r="B48" s="936">
        <f>SUM(B44:B47)</f>
        <v>3950000</v>
      </c>
      <c r="C48" s="448">
        <f>SUM(C44:C47)</f>
        <v>3950000</v>
      </c>
      <c r="D48" s="452">
        <f t="shared" si="0"/>
        <v>0</v>
      </c>
      <c r="F48" s="588"/>
    </row>
    <row r="49" spans="1:6" ht="13.8" x14ac:dyDescent="0.25">
      <c r="A49" s="697"/>
      <c r="B49" s="935"/>
      <c r="C49" s="449"/>
      <c r="D49" s="458"/>
      <c r="F49" s="587"/>
    </row>
    <row r="50" spans="1:6" ht="13.8" x14ac:dyDescent="0.25">
      <c r="A50" s="697" t="s">
        <v>85</v>
      </c>
      <c r="B50" s="935"/>
      <c r="C50" s="449"/>
      <c r="D50" s="458">
        <f t="shared" si="0"/>
        <v>0</v>
      </c>
      <c r="F50" s="587"/>
    </row>
    <row r="51" spans="1:6" ht="55.2" x14ac:dyDescent="0.25">
      <c r="A51" s="932" t="s">
        <v>918</v>
      </c>
      <c r="B51" s="935"/>
      <c r="C51" s="449">
        <v>600000</v>
      </c>
      <c r="D51" s="458">
        <f t="shared" si="0"/>
        <v>600000</v>
      </c>
      <c r="F51" s="587"/>
    </row>
    <row r="52" spans="1:6" s="445" customFormat="1" ht="13.8" x14ac:dyDescent="0.25">
      <c r="A52" s="702" t="s">
        <v>392</v>
      </c>
      <c r="B52" s="987">
        <f>SUM(B51:B51)</f>
        <v>0</v>
      </c>
      <c r="C52" s="988">
        <f>SUM(C51:C51)</f>
        <v>600000</v>
      </c>
      <c r="D52" s="989">
        <f t="shared" si="0"/>
        <v>600000</v>
      </c>
      <c r="F52" s="588"/>
    </row>
    <row r="53" spans="1:6" s="445" customFormat="1" ht="13.8" x14ac:dyDescent="0.25">
      <c r="A53" s="702"/>
      <c r="B53" s="987"/>
      <c r="C53" s="988"/>
      <c r="D53" s="989"/>
      <c r="F53" s="588"/>
    </row>
    <row r="54" spans="1:6" ht="27.6" x14ac:dyDescent="0.25">
      <c r="A54" s="697" t="s">
        <v>86</v>
      </c>
      <c r="B54" s="935"/>
      <c r="C54" s="449"/>
      <c r="D54" s="458"/>
      <c r="F54" s="587"/>
    </row>
    <row r="55" spans="1:6" ht="41.4" x14ac:dyDescent="0.25">
      <c r="A55" s="932" t="s">
        <v>893</v>
      </c>
      <c r="B55" s="935"/>
      <c r="C55" s="449">
        <v>1106065</v>
      </c>
      <c r="D55" s="458">
        <f t="shared" si="0"/>
        <v>1106065</v>
      </c>
      <c r="F55" s="587"/>
    </row>
    <row r="56" spans="1:6" ht="27.6" x14ac:dyDescent="0.25">
      <c r="A56" s="697" t="s">
        <v>117</v>
      </c>
      <c r="B56" s="935">
        <v>450000</v>
      </c>
      <c r="C56" s="449">
        <v>450000</v>
      </c>
      <c r="D56" s="458">
        <f t="shared" si="0"/>
        <v>0</v>
      </c>
      <c r="F56" s="587"/>
    </row>
    <row r="57" spans="1:6" ht="27.6" x14ac:dyDescent="0.25">
      <c r="A57" s="697" t="s">
        <v>130</v>
      </c>
      <c r="B57" s="935">
        <v>1700000</v>
      </c>
      <c r="C57" s="449">
        <v>1700000</v>
      </c>
      <c r="D57" s="458">
        <f t="shared" si="0"/>
        <v>0</v>
      </c>
      <c r="F57" s="587"/>
    </row>
    <row r="58" spans="1:6" ht="27.6" x14ac:dyDescent="0.25">
      <c r="A58" s="697" t="s">
        <v>118</v>
      </c>
      <c r="B58" s="935">
        <v>2500000</v>
      </c>
      <c r="C58" s="449">
        <v>2500000</v>
      </c>
      <c r="D58" s="458">
        <f t="shared" si="0"/>
        <v>0</v>
      </c>
      <c r="F58" s="587"/>
    </row>
    <row r="59" spans="1:6" s="446" customFormat="1" ht="27.6" x14ac:dyDescent="0.25">
      <c r="A59" s="697" t="s">
        <v>119</v>
      </c>
      <c r="B59" s="935">
        <v>2850000</v>
      </c>
      <c r="C59" s="449">
        <v>2850000</v>
      </c>
      <c r="D59" s="458">
        <f t="shared" si="0"/>
        <v>0</v>
      </c>
      <c r="F59" s="589"/>
    </row>
    <row r="60" spans="1:6" s="447" customFormat="1" ht="28.5" customHeight="1" x14ac:dyDescent="0.25">
      <c r="A60" s="697" t="s">
        <v>120</v>
      </c>
      <c r="B60" s="935">
        <v>120000</v>
      </c>
      <c r="C60" s="449">
        <v>120000</v>
      </c>
      <c r="D60" s="458">
        <f t="shared" si="0"/>
        <v>0</v>
      </c>
      <c r="F60" s="590"/>
    </row>
    <row r="61" spans="1:6" s="447" customFormat="1" ht="27.6" x14ac:dyDescent="0.25">
      <c r="A61" s="697" t="s">
        <v>121</v>
      </c>
      <c r="B61" s="935">
        <v>400000</v>
      </c>
      <c r="C61" s="449">
        <v>400000</v>
      </c>
      <c r="D61" s="458">
        <f t="shared" si="0"/>
        <v>0</v>
      </c>
      <c r="F61" s="590"/>
    </row>
    <row r="62" spans="1:6" ht="27.6" x14ac:dyDescent="0.25">
      <c r="A62" s="697" t="s">
        <v>122</v>
      </c>
      <c r="B62" s="935">
        <v>500000</v>
      </c>
      <c r="C62" s="449">
        <v>500000</v>
      </c>
      <c r="D62" s="458">
        <f t="shared" si="0"/>
        <v>0</v>
      </c>
      <c r="F62" s="587"/>
    </row>
    <row r="63" spans="1:6" ht="13.8" x14ac:dyDescent="0.25">
      <c r="A63" s="698" t="s">
        <v>392</v>
      </c>
      <c r="B63" s="936">
        <f>SUM(B55:B62)</f>
        <v>8520000</v>
      </c>
      <c r="C63" s="448">
        <f>SUM(C55:C62)</f>
        <v>9626065</v>
      </c>
      <c r="D63" s="452">
        <f t="shared" ref="D63:D83" si="1">C63-B63</f>
        <v>1106065</v>
      </c>
      <c r="F63" s="587"/>
    </row>
    <row r="64" spans="1:6" ht="13.8" x14ac:dyDescent="0.25">
      <c r="A64" s="698"/>
      <c r="B64" s="935"/>
      <c r="C64" s="448"/>
      <c r="D64" s="458"/>
      <c r="F64" s="587"/>
    </row>
    <row r="65" spans="1:6" ht="13.8" x14ac:dyDescent="0.25">
      <c r="A65" s="697" t="s">
        <v>87</v>
      </c>
      <c r="B65" s="935"/>
      <c r="C65" s="449"/>
      <c r="D65" s="458">
        <f t="shared" si="1"/>
        <v>0</v>
      </c>
      <c r="F65" s="587"/>
    </row>
    <row r="66" spans="1:6" ht="27.6" x14ac:dyDescent="0.25">
      <c r="A66" s="697" t="s">
        <v>123</v>
      </c>
      <c r="B66" s="935">
        <v>2000000</v>
      </c>
      <c r="C66" s="449">
        <v>2000000</v>
      </c>
      <c r="D66" s="458">
        <f t="shared" si="1"/>
        <v>0</v>
      </c>
      <c r="F66" s="587"/>
    </row>
    <row r="67" spans="1:6" ht="27.6" x14ac:dyDescent="0.25">
      <c r="A67" s="697" t="s">
        <v>124</v>
      </c>
      <c r="B67" s="935">
        <v>1000000</v>
      </c>
      <c r="C67" s="449">
        <v>1000000</v>
      </c>
      <c r="D67" s="458">
        <f t="shared" si="1"/>
        <v>0</v>
      </c>
      <c r="F67" s="587"/>
    </row>
    <row r="68" spans="1:6" ht="41.4" x14ac:dyDescent="0.25">
      <c r="A68" s="697" t="s">
        <v>125</v>
      </c>
      <c r="B68" s="935">
        <v>2000000</v>
      </c>
      <c r="C68" s="449">
        <v>2000000</v>
      </c>
      <c r="D68" s="458">
        <f t="shared" si="1"/>
        <v>0</v>
      </c>
      <c r="F68" s="587"/>
    </row>
    <row r="69" spans="1:6" s="445" customFormat="1" ht="13.8" x14ac:dyDescent="0.25">
      <c r="A69" s="698" t="s">
        <v>392</v>
      </c>
      <c r="B69" s="936">
        <f>SUM(B66:B68)</f>
        <v>5000000</v>
      </c>
      <c r="C69" s="448">
        <f>SUM(C66:C68)</f>
        <v>5000000</v>
      </c>
      <c r="D69" s="452">
        <f t="shared" si="1"/>
        <v>0</v>
      </c>
      <c r="F69" s="588"/>
    </row>
    <row r="70" spans="1:6" ht="13.8" x14ac:dyDescent="0.25">
      <c r="A70" s="698"/>
      <c r="B70" s="935"/>
      <c r="C70" s="707"/>
      <c r="D70" s="458"/>
      <c r="F70" s="587"/>
    </row>
    <row r="71" spans="1:6" ht="13.8" x14ac:dyDescent="0.25">
      <c r="A71" s="697" t="s">
        <v>88</v>
      </c>
      <c r="B71" s="935"/>
      <c r="C71" s="449"/>
      <c r="D71" s="458">
        <f t="shared" si="1"/>
        <v>0</v>
      </c>
      <c r="F71" s="587"/>
    </row>
    <row r="72" spans="1:6" ht="27.6" x14ac:dyDescent="0.25">
      <c r="A72" s="705" t="s">
        <v>126</v>
      </c>
      <c r="B72" s="935">
        <v>500000</v>
      </c>
      <c r="C72" s="449">
        <v>500000</v>
      </c>
      <c r="D72" s="458">
        <f t="shared" si="1"/>
        <v>0</v>
      </c>
      <c r="F72" s="587"/>
    </row>
    <row r="73" spans="1:6" ht="27.6" x14ac:dyDescent="0.25">
      <c r="A73" s="697" t="s">
        <v>89</v>
      </c>
      <c r="B73" s="935"/>
      <c r="C73" s="449"/>
      <c r="D73" s="458">
        <f t="shared" si="1"/>
        <v>0</v>
      </c>
      <c r="F73" s="587"/>
    </row>
    <row r="74" spans="1:6" s="445" customFormat="1" ht="13.8" x14ac:dyDescent="0.25">
      <c r="A74" s="698" t="s">
        <v>392</v>
      </c>
      <c r="B74" s="936">
        <f>SUM(B72:B73)</f>
        <v>500000</v>
      </c>
      <c r="C74" s="448">
        <f>SUM(C72:C73)</f>
        <v>500000</v>
      </c>
      <c r="D74" s="452">
        <f t="shared" si="1"/>
        <v>0</v>
      </c>
      <c r="F74" s="588"/>
    </row>
    <row r="75" spans="1:6" ht="13.8" x14ac:dyDescent="0.25">
      <c r="A75" s="698"/>
      <c r="B75" s="935"/>
      <c r="C75" s="448"/>
      <c r="D75" s="458"/>
      <c r="F75" s="587"/>
    </row>
    <row r="76" spans="1:6" ht="13.8" x14ac:dyDescent="0.25">
      <c r="A76" s="706" t="s">
        <v>90</v>
      </c>
      <c r="B76" s="935"/>
      <c r="C76" s="591"/>
      <c r="D76" s="458">
        <f t="shared" si="1"/>
        <v>0</v>
      </c>
      <c r="F76" s="587"/>
    </row>
    <row r="77" spans="1:6" ht="27.6" x14ac:dyDescent="0.25">
      <c r="A77" s="706" t="s">
        <v>91</v>
      </c>
      <c r="B77" s="935"/>
      <c r="C77" s="591"/>
      <c r="D77" s="458">
        <f t="shared" si="1"/>
        <v>0</v>
      </c>
      <c r="F77" s="587"/>
    </row>
    <row r="78" spans="1:6" s="445" customFormat="1" ht="14.4" thickBot="1" x14ac:dyDescent="0.3">
      <c r="A78" s="999" t="s">
        <v>392</v>
      </c>
      <c r="B78" s="997">
        <f>SUM(B77:B77)</f>
        <v>0</v>
      </c>
      <c r="C78" s="998">
        <f>SUM(C77:C77)</f>
        <v>0</v>
      </c>
      <c r="D78" s="996">
        <f t="shared" si="1"/>
        <v>0</v>
      </c>
      <c r="F78" s="588"/>
    </row>
    <row r="79" spans="1:6" ht="40.200000000000003" thickBot="1" x14ac:dyDescent="0.3">
      <c r="A79" s="442" t="s">
        <v>76</v>
      </c>
      <c r="B79" s="600" t="s">
        <v>75</v>
      </c>
      <c r="C79" s="601" t="s">
        <v>228</v>
      </c>
      <c r="D79" s="602" t="s">
        <v>229</v>
      </c>
      <c r="F79" s="587"/>
    </row>
    <row r="80" spans="1:6" ht="13.8" x14ac:dyDescent="0.25">
      <c r="A80" s="696" t="s">
        <v>92</v>
      </c>
      <c r="B80" s="990"/>
      <c r="C80" s="991"/>
      <c r="D80" s="992">
        <f t="shared" si="1"/>
        <v>0</v>
      </c>
      <c r="F80" s="587"/>
    </row>
    <row r="81" spans="1:6" ht="27.6" x14ac:dyDescent="0.25">
      <c r="A81" s="705" t="s">
        <v>127</v>
      </c>
      <c r="B81" s="935">
        <v>400000</v>
      </c>
      <c r="C81" s="449">
        <v>400000</v>
      </c>
      <c r="D81" s="458">
        <f t="shared" si="1"/>
        <v>0</v>
      </c>
      <c r="F81" s="587"/>
    </row>
    <row r="82" spans="1:6" ht="27.6" x14ac:dyDescent="0.25">
      <c r="A82" s="697" t="s">
        <v>93</v>
      </c>
      <c r="B82" s="935"/>
      <c r="C82" s="449"/>
      <c r="D82" s="458">
        <f t="shared" si="1"/>
        <v>0</v>
      </c>
      <c r="F82" s="587"/>
    </row>
    <row r="83" spans="1:6" s="445" customFormat="1" ht="13.8" x14ac:dyDescent="0.25">
      <c r="A83" s="698" t="s">
        <v>392</v>
      </c>
      <c r="B83" s="936">
        <f>SUM(B81:B82)</f>
        <v>400000</v>
      </c>
      <c r="C83" s="448">
        <f>SUM(C81:C82)</f>
        <v>400000</v>
      </c>
      <c r="D83" s="452">
        <f t="shared" si="1"/>
        <v>0</v>
      </c>
      <c r="F83" s="588"/>
    </row>
    <row r="84" spans="1:6" ht="13.8" x14ac:dyDescent="0.25">
      <c r="A84" s="697"/>
      <c r="B84" s="935"/>
      <c r="C84" s="449"/>
      <c r="D84" s="458"/>
      <c r="F84" s="587"/>
    </row>
    <row r="85" spans="1:6" ht="13.8" x14ac:dyDescent="0.25">
      <c r="A85" s="696" t="s">
        <v>95</v>
      </c>
      <c r="B85" s="990"/>
      <c r="C85" s="991"/>
      <c r="D85" s="992"/>
      <c r="F85" s="587"/>
    </row>
    <row r="86" spans="1:6" ht="25.5" customHeight="1" x14ac:dyDescent="0.25">
      <c r="A86" s="705" t="s">
        <v>128</v>
      </c>
      <c r="B86" s="935">
        <v>400000</v>
      </c>
      <c r="C86" s="449">
        <v>400000</v>
      </c>
      <c r="D86" s="458">
        <f>C86-B86</f>
        <v>0</v>
      </c>
      <c r="F86" s="587"/>
    </row>
    <row r="87" spans="1:6" ht="18.75" customHeight="1" x14ac:dyDescent="0.25">
      <c r="A87" s="697" t="s">
        <v>96</v>
      </c>
      <c r="B87" s="935"/>
      <c r="C87" s="449"/>
      <c r="D87" s="458">
        <f t="shared" ref="D87:D121" si="2">C87-B87</f>
        <v>0</v>
      </c>
      <c r="F87" s="587"/>
    </row>
    <row r="88" spans="1:6" ht="15.75" customHeight="1" x14ac:dyDescent="0.25">
      <c r="A88" s="697" t="s">
        <v>220</v>
      </c>
      <c r="B88" s="935">
        <v>1216000</v>
      </c>
      <c r="C88" s="449">
        <v>1216000</v>
      </c>
      <c r="D88" s="458">
        <f t="shared" si="2"/>
        <v>0</v>
      </c>
      <c r="F88" s="587"/>
    </row>
    <row r="89" spans="1:6" s="445" customFormat="1" ht="13.8" x14ac:dyDescent="0.25">
      <c r="A89" s="698" t="s">
        <v>94</v>
      </c>
      <c r="B89" s="936">
        <f>SUM(B86:B88)</f>
        <v>1616000</v>
      </c>
      <c r="C89" s="448">
        <f>SUM(C86:C88)</f>
        <v>1616000</v>
      </c>
      <c r="D89" s="458">
        <f t="shared" si="2"/>
        <v>0</v>
      </c>
      <c r="F89" s="588"/>
    </row>
    <row r="90" spans="1:6" ht="13.8" x14ac:dyDescent="0.25">
      <c r="A90" s="697"/>
      <c r="B90" s="935"/>
      <c r="C90" s="449"/>
      <c r="D90" s="458"/>
      <c r="F90" s="587"/>
    </row>
    <row r="91" spans="1:6" ht="13.8" x14ac:dyDescent="0.25">
      <c r="A91" s="697" t="s">
        <v>97</v>
      </c>
      <c r="B91" s="935"/>
      <c r="C91" s="449"/>
      <c r="D91" s="458">
        <f t="shared" si="2"/>
        <v>0</v>
      </c>
      <c r="F91" s="587"/>
    </row>
    <row r="92" spans="1:6" ht="13.8" x14ac:dyDescent="0.25">
      <c r="A92" s="697" t="s">
        <v>221</v>
      </c>
      <c r="B92" s="935">
        <v>226000</v>
      </c>
      <c r="C92" s="449">
        <v>226000</v>
      </c>
      <c r="D92" s="458">
        <f t="shared" si="2"/>
        <v>0</v>
      </c>
      <c r="F92" s="587"/>
    </row>
    <row r="93" spans="1:6" s="445" customFormat="1" ht="13.8" x14ac:dyDescent="0.25">
      <c r="A93" s="698" t="s">
        <v>392</v>
      </c>
      <c r="B93" s="936">
        <f>SUM(B92)</f>
        <v>226000</v>
      </c>
      <c r="C93" s="448">
        <f>SUM(C92)</f>
        <v>226000</v>
      </c>
      <c r="D93" s="458">
        <f t="shared" si="2"/>
        <v>0</v>
      </c>
      <c r="F93" s="588"/>
    </row>
    <row r="94" spans="1:6" ht="13.8" x14ac:dyDescent="0.25">
      <c r="A94" s="698"/>
      <c r="B94" s="935"/>
      <c r="C94" s="448"/>
      <c r="D94" s="458">
        <f t="shared" si="2"/>
        <v>0</v>
      </c>
      <c r="F94" s="587"/>
    </row>
    <row r="95" spans="1:6" ht="13.8" x14ac:dyDescent="0.25">
      <c r="A95" s="697" t="s">
        <v>98</v>
      </c>
      <c r="B95" s="935"/>
      <c r="C95" s="449"/>
      <c r="D95" s="458">
        <f t="shared" si="2"/>
        <v>0</v>
      </c>
      <c r="F95" s="587"/>
    </row>
    <row r="96" spans="1:6" s="445" customFormat="1" ht="13.8" x14ac:dyDescent="0.25">
      <c r="A96" s="698" t="s">
        <v>392</v>
      </c>
      <c r="B96" s="936"/>
      <c r="C96" s="448"/>
      <c r="D96" s="458">
        <f t="shared" si="2"/>
        <v>0</v>
      </c>
      <c r="F96" s="588"/>
    </row>
    <row r="97" spans="1:6" ht="13.8" x14ac:dyDescent="0.25">
      <c r="A97" s="697"/>
      <c r="B97" s="935"/>
      <c r="C97" s="449"/>
      <c r="D97" s="458">
        <f t="shared" si="2"/>
        <v>0</v>
      </c>
      <c r="F97" s="587"/>
    </row>
    <row r="98" spans="1:6" ht="15.75" customHeight="1" x14ac:dyDescent="0.25">
      <c r="A98" s="697" t="s">
        <v>99</v>
      </c>
      <c r="B98" s="935"/>
      <c r="C98" s="449"/>
      <c r="D98" s="458">
        <f t="shared" si="2"/>
        <v>0</v>
      </c>
      <c r="F98" s="587"/>
    </row>
    <row r="99" spans="1:6" ht="30.75" customHeight="1" x14ac:dyDescent="0.25">
      <c r="A99" s="697" t="s">
        <v>222</v>
      </c>
      <c r="B99" s="935">
        <v>4380000</v>
      </c>
      <c r="C99" s="449">
        <v>4380000</v>
      </c>
      <c r="D99" s="458">
        <f t="shared" si="2"/>
        <v>0</v>
      </c>
      <c r="F99" s="587"/>
    </row>
    <row r="100" spans="1:6" s="445" customFormat="1" ht="13.8" x14ac:dyDescent="0.25">
      <c r="A100" s="698" t="s">
        <v>392</v>
      </c>
      <c r="B100" s="936">
        <f>SUM(B99)</f>
        <v>4380000</v>
      </c>
      <c r="C100" s="448">
        <f>SUM(C99)</f>
        <v>4380000</v>
      </c>
      <c r="D100" s="452">
        <f t="shared" si="2"/>
        <v>0</v>
      </c>
      <c r="F100" s="588"/>
    </row>
    <row r="101" spans="1:6" ht="13.8" x14ac:dyDescent="0.25">
      <c r="A101" s="697"/>
      <c r="B101" s="935"/>
      <c r="C101" s="449"/>
      <c r="D101" s="458"/>
      <c r="F101" s="587"/>
    </row>
    <row r="102" spans="1:6" ht="13.8" x14ac:dyDescent="0.25">
      <c r="A102" s="697" t="s">
        <v>100</v>
      </c>
      <c r="B102" s="935"/>
      <c r="C102" s="449"/>
      <c r="D102" s="458">
        <f t="shared" si="2"/>
        <v>0</v>
      </c>
      <c r="F102" s="587"/>
    </row>
    <row r="103" spans="1:6" s="445" customFormat="1" ht="13.8" x14ac:dyDescent="0.25">
      <c r="A103" s="698" t="s">
        <v>392</v>
      </c>
      <c r="B103" s="936">
        <f>SUM(B102)</f>
        <v>0</v>
      </c>
      <c r="C103" s="936">
        <f t="shared" ref="C103:D103" si="3">SUM(C102)</f>
        <v>0</v>
      </c>
      <c r="D103" s="1000">
        <f t="shared" si="3"/>
        <v>0</v>
      </c>
      <c r="F103" s="588"/>
    </row>
    <row r="104" spans="1:6" ht="13.8" x14ac:dyDescent="0.25">
      <c r="A104" s="698"/>
      <c r="B104" s="935"/>
      <c r="C104" s="448"/>
      <c r="D104" s="458"/>
      <c r="F104" s="587"/>
    </row>
    <row r="105" spans="1:6" ht="13.8" x14ac:dyDescent="0.25">
      <c r="A105" s="697"/>
      <c r="B105" s="935"/>
      <c r="C105" s="449"/>
      <c r="D105" s="458"/>
      <c r="F105" s="587"/>
    </row>
    <row r="106" spans="1:6" ht="13.8" x14ac:dyDescent="0.25">
      <c r="A106" s="697" t="s">
        <v>101</v>
      </c>
      <c r="B106" s="935"/>
      <c r="C106" s="449"/>
      <c r="D106" s="458">
        <f t="shared" si="2"/>
        <v>0</v>
      </c>
      <c r="F106" s="587"/>
    </row>
    <row r="107" spans="1:6" ht="13.8" x14ac:dyDescent="0.25">
      <c r="A107" s="697" t="s">
        <v>102</v>
      </c>
      <c r="B107" s="935">
        <v>4000000</v>
      </c>
      <c r="C107" s="449">
        <v>4000000</v>
      </c>
      <c r="D107" s="458">
        <f t="shared" si="2"/>
        <v>0</v>
      </c>
      <c r="F107" s="587"/>
    </row>
    <row r="108" spans="1:6" ht="14.25" customHeight="1" x14ac:dyDescent="0.25">
      <c r="A108" s="697" t="s">
        <v>103</v>
      </c>
      <c r="B108" s="935"/>
      <c r="C108" s="449"/>
      <c r="D108" s="458">
        <f t="shared" si="2"/>
        <v>0</v>
      </c>
      <c r="F108" s="587"/>
    </row>
    <row r="109" spans="1:6" ht="14.25" customHeight="1" x14ac:dyDescent="0.25">
      <c r="A109" s="697" t="s">
        <v>223</v>
      </c>
      <c r="B109" s="935">
        <v>200000</v>
      </c>
      <c r="C109" s="449">
        <v>200000</v>
      </c>
      <c r="D109" s="458">
        <f t="shared" si="2"/>
        <v>0</v>
      </c>
      <c r="F109" s="587"/>
    </row>
    <row r="110" spans="1:6" s="445" customFormat="1" ht="13.8" x14ac:dyDescent="0.25">
      <c r="A110" s="698" t="s">
        <v>392</v>
      </c>
      <c r="B110" s="936">
        <f>SUM(B107:B109)</f>
        <v>4200000</v>
      </c>
      <c r="C110" s="448">
        <f>SUM(C107:C109)</f>
        <v>4200000</v>
      </c>
      <c r="D110" s="452">
        <f t="shared" si="2"/>
        <v>0</v>
      </c>
      <c r="F110" s="588"/>
    </row>
    <row r="111" spans="1:6" ht="13.8" x14ac:dyDescent="0.25">
      <c r="A111" s="698"/>
      <c r="B111" s="935"/>
      <c r="C111" s="448"/>
      <c r="D111" s="458"/>
      <c r="F111" s="587"/>
    </row>
    <row r="112" spans="1:6" ht="27.6" x14ac:dyDescent="0.25">
      <c r="A112" s="697" t="s">
        <v>104</v>
      </c>
      <c r="B112" s="935"/>
      <c r="C112" s="449"/>
      <c r="D112" s="458">
        <f t="shared" si="2"/>
        <v>0</v>
      </c>
      <c r="F112" s="587"/>
    </row>
    <row r="113" spans="1:8" s="445" customFormat="1" ht="13.8" x14ac:dyDescent="0.25">
      <c r="A113" s="698" t="s">
        <v>392</v>
      </c>
      <c r="B113" s="936">
        <f>SUM(B112)</f>
        <v>0</v>
      </c>
      <c r="C113" s="448">
        <f>SUM(C112)</f>
        <v>0</v>
      </c>
      <c r="D113" s="452">
        <f t="shared" si="2"/>
        <v>0</v>
      </c>
      <c r="F113" s="588"/>
    </row>
    <row r="114" spans="1:8" s="445" customFormat="1" ht="13.8" x14ac:dyDescent="0.25">
      <c r="A114" s="698"/>
      <c r="B114" s="935"/>
      <c r="C114" s="448"/>
      <c r="D114" s="458"/>
      <c r="F114" s="588"/>
    </row>
    <row r="115" spans="1:8" ht="13.8" x14ac:dyDescent="0.25">
      <c r="A115" s="697" t="s">
        <v>105</v>
      </c>
      <c r="B115" s="935"/>
      <c r="C115" s="449"/>
      <c r="D115" s="458">
        <f t="shared" si="2"/>
        <v>0</v>
      </c>
      <c r="F115" s="587"/>
    </row>
    <row r="116" spans="1:8" s="445" customFormat="1" ht="13.8" x14ac:dyDescent="0.25">
      <c r="A116" s="698" t="s">
        <v>392</v>
      </c>
      <c r="B116" s="936">
        <v>0</v>
      </c>
      <c r="C116" s="448">
        <v>0</v>
      </c>
      <c r="D116" s="452">
        <f t="shared" si="2"/>
        <v>0</v>
      </c>
      <c r="F116" s="588"/>
    </row>
    <row r="117" spans="1:8" s="445" customFormat="1" ht="13.8" x14ac:dyDescent="0.25">
      <c r="A117" s="698"/>
      <c r="B117" s="935"/>
      <c r="C117" s="448"/>
      <c r="D117" s="458"/>
      <c r="F117" s="588"/>
    </row>
    <row r="118" spans="1:8" ht="13.8" x14ac:dyDescent="0.25">
      <c r="A118" s="697" t="s">
        <v>106</v>
      </c>
      <c r="B118" s="935">
        <v>17057339</v>
      </c>
      <c r="C118" s="449">
        <v>15257339</v>
      </c>
      <c r="D118" s="458">
        <f t="shared" si="2"/>
        <v>-1800000</v>
      </c>
      <c r="F118" s="587"/>
    </row>
    <row r="119" spans="1:8" ht="13.8" x14ac:dyDescent="0.25">
      <c r="A119" s="697" t="s">
        <v>129</v>
      </c>
      <c r="B119" s="935">
        <v>9000000</v>
      </c>
      <c r="C119" s="449">
        <v>9000000</v>
      </c>
      <c r="D119" s="458">
        <f t="shared" si="2"/>
        <v>0</v>
      </c>
    </row>
    <row r="120" spans="1:8" ht="27.6" x14ac:dyDescent="0.25">
      <c r="A120" s="697" t="s">
        <v>894</v>
      </c>
      <c r="B120" s="935">
        <v>0</v>
      </c>
      <c r="C120" s="449">
        <v>0</v>
      </c>
      <c r="D120" s="458">
        <f t="shared" si="2"/>
        <v>0</v>
      </c>
    </row>
    <row r="121" spans="1:8" s="445" customFormat="1" ht="14.4" thickBot="1" x14ac:dyDescent="0.3">
      <c r="A121" s="708" t="s">
        <v>380</v>
      </c>
      <c r="B121" s="937">
        <f>B119+B110+B103+B100+B96+B93+B89+B74+B69+B63+B52+B48+B38+B32+B20+B14+B9+B83+B118+B116+B113+B78+B120</f>
        <v>93139339</v>
      </c>
      <c r="C121" s="450">
        <f>C119+C110+C103+C100+C96+C93+C89+C74+C69+C63+C52+C48+C38+C32+C20+C14+C9+C83+C118+C116+C113+C78+C120</f>
        <v>94245404</v>
      </c>
      <c r="D121" s="996">
        <f t="shared" si="2"/>
        <v>1106065</v>
      </c>
    </row>
    <row r="122" spans="1:8" s="592" customFormat="1" ht="15" x14ac:dyDescent="0.25">
      <c r="A122" s="592" t="s">
        <v>224</v>
      </c>
      <c r="B122" s="593">
        <f>B86+B81+B72+B68+B67+B66+B62+B61+B60+B59+B58+B57+B56+B46+B45+B44+B35+B26+B25+B23+B19+B18+B13+B12</f>
        <v>44670000</v>
      </c>
      <c r="C122" s="593">
        <f>C86+C81+C72+C68+C67+C66+C62+C61+C60+C59+C58+C57+C56+C46+C45+C44+C35+C26+C25+C23+C19+C18+C13+C12</f>
        <v>44670000</v>
      </c>
      <c r="D122" s="593">
        <f>D86+D81+D72+D68+D67+D66+D62+D61+D60+D59+D58+D57+D56+D46+D45+D44+D35+D26+D25+D23+D19+D18+D13+D12</f>
        <v>0</v>
      </c>
    </row>
    <row r="123" spans="1:8" s="592" customFormat="1" ht="15" x14ac:dyDescent="0.25">
      <c r="A123" s="592" t="s">
        <v>225</v>
      </c>
      <c r="B123" s="594">
        <v>39469339</v>
      </c>
      <c r="C123" s="938">
        <f>39469339+D121</f>
        <v>40575404</v>
      </c>
      <c r="D123" s="594">
        <v>39469339</v>
      </c>
      <c r="E123" s="594"/>
      <c r="F123" s="594"/>
      <c r="G123" s="594"/>
    </row>
    <row r="124" spans="1:8" s="592" customFormat="1" ht="15" x14ac:dyDescent="0.25">
      <c r="A124" s="592" t="s">
        <v>226</v>
      </c>
      <c r="B124" s="593">
        <v>9000000</v>
      </c>
      <c r="C124" s="593">
        <v>9000000</v>
      </c>
      <c r="D124" s="593">
        <v>9000000</v>
      </c>
    </row>
    <row r="125" spans="1:8" s="592" customFormat="1" ht="15" x14ac:dyDescent="0.25">
      <c r="A125" s="592" t="s">
        <v>227</v>
      </c>
      <c r="B125" s="595">
        <f>SUM(B122:B124)</f>
        <v>93139339</v>
      </c>
      <c r="C125" s="595">
        <f>SUM(C122:C124)</f>
        <v>94245404</v>
      </c>
      <c r="D125" s="595">
        <f>SUM(D122:D124)</f>
        <v>48469339</v>
      </c>
    </row>
    <row r="126" spans="1:8" s="592" customFormat="1" ht="15" x14ac:dyDescent="0.25">
      <c r="F126" s="593"/>
      <c r="G126" s="593"/>
      <c r="H126" s="593"/>
    </row>
  </sheetData>
  <sheetProtection selectLockedCells="1" selectUnlockedCells="1"/>
  <mergeCells count="1">
    <mergeCell ref="A3:D3"/>
  </mergeCells>
  <phoneticPr fontId="28" type="noConversion"/>
  <pageMargins left="0.74791666666666667" right="0.74791666666666667" top="0.98402777777777772" bottom="0.98402777777777772" header="0.5" footer="0.51180555555555551"/>
  <pageSetup paperSize="9" scale="75" firstPageNumber="0" orientation="portrait" r:id="rId1"/>
  <headerFooter alignWithMargins="0">
    <oddHeader xml:space="preserve">&amp;C
6. melléklet az önkormányzat 2017. évi költségvetéséről szóló 8/2017. (II.24.) önkormányzati rendeletéhez&amp;R
&amp;P. oldal
</oddHeader>
  </headerFooter>
  <rowBreaks count="2" manualBreakCount="2">
    <brk id="41" max="3" man="1"/>
    <brk id="78"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I172"/>
  <sheetViews>
    <sheetView view="pageLayout" zoomScaleNormal="80" zoomScaleSheetLayoutView="80" workbookViewId="0">
      <selection activeCell="E157" sqref="E157"/>
    </sheetView>
  </sheetViews>
  <sheetFormatPr defaultColWidth="9.109375" defaultRowHeight="18" customHeight="1" x14ac:dyDescent="0.25"/>
  <cols>
    <col min="1" max="1" width="75" style="91" customWidth="1"/>
    <col min="2" max="4" width="18" style="378" customWidth="1"/>
    <col min="5" max="5" width="17.44140625" style="77" customWidth="1"/>
    <col min="6" max="6" width="16.109375" style="77" customWidth="1"/>
    <col min="7" max="7" width="16.88671875" style="77" customWidth="1"/>
    <col min="8" max="8" width="16.44140625" style="78" customWidth="1"/>
    <col min="9" max="9" width="23.88671875" style="79" customWidth="1"/>
    <col min="10" max="16384" width="9.109375" style="79"/>
  </cols>
  <sheetData>
    <row r="1" spans="1:8" ht="18" customHeight="1" thickBot="1" x14ac:dyDescent="0.35">
      <c r="A1" s="1565" t="s">
        <v>938</v>
      </c>
      <c r="B1" s="1565"/>
      <c r="C1" s="1565"/>
      <c r="D1" s="1565"/>
    </row>
    <row r="2" spans="1:8" ht="48.75" customHeight="1" thickBot="1" x14ac:dyDescent="0.35">
      <c r="A2" s="439" t="s">
        <v>328</v>
      </c>
      <c r="B2" s="613" t="s">
        <v>75</v>
      </c>
      <c r="C2" s="614" t="s">
        <v>228</v>
      </c>
      <c r="D2" s="615" t="s">
        <v>229</v>
      </c>
      <c r="E2" s="76"/>
    </row>
    <row r="3" spans="1:8" ht="18" customHeight="1" x14ac:dyDescent="0.3">
      <c r="A3" s="709" t="s">
        <v>514</v>
      </c>
      <c r="B3" s="959"/>
      <c r="C3" s="719"/>
      <c r="D3" s="720"/>
      <c r="E3" s="80"/>
    </row>
    <row r="4" spans="1:8" s="84" customFormat="1" ht="33" customHeight="1" x14ac:dyDescent="0.25">
      <c r="A4" s="710" t="s">
        <v>515</v>
      </c>
      <c r="B4" s="943">
        <v>636000</v>
      </c>
      <c r="C4" s="373">
        <v>636000</v>
      </c>
      <c r="D4" s="372">
        <f>C4-B4</f>
        <v>0</v>
      </c>
      <c r="E4" s="85"/>
      <c r="F4" s="82"/>
      <c r="G4" s="82"/>
      <c r="H4" s="83"/>
    </row>
    <row r="5" spans="1:8" s="84" customFormat="1" ht="30.75" customHeight="1" x14ac:dyDescent="0.25">
      <c r="A5" s="712" t="s">
        <v>520</v>
      </c>
      <c r="B5" s="943">
        <v>2921000</v>
      </c>
      <c r="C5" s="373">
        <v>2921000</v>
      </c>
      <c r="D5" s="372">
        <f t="shared" ref="D5:D39" si="0">C5-B5</f>
        <v>0</v>
      </c>
      <c r="E5" s="85"/>
      <c r="F5" s="82"/>
      <c r="G5" s="82"/>
      <c r="H5" s="83"/>
    </row>
    <row r="6" spans="1:8" s="89" customFormat="1" ht="19.5" customHeight="1" x14ac:dyDescent="0.25">
      <c r="A6" s="712" t="s">
        <v>521</v>
      </c>
      <c r="B6" s="943">
        <v>445000</v>
      </c>
      <c r="C6" s="373">
        <v>0</v>
      </c>
      <c r="D6" s="372">
        <f t="shared" si="0"/>
        <v>-445000</v>
      </c>
      <c r="E6" s="86"/>
      <c r="F6" s="87"/>
      <c r="G6" s="87"/>
      <c r="H6" s="88"/>
    </row>
    <row r="7" spans="1:8" s="89" customFormat="1" ht="18" customHeight="1" x14ac:dyDescent="0.25">
      <c r="A7" s="711" t="s">
        <v>747</v>
      </c>
      <c r="B7" s="943">
        <v>64063000</v>
      </c>
      <c r="C7" s="373">
        <v>64063000</v>
      </c>
      <c r="D7" s="372">
        <f t="shared" si="0"/>
        <v>0</v>
      </c>
      <c r="E7" s="86"/>
      <c r="F7" s="87"/>
      <c r="G7" s="87"/>
      <c r="H7" s="88"/>
    </row>
    <row r="8" spans="1:8" s="89" customFormat="1" ht="21.75" customHeight="1" x14ac:dyDescent="0.25">
      <c r="A8" s="712" t="s">
        <v>18</v>
      </c>
      <c r="B8" s="943">
        <v>183166561</v>
      </c>
      <c r="C8" s="373">
        <v>177126595</v>
      </c>
      <c r="D8" s="372">
        <f t="shared" si="0"/>
        <v>-6039966</v>
      </c>
      <c r="E8" s="86"/>
      <c r="F8" s="87"/>
      <c r="G8" s="87"/>
      <c r="H8" s="88"/>
    </row>
    <row r="9" spans="1:8" s="89" customFormat="1" ht="21.75" customHeight="1" x14ac:dyDescent="0.25">
      <c r="A9" s="713" t="s">
        <v>633</v>
      </c>
      <c r="B9" s="943">
        <v>864000</v>
      </c>
      <c r="C9" s="373">
        <v>864000</v>
      </c>
      <c r="D9" s="372">
        <f t="shared" si="0"/>
        <v>0</v>
      </c>
      <c r="E9" s="86"/>
      <c r="F9" s="87"/>
      <c r="G9" s="87"/>
      <c r="H9" s="88"/>
    </row>
    <row r="10" spans="1:8" s="89" customFormat="1" ht="30.75" customHeight="1" x14ac:dyDescent="0.25">
      <c r="A10" s="714" t="s">
        <v>465</v>
      </c>
      <c r="B10" s="943">
        <v>976500</v>
      </c>
      <c r="C10" s="373">
        <v>976500</v>
      </c>
      <c r="D10" s="372">
        <f t="shared" si="0"/>
        <v>0</v>
      </c>
      <c r="E10" s="86"/>
      <c r="F10" s="87"/>
      <c r="G10" s="87"/>
      <c r="H10" s="88"/>
    </row>
    <row r="11" spans="1:8" s="89" customFormat="1" ht="21.75" customHeight="1" x14ac:dyDescent="0.25">
      <c r="A11" s="711" t="s">
        <v>760</v>
      </c>
      <c r="B11" s="943">
        <v>31802000</v>
      </c>
      <c r="C11" s="374">
        <v>29250000</v>
      </c>
      <c r="D11" s="372">
        <f t="shared" si="0"/>
        <v>-2552000</v>
      </c>
      <c r="E11" s="86"/>
      <c r="F11" s="87"/>
      <c r="G11" s="87"/>
      <c r="H11" s="88"/>
    </row>
    <row r="12" spans="1:8" s="89" customFormat="1" ht="22.5" customHeight="1" x14ac:dyDescent="0.25">
      <c r="A12" s="715" t="s">
        <v>748</v>
      </c>
      <c r="B12" s="943">
        <v>3183000</v>
      </c>
      <c r="C12" s="374">
        <v>3182774</v>
      </c>
      <c r="D12" s="372">
        <f t="shared" si="0"/>
        <v>-226</v>
      </c>
      <c r="E12" s="86"/>
      <c r="F12" s="87"/>
      <c r="G12" s="87"/>
      <c r="H12" s="88"/>
    </row>
    <row r="13" spans="1:8" s="89" customFormat="1" ht="18" customHeight="1" x14ac:dyDescent="0.25">
      <c r="A13" s="711" t="s">
        <v>466</v>
      </c>
      <c r="B13" s="943">
        <v>15192000</v>
      </c>
      <c r="C13" s="373">
        <v>15192000</v>
      </c>
      <c r="D13" s="372">
        <f t="shared" si="0"/>
        <v>0</v>
      </c>
      <c r="E13" s="86"/>
      <c r="F13" s="87"/>
      <c r="G13" s="87"/>
      <c r="H13" s="88"/>
    </row>
    <row r="14" spans="1:8" s="89" customFormat="1" ht="18" customHeight="1" x14ac:dyDescent="0.25">
      <c r="A14" s="711" t="s">
        <v>20</v>
      </c>
      <c r="B14" s="943">
        <v>50750000</v>
      </c>
      <c r="C14" s="374">
        <v>45111115</v>
      </c>
      <c r="D14" s="372">
        <f t="shared" si="0"/>
        <v>-5638885</v>
      </c>
      <c r="E14" s="86"/>
      <c r="F14" s="87"/>
      <c r="G14" s="87"/>
      <c r="H14" s="88"/>
    </row>
    <row r="15" spans="1:8" s="89" customFormat="1" ht="18" customHeight="1" x14ac:dyDescent="0.25">
      <c r="A15" s="711" t="s">
        <v>691</v>
      </c>
      <c r="B15" s="943">
        <v>1905000</v>
      </c>
      <c r="C15" s="374">
        <v>1905000</v>
      </c>
      <c r="D15" s="372">
        <f t="shared" si="0"/>
        <v>0</v>
      </c>
      <c r="E15" s="86"/>
      <c r="F15" s="87"/>
      <c r="G15" s="87"/>
      <c r="H15" s="88"/>
    </row>
    <row r="16" spans="1:8" s="89" customFormat="1" ht="18" customHeight="1" x14ac:dyDescent="0.25">
      <c r="A16" s="711" t="s">
        <v>692</v>
      </c>
      <c r="B16" s="943">
        <v>349000</v>
      </c>
      <c r="C16" s="374">
        <v>349250</v>
      </c>
      <c r="D16" s="372">
        <f t="shared" si="0"/>
        <v>250</v>
      </c>
      <c r="E16" s="86"/>
      <c r="F16" s="87"/>
      <c r="G16" s="87"/>
      <c r="H16" s="88"/>
    </row>
    <row r="17" spans="1:8" s="89" customFormat="1" ht="20.25" customHeight="1" x14ac:dyDescent="0.25">
      <c r="A17" s="711" t="s">
        <v>855</v>
      </c>
      <c r="B17" s="943">
        <v>142000</v>
      </c>
      <c r="C17" s="374">
        <v>142000</v>
      </c>
      <c r="D17" s="372">
        <f t="shared" si="0"/>
        <v>0</v>
      </c>
      <c r="E17" s="86"/>
      <c r="F17" s="87"/>
      <c r="G17" s="87"/>
      <c r="H17" s="88"/>
    </row>
    <row r="18" spans="1:8" s="89" customFormat="1" ht="22.5" customHeight="1" x14ac:dyDescent="0.25">
      <c r="A18" s="716" t="s">
        <v>662</v>
      </c>
      <c r="B18" s="943">
        <v>2199000</v>
      </c>
      <c r="C18" s="373">
        <v>2199174</v>
      </c>
      <c r="D18" s="372">
        <f t="shared" si="0"/>
        <v>174</v>
      </c>
      <c r="E18" s="86"/>
      <c r="F18" s="87"/>
      <c r="G18" s="87"/>
      <c r="H18" s="88"/>
    </row>
    <row r="19" spans="1:8" s="89" customFormat="1" ht="22.5" customHeight="1" x14ac:dyDescent="0.25">
      <c r="A19" s="716" t="s">
        <v>750</v>
      </c>
      <c r="B19" s="943">
        <v>1844000</v>
      </c>
      <c r="C19" s="373">
        <v>1844040</v>
      </c>
      <c r="D19" s="372">
        <f t="shared" si="0"/>
        <v>40</v>
      </c>
      <c r="E19" s="86"/>
      <c r="F19" s="87"/>
      <c r="G19" s="87"/>
      <c r="H19" s="88"/>
    </row>
    <row r="20" spans="1:8" s="89" customFormat="1" ht="19.5" customHeight="1" x14ac:dyDescent="0.25">
      <c r="A20" s="716" t="s">
        <v>660</v>
      </c>
      <c r="B20" s="943">
        <v>498000</v>
      </c>
      <c r="C20" s="373">
        <v>498216</v>
      </c>
      <c r="D20" s="372">
        <f t="shared" si="0"/>
        <v>216</v>
      </c>
      <c r="E20" s="86"/>
      <c r="F20" s="87"/>
      <c r="G20" s="87"/>
      <c r="H20" s="88"/>
    </row>
    <row r="21" spans="1:8" s="89" customFormat="1" ht="21" customHeight="1" x14ac:dyDescent="0.25">
      <c r="A21" s="716" t="s">
        <v>661</v>
      </c>
      <c r="B21" s="943">
        <v>4477000</v>
      </c>
      <c r="C21" s="373">
        <v>4476750</v>
      </c>
      <c r="D21" s="372">
        <f t="shared" si="0"/>
        <v>-250</v>
      </c>
      <c r="E21" s="86"/>
      <c r="F21" s="87"/>
      <c r="G21" s="87"/>
      <c r="H21" s="88"/>
    </row>
    <row r="22" spans="1:8" s="89" customFormat="1" ht="22.5" customHeight="1" x14ac:dyDescent="0.25">
      <c r="A22" s="716" t="s">
        <v>689</v>
      </c>
      <c r="B22" s="943">
        <v>20445000</v>
      </c>
      <c r="C22" s="373">
        <v>20095000</v>
      </c>
      <c r="D22" s="372">
        <f t="shared" si="0"/>
        <v>-350000</v>
      </c>
      <c r="E22" s="86"/>
      <c r="F22" s="87"/>
      <c r="G22" s="87"/>
      <c r="H22" s="88"/>
    </row>
    <row r="23" spans="1:8" s="89" customFormat="1" ht="19.5" customHeight="1" x14ac:dyDescent="0.25">
      <c r="A23" s="713" t="s">
        <v>727</v>
      </c>
      <c r="B23" s="943">
        <v>4466000</v>
      </c>
      <c r="C23" s="373">
        <v>4466000</v>
      </c>
      <c r="D23" s="372">
        <f t="shared" si="0"/>
        <v>0</v>
      </c>
      <c r="E23" s="86"/>
      <c r="F23" s="87"/>
      <c r="G23" s="87"/>
      <c r="H23" s="88"/>
    </row>
    <row r="24" spans="1:8" s="89" customFormat="1" ht="23.25" customHeight="1" x14ac:dyDescent="0.25">
      <c r="A24" s="717" t="s">
        <v>728</v>
      </c>
      <c r="B24" s="943">
        <v>49000000</v>
      </c>
      <c r="C24" s="373">
        <v>49000000</v>
      </c>
      <c r="D24" s="372">
        <f t="shared" si="0"/>
        <v>0</v>
      </c>
      <c r="E24" s="86"/>
      <c r="F24" s="87"/>
      <c r="G24" s="87"/>
      <c r="H24" s="88"/>
    </row>
    <row r="25" spans="1:8" s="89" customFormat="1" ht="105" x14ac:dyDescent="0.25">
      <c r="A25" s="711" t="s">
        <v>764</v>
      </c>
      <c r="B25" s="943">
        <v>1905000</v>
      </c>
      <c r="C25" s="373">
        <v>1905000</v>
      </c>
      <c r="D25" s="372">
        <f t="shared" si="0"/>
        <v>0</v>
      </c>
      <c r="E25" s="86"/>
      <c r="F25" s="87"/>
      <c r="G25" s="87"/>
      <c r="H25" s="88"/>
    </row>
    <row r="26" spans="1:8" s="89" customFormat="1" ht="30.75" customHeight="1" x14ac:dyDescent="0.25">
      <c r="A26" s="716" t="s">
        <v>663</v>
      </c>
      <c r="B26" s="943">
        <v>664000</v>
      </c>
      <c r="C26" s="373">
        <v>663575</v>
      </c>
      <c r="D26" s="372">
        <f t="shared" si="0"/>
        <v>-425</v>
      </c>
      <c r="E26" s="86"/>
      <c r="F26" s="87"/>
      <c r="G26" s="87"/>
      <c r="H26" s="88"/>
    </row>
    <row r="27" spans="1:8" s="89" customFormat="1" ht="21.75" customHeight="1" x14ac:dyDescent="0.25">
      <c r="A27" s="716" t="s">
        <v>702</v>
      </c>
      <c r="B27" s="943">
        <v>376000</v>
      </c>
      <c r="C27" s="373">
        <v>376000</v>
      </c>
      <c r="D27" s="372">
        <f t="shared" si="0"/>
        <v>0</v>
      </c>
      <c r="E27" s="86"/>
      <c r="F27" s="87"/>
      <c r="G27" s="87"/>
      <c r="H27" s="88"/>
    </row>
    <row r="28" spans="1:8" s="89" customFormat="1" ht="24.75" customHeight="1" x14ac:dyDescent="0.25">
      <c r="A28" s="711" t="s">
        <v>861</v>
      </c>
      <c r="B28" s="943">
        <v>63000000</v>
      </c>
      <c r="C28" s="374">
        <v>42000000</v>
      </c>
      <c r="D28" s="372">
        <f t="shared" si="0"/>
        <v>-21000000</v>
      </c>
      <c r="E28" s="86"/>
      <c r="F28" s="87"/>
      <c r="G28" s="87"/>
      <c r="H28" s="88"/>
    </row>
    <row r="29" spans="1:8" s="89" customFormat="1" ht="24.75" customHeight="1" x14ac:dyDescent="0.25">
      <c r="A29" s="711" t="s">
        <v>21</v>
      </c>
      <c r="B29" s="943">
        <v>27500000</v>
      </c>
      <c r="C29" s="373">
        <v>27500000</v>
      </c>
      <c r="D29" s="372">
        <f t="shared" si="0"/>
        <v>0</v>
      </c>
      <c r="E29" s="86"/>
      <c r="F29" s="87"/>
      <c r="G29" s="87"/>
      <c r="H29" s="88"/>
    </row>
    <row r="30" spans="1:8" s="89" customFormat="1" ht="24.75" customHeight="1" x14ac:dyDescent="0.25">
      <c r="A30" s="713" t="s">
        <v>859</v>
      </c>
      <c r="B30" s="943">
        <v>507000</v>
      </c>
      <c r="C30" s="373">
        <v>507900</v>
      </c>
      <c r="D30" s="372">
        <f t="shared" si="0"/>
        <v>900</v>
      </c>
      <c r="E30" s="86"/>
      <c r="F30" s="87"/>
      <c r="G30" s="87"/>
      <c r="H30" s="88"/>
    </row>
    <row r="31" spans="1:8" s="89" customFormat="1" ht="24.75" customHeight="1" x14ac:dyDescent="0.25">
      <c r="A31" s="713" t="s">
        <v>19</v>
      </c>
      <c r="B31" s="943">
        <v>637175636</v>
      </c>
      <c r="C31" s="373">
        <v>376824672</v>
      </c>
      <c r="D31" s="372">
        <f t="shared" si="0"/>
        <v>-260350964</v>
      </c>
      <c r="E31" s="86"/>
      <c r="F31" s="87"/>
      <c r="G31" s="87"/>
      <c r="H31" s="88"/>
    </row>
    <row r="32" spans="1:8" s="89" customFormat="1" ht="24.75" customHeight="1" x14ac:dyDescent="0.25">
      <c r="A32" s="713" t="s">
        <v>860</v>
      </c>
      <c r="B32" s="943">
        <v>1759750910</v>
      </c>
      <c r="C32" s="373">
        <v>1922666818</v>
      </c>
      <c r="D32" s="372">
        <f t="shared" si="0"/>
        <v>162915908</v>
      </c>
      <c r="E32" s="86"/>
      <c r="F32" s="87"/>
      <c r="G32" s="87"/>
      <c r="H32" s="88"/>
    </row>
    <row r="33" spans="1:8" s="89" customFormat="1" ht="24" customHeight="1" thickBot="1" x14ac:dyDescent="0.35">
      <c r="A33" s="718" t="s">
        <v>522</v>
      </c>
      <c r="B33" s="951">
        <f>SUM(B4:B32)</f>
        <v>2930202607</v>
      </c>
      <c r="C33" s="375">
        <f>SUM(C4:C32)</f>
        <v>2796742379</v>
      </c>
      <c r="D33" s="721">
        <f t="shared" si="0"/>
        <v>-133460228</v>
      </c>
      <c r="E33" s="80">
        <f>544469-D33</f>
        <v>134004697</v>
      </c>
      <c r="F33" s="87"/>
      <c r="G33" s="87"/>
      <c r="H33" s="88"/>
    </row>
    <row r="34" spans="1:8" s="89" customFormat="1" ht="42" customHeight="1" thickBot="1" x14ac:dyDescent="0.3">
      <c r="A34" s="320" t="s">
        <v>328</v>
      </c>
      <c r="B34" s="613" t="s">
        <v>75</v>
      </c>
      <c r="C34" s="614" t="s">
        <v>228</v>
      </c>
      <c r="D34" s="615" t="s">
        <v>229</v>
      </c>
      <c r="E34" s="80"/>
      <c r="F34" s="87"/>
      <c r="G34" s="87"/>
      <c r="H34" s="88"/>
    </row>
    <row r="35" spans="1:8" s="89" customFormat="1" ht="24" customHeight="1" x14ac:dyDescent="0.3">
      <c r="A35" s="128" t="s">
        <v>761</v>
      </c>
      <c r="B35" s="942"/>
      <c r="C35" s="376"/>
      <c r="D35" s="729">
        <f t="shared" si="0"/>
        <v>0</v>
      </c>
      <c r="E35" s="80"/>
      <c r="F35" s="87"/>
      <c r="G35" s="87"/>
      <c r="H35" s="88"/>
    </row>
    <row r="36" spans="1:8" s="89" customFormat="1" ht="18" customHeight="1" x14ac:dyDescent="0.25">
      <c r="A36" s="722" t="s">
        <v>523</v>
      </c>
      <c r="B36" s="943">
        <v>10000000</v>
      </c>
      <c r="C36" s="374">
        <v>2975726</v>
      </c>
      <c r="D36" s="372">
        <f t="shared" si="0"/>
        <v>-7024274</v>
      </c>
      <c r="E36" s="86"/>
      <c r="F36" s="87"/>
      <c r="G36" s="87"/>
      <c r="H36" s="88"/>
    </row>
    <row r="37" spans="1:8" s="89" customFormat="1" ht="18" customHeight="1" x14ac:dyDescent="0.25">
      <c r="A37" s="723" t="s">
        <v>149</v>
      </c>
      <c r="B37" s="943">
        <v>109800000</v>
      </c>
      <c r="C37" s="373">
        <v>109800000</v>
      </c>
      <c r="D37" s="372">
        <f t="shared" si="0"/>
        <v>0</v>
      </c>
      <c r="E37" s="86"/>
      <c r="F37" s="87"/>
      <c r="G37" s="87"/>
      <c r="H37" s="88"/>
    </row>
    <row r="38" spans="1:8" s="89" customFormat="1" ht="18" customHeight="1" x14ac:dyDescent="0.25">
      <c r="A38" s="723" t="s">
        <v>150</v>
      </c>
      <c r="B38" s="943">
        <v>50000000</v>
      </c>
      <c r="C38" s="373">
        <v>50000000</v>
      </c>
      <c r="D38" s="372">
        <f t="shared" si="0"/>
        <v>0</v>
      </c>
      <c r="E38" s="86"/>
      <c r="F38" s="87"/>
      <c r="G38" s="87"/>
      <c r="H38" s="88"/>
    </row>
    <row r="39" spans="1:8" s="89" customFormat="1" ht="16.5" customHeight="1" x14ac:dyDescent="0.25">
      <c r="A39" s="716" t="s">
        <v>749</v>
      </c>
      <c r="B39" s="943">
        <v>4000000</v>
      </c>
      <c r="C39" s="373">
        <v>4000000</v>
      </c>
      <c r="D39" s="372">
        <f t="shared" si="0"/>
        <v>0</v>
      </c>
      <c r="E39" s="86"/>
      <c r="F39" s="87"/>
      <c r="G39" s="87"/>
      <c r="H39" s="88"/>
    </row>
    <row r="40" spans="1:8" s="89" customFormat="1" ht="16.5" customHeight="1" x14ac:dyDescent="0.25">
      <c r="A40" s="716" t="s">
        <v>659</v>
      </c>
      <c r="B40" s="943">
        <v>5000000</v>
      </c>
      <c r="C40" s="373">
        <v>5000000</v>
      </c>
      <c r="D40" s="372">
        <f t="shared" ref="D40:D93" si="1">C40-B40</f>
        <v>0</v>
      </c>
      <c r="E40" s="86"/>
      <c r="F40" s="87"/>
      <c r="G40" s="87"/>
      <c r="H40" s="88"/>
    </row>
    <row r="41" spans="1:8" s="89" customFormat="1" ht="16.5" customHeight="1" x14ac:dyDescent="0.25">
      <c r="A41" s="716" t="s">
        <v>751</v>
      </c>
      <c r="B41" s="943">
        <v>15000000</v>
      </c>
      <c r="C41" s="373">
        <v>15000000</v>
      </c>
      <c r="D41" s="372">
        <f t="shared" si="1"/>
        <v>0</v>
      </c>
      <c r="E41" s="86"/>
      <c r="F41" s="87"/>
      <c r="G41" s="87"/>
      <c r="H41" s="88"/>
    </row>
    <row r="42" spans="1:8" s="89" customFormat="1" ht="16.5" customHeight="1" x14ac:dyDescent="0.25">
      <c r="A42" s="716" t="s">
        <v>752</v>
      </c>
      <c r="B42" s="943">
        <v>15000000</v>
      </c>
      <c r="C42" s="373">
        <v>15000000</v>
      </c>
      <c r="D42" s="372">
        <f t="shared" si="1"/>
        <v>0</v>
      </c>
      <c r="E42" s="86"/>
      <c r="F42" s="87"/>
      <c r="G42" s="87"/>
      <c r="H42" s="88"/>
    </row>
    <row r="43" spans="1:8" s="89" customFormat="1" ht="16.5" customHeight="1" x14ac:dyDescent="0.25">
      <c r="A43" s="716" t="s">
        <v>753</v>
      </c>
      <c r="B43" s="943">
        <v>18120000</v>
      </c>
      <c r="C43" s="373">
        <v>18120000</v>
      </c>
      <c r="D43" s="372">
        <f t="shared" si="1"/>
        <v>0</v>
      </c>
      <c r="E43" s="86"/>
      <c r="F43" s="87"/>
      <c r="G43" s="87"/>
      <c r="H43" s="88"/>
    </row>
    <row r="44" spans="1:8" s="89" customFormat="1" ht="16.5" customHeight="1" x14ac:dyDescent="0.25">
      <c r="A44" s="716" t="s">
        <v>151</v>
      </c>
      <c r="B44" s="943">
        <v>8000000</v>
      </c>
      <c r="C44" s="373">
        <v>8621000</v>
      </c>
      <c r="D44" s="372">
        <f t="shared" si="1"/>
        <v>621000</v>
      </c>
      <c r="E44" s="86"/>
      <c r="F44" s="87"/>
      <c r="G44" s="87"/>
      <c r="H44" s="88"/>
    </row>
    <row r="45" spans="1:8" s="89" customFormat="1" ht="15" x14ac:dyDescent="0.25">
      <c r="A45" s="724" t="s">
        <v>856</v>
      </c>
      <c r="B45" s="943">
        <v>25400000</v>
      </c>
      <c r="C45" s="373">
        <v>25400000</v>
      </c>
      <c r="D45" s="372">
        <f t="shared" si="1"/>
        <v>0</v>
      </c>
      <c r="E45" s="86"/>
      <c r="F45" s="87"/>
      <c r="G45" s="87"/>
      <c r="H45" s="88"/>
    </row>
    <row r="46" spans="1:8" s="89" customFormat="1" ht="17.25" customHeight="1" x14ac:dyDescent="0.25">
      <c r="A46" s="724" t="s">
        <v>857</v>
      </c>
      <c r="B46" s="943">
        <v>36900000</v>
      </c>
      <c r="C46" s="373">
        <v>36900000</v>
      </c>
      <c r="D46" s="372">
        <f t="shared" si="1"/>
        <v>0</v>
      </c>
      <c r="E46" s="86"/>
      <c r="F46" s="87"/>
      <c r="G46" s="87"/>
      <c r="H46" s="88"/>
    </row>
    <row r="47" spans="1:8" s="89" customFormat="1" ht="15" x14ac:dyDescent="0.25">
      <c r="A47" s="724" t="s">
        <v>858</v>
      </c>
      <c r="B47" s="943">
        <v>1291000</v>
      </c>
      <c r="C47" s="373">
        <v>1291000</v>
      </c>
      <c r="D47" s="372">
        <f t="shared" si="1"/>
        <v>0</v>
      </c>
      <c r="E47" s="86"/>
      <c r="F47" s="87"/>
      <c r="G47" s="87"/>
      <c r="H47" s="88"/>
    </row>
    <row r="48" spans="1:8" s="89" customFormat="1" ht="15" x14ac:dyDescent="0.25">
      <c r="A48" s="724" t="s">
        <v>22</v>
      </c>
      <c r="B48" s="943">
        <v>100000000</v>
      </c>
      <c r="C48" s="373">
        <v>100000000</v>
      </c>
      <c r="D48" s="372">
        <f t="shared" si="1"/>
        <v>0</v>
      </c>
      <c r="E48" s="86"/>
      <c r="F48" s="87"/>
      <c r="G48" s="87"/>
      <c r="H48" s="88"/>
    </row>
    <row r="49" spans="1:8" s="89" customFormat="1" ht="27.6" x14ac:dyDescent="0.25">
      <c r="A49" s="724" t="s">
        <v>23</v>
      </c>
      <c r="B49" s="943">
        <v>9093200</v>
      </c>
      <c r="C49" s="373">
        <v>9093200</v>
      </c>
      <c r="D49" s="372">
        <f t="shared" si="1"/>
        <v>0</v>
      </c>
      <c r="E49" s="86"/>
      <c r="F49" s="87"/>
      <c r="G49" s="87"/>
      <c r="H49" s="88"/>
    </row>
    <row r="50" spans="1:8" s="89" customFormat="1" ht="15" x14ac:dyDescent="0.25">
      <c r="A50" s="724" t="s">
        <v>914</v>
      </c>
      <c r="B50" s="943"/>
      <c r="C50" s="373">
        <v>2489200</v>
      </c>
      <c r="D50" s="372">
        <f t="shared" si="1"/>
        <v>2489200</v>
      </c>
      <c r="E50" s="86"/>
      <c r="F50" s="87"/>
      <c r="G50" s="87"/>
      <c r="H50" s="88"/>
    </row>
    <row r="51" spans="1:8" s="89" customFormat="1" ht="15" x14ac:dyDescent="0.25">
      <c r="A51" s="724" t="s">
        <v>24</v>
      </c>
      <c r="B51" s="943">
        <v>762000</v>
      </c>
      <c r="C51" s="373">
        <v>762000</v>
      </c>
      <c r="D51" s="372">
        <f t="shared" si="1"/>
        <v>0</v>
      </c>
      <c r="E51" s="86"/>
      <c r="F51" s="87"/>
      <c r="G51" s="87"/>
      <c r="H51" s="88"/>
    </row>
    <row r="52" spans="1:8" s="89" customFormat="1" ht="15" x14ac:dyDescent="0.25">
      <c r="A52" s="724" t="s">
        <v>25</v>
      </c>
      <c r="B52" s="943">
        <v>7936925</v>
      </c>
      <c r="C52" s="373">
        <v>7936925</v>
      </c>
      <c r="D52" s="372">
        <f t="shared" si="1"/>
        <v>0</v>
      </c>
      <c r="E52" s="86"/>
      <c r="F52" s="87"/>
      <c r="G52" s="87"/>
      <c r="H52" s="88"/>
    </row>
    <row r="53" spans="1:8" s="89" customFormat="1" ht="15" x14ac:dyDescent="0.25">
      <c r="A53" s="724" t="s">
        <v>26</v>
      </c>
      <c r="B53" s="943">
        <v>1270000</v>
      </c>
      <c r="C53" s="373">
        <v>10096500</v>
      </c>
      <c r="D53" s="372">
        <f t="shared" si="1"/>
        <v>8826500</v>
      </c>
      <c r="E53" s="86"/>
      <c r="F53" s="87"/>
      <c r="G53" s="87"/>
      <c r="H53" s="88"/>
    </row>
    <row r="54" spans="1:8" s="89" customFormat="1" ht="15" x14ac:dyDescent="0.25">
      <c r="A54" s="724" t="s">
        <v>152</v>
      </c>
      <c r="B54" s="943">
        <v>15000000</v>
      </c>
      <c r="C54" s="373">
        <v>15000000</v>
      </c>
      <c r="D54" s="372">
        <f t="shared" si="1"/>
        <v>0</v>
      </c>
      <c r="E54" s="86"/>
      <c r="F54" s="87"/>
      <c r="G54" s="87"/>
      <c r="H54" s="88"/>
    </row>
    <row r="55" spans="1:8" s="89" customFormat="1" ht="27.6" x14ac:dyDescent="0.25">
      <c r="A55" s="724" t="s">
        <v>153</v>
      </c>
      <c r="B55" s="943">
        <v>60000000</v>
      </c>
      <c r="C55" s="373">
        <v>60000000</v>
      </c>
      <c r="D55" s="372">
        <f t="shared" si="1"/>
        <v>0</v>
      </c>
      <c r="E55" s="86"/>
      <c r="F55" s="87"/>
      <c r="G55" s="87"/>
      <c r="H55" s="88"/>
    </row>
    <row r="56" spans="1:8" s="89" customFormat="1" ht="27.6" x14ac:dyDescent="0.25">
      <c r="A56" s="724" t="s">
        <v>154</v>
      </c>
      <c r="B56" s="943">
        <v>50000000</v>
      </c>
      <c r="C56" s="373">
        <v>50000000</v>
      </c>
      <c r="D56" s="372">
        <f t="shared" si="1"/>
        <v>0</v>
      </c>
      <c r="E56" s="86"/>
      <c r="F56" s="87"/>
      <c r="G56" s="87"/>
      <c r="H56" s="88"/>
    </row>
    <row r="57" spans="1:8" s="89" customFormat="1" ht="15" x14ac:dyDescent="0.25">
      <c r="A57" s="725" t="s">
        <v>27</v>
      </c>
      <c r="B57" s="943">
        <v>35034070</v>
      </c>
      <c r="C57" s="373">
        <v>35034070</v>
      </c>
      <c r="D57" s="372">
        <f t="shared" si="1"/>
        <v>0</v>
      </c>
      <c r="E57" s="86"/>
      <c r="F57" s="87"/>
      <c r="G57" s="87"/>
      <c r="H57" s="88"/>
    </row>
    <row r="58" spans="1:8" s="89" customFormat="1" ht="15" x14ac:dyDescent="0.25">
      <c r="A58" s="726" t="s">
        <v>155</v>
      </c>
      <c r="B58" s="943">
        <v>100000000</v>
      </c>
      <c r="C58" s="373">
        <v>107864985</v>
      </c>
      <c r="D58" s="372">
        <f t="shared" si="1"/>
        <v>7864985</v>
      </c>
      <c r="E58" s="86"/>
      <c r="F58" s="87"/>
      <c r="G58" s="87"/>
      <c r="H58" s="88"/>
    </row>
    <row r="59" spans="1:8" s="89" customFormat="1" ht="15" x14ac:dyDescent="0.25">
      <c r="A59" s="726" t="s">
        <v>156</v>
      </c>
      <c r="B59" s="943">
        <v>5000000</v>
      </c>
      <c r="C59" s="373">
        <v>5000000</v>
      </c>
      <c r="D59" s="372">
        <f t="shared" si="1"/>
        <v>0</v>
      </c>
      <c r="E59" s="86"/>
      <c r="F59" s="87"/>
      <c r="G59" s="87"/>
      <c r="H59" s="88"/>
    </row>
    <row r="60" spans="1:8" s="89" customFormat="1" ht="15" x14ac:dyDescent="0.25">
      <c r="A60" s="726" t="s">
        <v>157</v>
      </c>
      <c r="B60" s="943">
        <v>7500000</v>
      </c>
      <c r="C60" s="373">
        <v>7500000</v>
      </c>
      <c r="D60" s="372">
        <f t="shared" si="1"/>
        <v>0</v>
      </c>
      <c r="E60" s="86"/>
      <c r="F60" s="87"/>
      <c r="G60" s="87"/>
      <c r="H60" s="88"/>
    </row>
    <row r="61" spans="1:8" s="89" customFormat="1" ht="15" x14ac:dyDescent="0.25">
      <c r="A61" s="726" t="s">
        <v>158</v>
      </c>
      <c r="B61" s="943">
        <v>5000000</v>
      </c>
      <c r="C61" s="373">
        <v>5000000</v>
      </c>
      <c r="D61" s="372">
        <f t="shared" si="1"/>
        <v>0</v>
      </c>
      <c r="E61" s="86"/>
      <c r="F61" s="87"/>
      <c r="G61" s="87"/>
      <c r="H61" s="88"/>
    </row>
    <row r="62" spans="1:8" s="89" customFormat="1" ht="15" x14ac:dyDescent="0.25">
      <c r="A62" s="726" t="s">
        <v>159</v>
      </c>
      <c r="B62" s="943">
        <v>20000000</v>
      </c>
      <c r="C62" s="373">
        <v>20000000</v>
      </c>
      <c r="D62" s="372">
        <f t="shared" si="1"/>
        <v>0</v>
      </c>
      <c r="E62" s="86"/>
      <c r="F62" s="87"/>
      <c r="G62" s="87"/>
      <c r="H62" s="88"/>
    </row>
    <row r="63" spans="1:8" s="89" customFormat="1" ht="15" x14ac:dyDescent="0.25">
      <c r="A63" s="726" t="s">
        <v>160</v>
      </c>
      <c r="B63" s="943">
        <v>3000000</v>
      </c>
      <c r="C63" s="373">
        <v>3000000</v>
      </c>
      <c r="D63" s="372">
        <f t="shared" si="1"/>
        <v>0</v>
      </c>
      <c r="E63" s="86"/>
      <c r="F63" s="87"/>
      <c r="G63" s="87"/>
      <c r="H63" s="88"/>
    </row>
    <row r="64" spans="1:8" s="89" customFormat="1" ht="15" x14ac:dyDescent="0.25">
      <c r="A64" s="726" t="s">
        <v>161</v>
      </c>
      <c r="B64" s="943">
        <v>10000000</v>
      </c>
      <c r="C64" s="373">
        <v>10000000</v>
      </c>
      <c r="D64" s="372">
        <f t="shared" si="1"/>
        <v>0</v>
      </c>
      <c r="E64" s="86"/>
      <c r="F64" s="87"/>
      <c r="G64" s="87"/>
      <c r="H64" s="88"/>
    </row>
    <row r="65" spans="1:8" s="89" customFormat="1" ht="15" x14ac:dyDescent="0.25">
      <c r="A65" s="726" t="s">
        <v>162</v>
      </c>
      <c r="B65" s="943">
        <v>5000000</v>
      </c>
      <c r="C65" s="373">
        <v>5000000</v>
      </c>
      <c r="D65" s="372">
        <f t="shared" si="1"/>
        <v>0</v>
      </c>
      <c r="E65" s="86"/>
      <c r="F65" s="87"/>
      <c r="G65" s="87"/>
      <c r="H65" s="88"/>
    </row>
    <row r="66" spans="1:8" s="89" customFormat="1" ht="15" x14ac:dyDescent="0.25">
      <c r="A66" s="726" t="s">
        <v>163</v>
      </c>
      <c r="B66" s="943">
        <v>5000000</v>
      </c>
      <c r="C66" s="373">
        <v>5000000</v>
      </c>
      <c r="D66" s="372">
        <f t="shared" si="1"/>
        <v>0</v>
      </c>
      <c r="E66" s="86"/>
      <c r="F66" s="87"/>
      <c r="G66" s="87"/>
      <c r="H66" s="88"/>
    </row>
    <row r="67" spans="1:8" s="89" customFormat="1" ht="15" x14ac:dyDescent="0.25">
      <c r="A67" s="726" t="s">
        <v>164</v>
      </c>
      <c r="B67" s="943">
        <v>10000000</v>
      </c>
      <c r="C67" s="373">
        <v>10000000</v>
      </c>
      <c r="D67" s="372">
        <f t="shared" si="1"/>
        <v>0</v>
      </c>
      <c r="E67" s="86"/>
      <c r="F67" s="87"/>
      <c r="G67" s="87"/>
      <c r="H67" s="88"/>
    </row>
    <row r="68" spans="1:8" s="89" customFormat="1" ht="15" x14ac:dyDescent="0.25">
      <c r="A68" s="726" t="s">
        <v>193</v>
      </c>
      <c r="B68" s="943">
        <v>1200000</v>
      </c>
      <c r="C68" s="373">
        <v>1200000</v>
      </c>
      <c r="D68" s="372">
        <f t="shared" si="1"/>
        <v>0</v>
      </c>
      <c r="E68" s="86"/>
      <c r="F68" s="87"/>
      <c r="G68" s="87"/>
      <c r="H68" s="88"/>
    </row>
    <row r="69" spans="1:8" s="89" customFormat="1" ht="15" x14ac:dyDescent="0.25">
      <c r="A69" s="726" t="s">
        <v>165</v>
      </c>
      <c r="B69" s="943">
        <v>10000000</v>
      </c>
      <c r="C69" s="373">
        <v>10000000</v>
      </c>
      <c r="D69" s="372">
        <f t="shared" si="1"/>
        <v>0</v>
      </c>
      <c r="E69" s="86"/>
      <c r="F69" s="87"/>
      <c r="G69" s="87"/>
      <c r="H69" s="88"/>
    </row>
    <row r="70" spans="1:8" s="89" customFormat="1" ht="15" x14ac:dyDescent="0.25">
      <c r="A70" s="726" t="s">
        <v>166</v>
      </c>
      <c r="B70" s="943">
        <v>4000000</v>
      </c>
      <c r="C70" s="373">
        <v>4000000</v>
      </c>
      <c r="D70" s="372">
        <f t="shared" si="1"/>
        <v>0</v>
      </c>
      <c r="E70" s="86"/>
      <c r="F70" s="87"/>
      <c r="G70" s="87"/>
      <c r="H70" s="88"/>
    </row>
    <row r="71" spans="1:8" s="89" customFormat="1" ht="15" x14ac:dyDescent="0.25">
      <c r="A71" s="726" t="s">
        <v>167</v>
      </c>
      <c r="B71" s="943">
        <v>3000000</v>
      </c>
      <c r="C71" s="373">
        <v>3000000</v>
      </c>
      <c r="D71" s="372">
        <f t="shared" si="1"/>
        <v>0</v>
      </c>
      <c r="E71" s="86"/>
      <c r="F71" s="87"/>
      <c r="G71" s="87"/>
      <c r="H71" s="88"/>
    </row>
    <row r="72" spans="1:8" s="89" customFormat="1" ht="15" x14ac:dyDescent="0.25">
      <c r="A72" s="726" t="s">
        <v>168</v>
      </c>
      <c r="B72" s="943">
        <v>2000000</v>
      </c>
      <c r="C72" s="373">
        <v>2000000</v>
      </c>
      <c r="D72" s="372">
        <f t="shared" si="1"/>
        <v>0</v>
      </c>
      <c r="E72" s="86"/>
      <c r="F72" s="87"/>
      <c r="G72" s="87"/>
      <c r="H72" s="88"/>
    </row>
    <row r="73" spans="1:8" s="89" customFormat="1" ht="15" x14ac:dyDescent="0.25">
      <c r="A73" s="726" t="s">
        <v>169</v>
      </c>
      <c r="B73" s="943">
        <v>4000000</v>
      </c>
      <c r="C73" s="373">
        <v>4000000</v>
      </c>
      <c r="D73" s="372">
        <f t="shared" si="1"/>
        <v>0</v>
      </c>
      <c r="E73" s="86"/>
      <c r="F73" s="87"/>
      <c r="G73" s="87"/>
      <c r="H73" s="88"/>
    </row>
    <row r="74" spans="1:8" s="89" customFormat="1" ht="15" x14ac:dyDescent="0.25">
      <c r="A74" s="726" t="s">
        <v>170</v>
      </c>
      <c r="B74" s="943">
        <v>15000000</v>
      </c>
      <c r="C74" s="373">
        <v>12342483</v>
      </c>
      <c r="D74" s="372">
        <f t="shared" si="1"/>
        <v>-2657517</v>
      </c>
      <c r="E74" s="86"/>
      <c r="F74" s="87"/>
      <c r="G74" s="87"/>
      <c r="H74" s="88"/>
    </row>
    <row r="75" spans="1:8" s="89" customFormat="1" ht="15" x14ac:dyDescent="0.25">
      <c r="A75" s="726" t="s">
        <v>913</v>
      </c>
      <c r="B75" s="943"/>
      <c r="C75" s="373">
        <v>896092</v>
      </c>
      <c r="D75" s="372">
        <f t="shared" si="1"/>
        <v>896092</v>
      </c>
      <c r="E75" s="86"/>
      <c r="F75" s="87"/>
      <c r="G75" s="87"/>
      <c r="H75" s="88"/>
    </row>
    <row r="76" spans="1:8" s="89" customFormat="1" ht="15" x14ac:dyDescent="0.25">
      <c r="A76" s="726" t="s">
        <v>912</v>
      </c>
      <c r="B76" s="943"/>
      <c r="C76" s="373">
        <v>4038600</v>
      </c>
      <c r="D76" s="372">
        <f t="shared" si="1"/>
        <v>4038600</v>
      </c>
      <c r="E76" s="86"/>
      <c r="F76" s="87"/>
      <c r="G76" s="87"/>
      <c r="H76" s="88"/>
    </row>
    <row r="77" spans="1:8" s="89" customFormat="1" ht="15" x14ac:dyDescent="0.25">
      <c r="A77" s="726" t="s">
        <v>911</v>
      </c>
      <c r="B77" s="943"/>
      <c r="C77" s="373">
        <v>100000</v>
      </c>
      <c r="D77" s="372">
        <f t="shared" si="1"/>
        <v>100000</v>
      </c>
      <c r="E77" s="86"/>
      <c r="F77" s="87"/>
      <c r="G77" s="87"/>
      <c r="H77" s="88"/>
    </row>
    <row r="78" spans="1:8" s="89" customFormat="1" ht="15" x14ac:dyDescent="0.25">
      <c r="A78" s="726" t="s">
        <v>910</v>
      </c>
      <c r="B78" s="943"/>
      <c r="C78" s="373">
        <v>406000</v>
      </c>
      <c r="D78" s="372">
        <f t="shared" si="1"/>
        <v>406000</v>
      </c>
      <c r="E78" s="86"/>
      <c r="F78" s="87"/>
      <c r="G78" s="87"/>
      <c r="H78" s="88"/>
    </row>
    <row r="79" spans="1:8" s="89" customFormat="1" ht="15" x14ac:dyDescent="0.25">
      <c r="A79" s="726" t="s">
        <v>909</v>
      </c>
      <c r="B79" s="943"/>
      <c r="C79" s="373">
        <v>600000</v>
      </c>
      <c r="D79" s="372">
        <f t="shared" si="1"/>
        <v>600000</v>
      </c>
      <c r="E79" s="86"/>
      <c r="F79" s="87"/>
      <c r="G79" s="87"/>
      <c r="H79" s="88"/>
    </row>
    <row r="80" spans="1:8" s="89" customFormat="1" ht="15" x14ac:dyDescent="0.25">
      <c r="A80" s="726" t="s">
        <v>908</v>
      </c>
      <c r="B80" s="943"/>
      <c r="C80" s="373">
        <v>3454400</v>
      </c>
      <c r="D80" s="372">
        <f t="shared" si="1"/>
        <v>3454400</v>
      </c>
      <c r="E80" s="86"/>
      <c r="F80" s="87"/>
      <c r="G80" s="87"/>
      <c r="H80" s="88"/>
    </row>
    <row r="81" spans="1:8" s="89" customFormat="1" ht="15" x14ac:dyDescent="0.25">
      <c r="A81" s="726" t="s">
        <v>907</v>
      </c>
      <c r="B81" s="943"/>
      <c r="C81" s="373">
        <v>164100</v>
      </c>
      <c r="D81" s="372">
        <f t="shared" si="1"/>
        <v>164100</v>
      </c>
      <c r="E81" s="86"/>
      <c r="F81" s="87"/>
      <c r="G81" s="87"/>
      <c r="H81" s="88"/>
    </row>
    <row r="82" spans="1:8" s="89" customFormat="1" ht="15" x14ac:dyDescent="0.25">
      <c r="A82" s="726" t="s">
        <v>906</v>
      </c>
      <c r="B82" s="943"/>
      <c r="C82" s="373">
        <v>3810000</v>
      </c>
      <c r="D82" s="372">
        <f t="shared" si="1"/>
        <v>3810000</v>
      </c>
      <c r="E82" s="86"/>
      <c r="F82" s="87"/>
      <c r="G82" s="87"/>
      <c r="H82" s="88"/>
    </row>
    <row r="83" spans="1:8" s="89" customFormat="1" ht="15" x14ac:dyDescent="0.25">
      <c r="A83" s="726" t="s">
        <v>905</v>
      </c>
      <c r="B83" s="943"/>
      <c r="C83" s="373">
        <v>29000000</v>
      </c>
      <c r="D83" s="372">
        <f t="shared" si="1"/>
        <v>29000000</v>
      </c>
      <c r="E83" s="86"/>
      <c r="F83" s="87"/>
      <c r="G83" s="87"/>
      <c r="H83" s="88"/>
    </row>
    <row r="84" spans="1:8" s="89" customFormat="1" ht="15" x14ac:dyDescent="0.25">
      <c r="A84" s="726" t="s">
        <v>904</v>
      </c>
      <c r="B84" s="943"/>
      <c r="C84" s="373">
        <v>1080000</v>
      </c>
      <c r="D84" s="372">
        <f t="shared" si="1"/>
        <v>1080000</v>
      </c>
      <c r="E84" s="86"/>
      <c r="F84" s="87"/>
      <c r="G84" s="87"/>
      <c r="H84" s="88"/>
    </row>
    <row r="85" spans="1:8" s="89" customFormat="1" ht="15" x14ac:dyDescent="0.25">
      <c r="A85" s="958" t="s">
        <v>903</v>
      </c>
      <c r="B85" s="943"/>
      <c r="C85" s="373">
        <v>150000000</v>
      </c>
      <c r="D85" s="372">
        <f t="shared" si="1"/>
        <v>150000000</v>
      </c>
      <c r="E85" s="86"/>
      <c r="F85" s="87"/>
      <c r="G85" s="87"/>
      <c r="H85" s="88"/>
    </row>
    <row r="86" spans="1:8" s="89" customFormat="1" ht="28.5" customHeight="1" x14ac:dyDescent="0.25">
      <c r="A86" s="103" t="s">
        <v>529</v>
      </c>
      <c r="B86" s="943">
        <f>SUM(B87:B90)</f>
        <v>0</v>
      </c>
      <c r="C86" s="373">
        <f>SUM(C87:C90)</f>
        <v>0</v>
      </c>
      <c r="D86" s="372">
        <f t="shared" si="1"/>
        <v>0</v>
      </c>
      <c r="E86" s="86"/>
      <c r="F86" s="87"/>
      <c r="G86" s="87"/>
      <c r="H86" s="88"/>
    </row>
    <row r="87" spans="1:8" s="89" customFormat="1" ht="15" customHeight="1" x14ac:dyDescent="0.25">
      <c r="A87" s="727" t="s">
        <v>530</v>
      </c>
      <c r="B87" s="943"/>
      <c r="C87" s="373"/>
      <c r="D87" s="372">
        <f t="shared" si="1"/>
        <v>0</v>
      </c>
      <c r="E87" s="86"/>
      <c r="F87" s="87"/>
      <c r="G87" s="87"/>
      <c r="H87" s="88"/>
    </row>
    <row r="88" spans="1:8" s="89" customFormat="1" ht="15.75" customHeight="1" x14ac:dyDescent="0.25">
      <c r="A88" s="727" t="s">
        <v>531</v>
      </c>
      <c r="B88" s="943"/>
      <c r="C88" s="373"/>
      <c r="D88" s="372">
        <f t="shared" si="1"/>
        <v>0</v>
      </c>
      <c r="E88" s="86"/>
      <c r="F88" s="87"/>
      <c r="G88" s="87"/>
      <c r="H88" s="88"/>
    </row>
    <row r="89" spans="1:8" s="89" customFormat="1" ht="15.75" customHeight="1" x14ac:dyDescent="0.25">
      <c r="A89" s="727" t="s">
        <v>729</v>
      </c>
      <c r="B89" s="943"/>
      <c r="C89" s="373"/>
      <c r="D89" s="372">
        <f t="shared" si="1"/>
        <v>0</v>
      </c>
      <c r="E89" s="86"/>
      <c r="F89" s="87"/>
      <c r="G89" s="87"/>
      <c r="H89" s="88"/>
    </row>
    <row r="90" spans="1:8" s="89" customFormat="1" ht="15" x14ac:dyDescent="0.25">
      <c r="A90" s="712" t="s">
        <v>693</v>
      </c>
      <c r="B90" s="943"/>
      <c r="C90" s="373"/>
      <c r="D90" s="372">
        <f t="shared" si="1"/>
        <v>0</v>
      </c>
      <c r="E90" s="86"/>
      <c r="F90" s="87"/>
      <c r="G90" s="87"/>
      <c r="H90" s="88"/>
    </row>
    <row r="91" spans="1:8" s="89" customFormat="1" ht="18.75" customHeight="1" x14ac:dyDescent="0.25">
      <c r="A91" s="727" t="s">
        <v>532</v>
      </c>
      <c r="B91" s="943">
        <f>SUM(B92:B93)</f>
        <v>21000000</v>
      </c>
      <c r="C91" s="373">
        <f>SUM(C92:C93)</f>
        <v>21000000</v>
      </c>
      <c r="D91" s="372">
        <f t="shared" si="1"/>
        <v>0</v>
      </c>
      <c r="E91" s="86"/>
      <c r="F91" s="87"/>
      <c r="G91" s="87"/>
      <c r="H91" s="88"/>
    </row>
    <row r="92" spans="1:8" s="89" customFormat="1" ht="18" customHeight="1" x14ac:dyDescent="0.25">
      <c r="A92" s="727" t="s">
        <v>703</v>
      </c>
      <c r="B92" s="943"/>
      <c r="C92" s="373"/>
      <c r="D92" s="372">
        <f t="shared" si="1"/>
        <v>0</v>
      </c>
      <c r="E92" s="86"/>
      <c r="F92" s="87"/>
      <c r="G92" s="87"/>
      <c r="H92" s="88"/>
    </row>
    <row r="93" spans="1:8" s="89" customFormat="1" ht="18" customHeight="1" x14ac:dyDescent="0.25">
      <c r="A93" s="727" t="s">
        <v>533</v>
      </c>
      <c r="B93" s="943">
        <v>21000000</v>
      </c>
      <c r="C93" s="373">
        <v>21000000</v>
      </c>
      <c r="D93" s="372">
        <f t="shared" si="1"/>
        <v>0</v>
      </c>
      <c r="E93" s="86"/>
      <c r="F93" s="87"/>
      <c r="G93" s="87"/>
      <c r="H93" s="88"/>
    </row>
    <row r="94" spans="1:8" s="89" customFormat="1" ht="20.25" customHeight="1" x14ac:dyDescent="0.3">
      <c r="A94" s="728" t="s">
        <v>534</v>
      </c>
      <c r="B94" s="953">
        <f>SUM(B36:B86,B91)</f>
        <v>808307195</v>
      </c>
      <c r="C94" s="730">
        <f>SUM(C36:C86,C91)</f>
        <v>1011976281</v>
      </c>
      <c r="D94" s="721">
        <f t="shared" ref="D94:D152" si="2">C94-B94</f>
        <v>203669086</v>
      </c>
      <c r="E94" s="159"/>
      <c r="F94" s="87"/>
      <c r="G94" s="87"/>
      <c r="H94" s="88"/>
    </row>
    <row r="95" spans="1:8" s="89" customFormat="1" ht="21.75" customHeight="1" thickBot="1" x14ac:dyDescent="0.35">
      <c r="A95" s="104" t="s">
        <v>535</v>
      </c>
      <c r="B95" s="951">
        <f>B94+B33</f>
        <v>3738509802</v>
      </c>
      <c r="C95" s="375">
        <f>C94+C33</f>
        <v>3808718660</v>
      </c>
      <c r="D95" s="732">
        <f t="shared" si="2"/>
        <v>70208858</v>
      </c>
      <c r="E95" s="159"/>
      <c r="F95" s="87"/>
      <c r="G95" s="87"/>
      <c r="H95" s="88"/>
    </row>
    <row r="96" spans="1:8" s="89" customFormat="1" ht="43.5" customHeight="1" thickBot="1" x14ac:dyDescent="0.3">
      <c r="A96" s="320" t="s">
        <v>328</v>
      </c>
      <c r="B96" s="613" t="s">
        <v>75</v>
      </c>
      <c r="C96" s="614" t="s">
        <v>228</v>
      </c>
      <c r="D96" s="615" t="s">
        <v>229</v>
      </c>
      <c r="E96" s="86"/>
      <c r="F96" s="87"/>
      <c r="G96" s="87"/>
      <c r="H96" s="88"/>
    </row>
    <row r="97" spans="1:8" s="89" customFormat="1" ht="24.75" customHeight="1" x14ac:dyDescent="0.25">
      <c r="A97" s="733" t="s">
        <v>762</v>
      </c>
      <c r="B97" s="942"/>
      <c r="C97" s="376"/>
      <c r="D97" s="729">
        <f t="shared" si="2"/>
        <v>0</v>
      </c>
      <c r="E97" s="86"/>
      <c r="F97" s="87"/>
      <c r="G97" s="87"/>
      <c r="H97" s="88"/>
    </row>
    <row r="98" spans="1:8" s="89" customFormat="1" ht="29.25" customHeight="1" x14ac:dyDescent="0.25">
      <c r="A98" s="734" t="s">
        <v>538</v>
      </c>
      <c r="B98" s="943">
        <f>SUM(B99:B104)</f>
        <v>314686968</v>
      </c>
      <c r="C98" s="373">
        <f>SUM(C99:C104)</f>
        <v>515486968</v>
      </c>
      <c r="D98" s="372">
        <f t="shared" si="2"/>
        <v>200800000</v>
      </c>
      <c r="E98" s="86"/>
      <c r="F98" s="87"/>
      <c r="G98" s="87"/>
      <c r="H98" s="88"/>
    </row>
    <row r="99" spans="1:8" s="89" customFormat="1" ht="15" customHeight="1" x14ac:dyDescent="0.25">
      <c r="A99" s="727" t="s">
        <v>695</v>
      </c>
      <c r="B99" s="943">
        <v>5200000</v>
      </c>
      <c r="C99" s="373">
        <v>5200000</v>
      </c>
      <c r="D99" s="372">
        <f t="shared" si="2"/>
        <v>0</v>
      </c>
      <c r="E99" s="86"/>
      <c r="F99" s="87"/>
      <c r="G99" s="87"/>
      <c r="H99" s="88"/>
    </row>
    <row r="100" spans="1:8" s="89" customFormat="1" ht="15" customHeight="1" x14ac:dyDescent="0.25">
      <c r="A100" s="727" t="s">
        <v>741</v>
      </c>
      <c r="B100" s="943">
        <v>300000000</v>
      </c>
      <c r="C100" s="373">
        <v>490000000</v>
      </c>
      <c r="D100" s="372">
        <f t="shared" si="2"/>
        <v>190000000</v>
      </c>
      <c r="E100" s="86"/>
      <c r="F100" s="87"/>
      <c r="G100" s="87"/>
      <c r="H100" s="88"/>
    </row>
    <row r="101" spans="1:8" s="89" customFormat="1" ht="18.75" customHeight="1" x14ac:dyDescent="0.25">
      <c r="A101" s="727" t="s">
        <v>518</v>
      </c>
      <c r="B101" s="943">
        <v>9486968</v>
      </c>
      <c r="C101" s="373">
        <v>9486968</v>
      </c>
      <c r="D101" s="372">
        <f t="shared" si="2"/>
        <v>0</v>
      </c>
      <c r="E101" s="86"/>
      <c r="F101" s="87"/>
      <c r="G101" s="87"/>
      <c r="H101" s="88"/>
    </row>
    <row r="102" spans="1:8" s="89" customFormat="1" ht="18.75" customHeight="1" x14ac:dyDescent="0.25">
      <c r="A102" s="727" t="s">
        <v>755</v>
      </c>
      <c r="B102" s="943"/>
      <c r="C102" s="373"/>
      <c r="D102" s="372">
        <f t="shared" si="2"/>
        <v>0</v>
      </c>
      <c r="E102" s="86"/>
      <c r="F102" s="87"/>
      <c r="G102" s="87"/>
      <c r="H102" s="88"/>
    </row>
    <row r="103" spans="1:8" s="89" customFormat="1" ht="18.75" customHeight="1" x14ac:dyDescent="0.25">
      <c r="A103" s="727" t="s">
        <v>756</v>
      </c>
      <c r="B103" s="943"/>
      <c r="C103" s="373"/>
      <c r="D103" s="372">
        <f t="shared" si="2"/>
        <v>0</v>
      </c>
      <c r="E103" s="86"/>
      <c r="F103" s="87"/>
      <c r="G103" s="87"/>
      <c r="H103" s="88"/>
    </row>
    <row r="104" spans="1:8" s="89" customFormat="1" ht="18.75" customHeight="1" x14ac:dyDescent="0.25">
      <c r="A104" s="727" t="s">
        <v>895</v>
      </c>
      <c r="B104" s="943"/>
      <c r="C104" s="373">
        <v>10800000</v>
      </c>
      <c r="D104" s="372">
        <f t="shared" si="2"/>
        <v>10800000</v>
      </c>
      <c r="E104" s="86"/>
      <c r="F104" s="87"/>
      <c r="G104" s="87"/>
      <c r="H104" s="88"/>
    </row>
    <row r="105" spans="1:8" s="89" customFormat="1" ht="29.25" customHeight="1" x14ac:dyDescent="0.25">
      <c r="A105" s="736" t="s">
        <v>704</v>
      </c>
      <c r="B105" s="943"/>
      <c r="C105" s="373"/>
      <c r="D105" s="372">
        <f t="shared" si="2"/>
        <v>0</v>
      </c>
      <c r="E105" s="86"/>
      <c r="F105" s="87"/>
      <c r="G105" s="87"/>
      <c r="H105" s="88"/>
    </row>
    <row r="106" spans="1:8" s="89" customFormat="1" ht="17.25" customHeight="1" x14ac:dyDescent="0.25">
      <c r="A106" s="737" t="s">
        <v>539</v>
      </c>
      <c r="B106" s="943">
        <f>SUM(B107:B110)</f>
        <v>2550000</v>
      </c>
      <c r="C106" s="373">
        <f>SUM(C107:C110)</f>
        <v>2550000</v>
      </c>
      <c r="D106" s="372">
        <f t="shared" si="2"/>
        <v>0</v>
      </c>
      <c r="E106" s="86"/>
      <c r="F106" s="87"/>
      <c r="G106" s="87"/>
      <c r="H106" s="88"/>
    </row>
    <row r="107" spans="1:8" s="89" customFormat="1" ht="18" customHeight="1" x14ac:dyDescent="0.25">
      <c r="A107" s="738" t="s">
        <v>467</v>
      </c>
      <c r="B107" s="943"/>
      <c r="C107" s="373"/>
      <c r="D107" s="372">
        <f t="shared" si="2"/>
        <v>0</v>
      </c>
      <c r="E107" s="86"/>
      <c r="F107" s="87"/>
      <c r="G107" s="87"/>
      <c r="H107" s="88"/>
    </row>
    <row r="108" spans="1:8" s="89" customFormat="1" ht="21.75" customHeight="1" x14ac:dyDescent="0.25">
      <c r="A108" s="738" t="s">
        <v>527</v>
      </c>
      <c r="B108" s="943">
        <v>800000</v>
      </c>
      <c r="C108" s="373">
        <v>800000</v>
      </c>
      <c r="D108" s="372">
        <f t="shared" si="2"/>
        <v>0</v>
      </c>
      <c r="E108" s="86"/>
      <c r="F108" s="87"/>
      <c r="G108" s="87"/>
      <c r="H108" s="88"/>
    </row>
    <row r="109" spans="1:8" s="89" customFormat="1" ht="21" customHeight="1" x14ac:dyDescent="0.25">
      <c r="A109" s="738" t="s">
        <v>528</v>
      </c>
      <c r="B109" s="943">
        <v>1750000</v>
      </c>
      <c r="C109" s="373">
        <v>1750000</v>
      </c>
      <c r="D109" s="372">
        <f t="shared" si="2"/>
        <v>0</v>
      </c>
      <c r="E109" s="86"/>
      <c r="F109" s="87"/>
      <c r="G109" s="87"/>
      <c r="H109" s="88"/>
    </row>
    <row r="110" spans="1:8" s="89" customFormat="1" ht="21" customHeight="1" x14ac:dyDescent="0.25">
      <c r="A110" s="739" t="s">
        <v>864</v>
      </c>
      <c r="B110" s="943"/>
      <c r="C110" s="373"/>
      <c r="D110" s="372">
        <f t="shared" si="2"/>
        <v>0</v>
      </c>
      <c r="E110" s="86"/>
      <c r="F110" s="87"/>
      <c r="G110" s="87"/>
      <c r="H110" s="88"/>
    </row>
    <row r="111" spans="1:8" s="89" customFormat="1" ht="18" customHeight="1" x14ac:dyDescent="0.25">
      <c r="A111" s="740" t="s">
        <v>540</v>
      </c>
      <c r="B111" s="943">
        <f>SUM(B113:B145)</f>
        <v>371218364</v>
      </c>
      <c r="C111" s="373">
        <f>SUM(C112:C145)</f>
        <v>384498407</v>
      </c>
      <c r="D111" s="372">
        <f t="shared" si="2"/>
        <v>13280043</v>
      </c>
      <c r="E111" s="86"/>
      <c r="F111" s="87"/>
      <c r="G111" s="87"/>
      <c r="H111" s="88"/>
    </row>
    <row r="112" spans="1:8" s="89" customFormat="1" ht="30" x14ac:dyDescent="0.25">
      <c r="A112" s="740" t="s">
        <v>902</v>
      </c>
      <c r="B112" s="943"/>
      <c r="C112" s="373">
        <v>100000</v>
      </c>
      <c r="D112" s="372">
        <f t="shared" si="2"/>
        <v>100000</v>
      </c>
      <c r="E112" s="86"/>
      <c r="F112" s="87"/>
      <c r="G112" s="87"/>
      <c r="H112" s="88"/>
    </row>
    <row r="113" spans="1:8" s="84" customFormat="1" ht="24" customHeight="1" x14ac:dyDescent="0.25">
      <c r="A113" s="738" t="s">
        <v>519</v>
      </c>
      <c r="B113" s="943">
        <v>1500000</v>
      </c>
      <c r="C113" s="373">
        <v>1500000</v>
      </c>
      <c r="D113" s="372">
        <f t="shared" si="2"/>
        <v>0</v>
      </c>
    </row>
    <row r="114" spans="1:8" s="84" customFormat="1" ht="28.5" customHeight="1" x14ac:dyDescent="0.25">
      <c r="A114" s="717" t="s">
        <v>730</v>
      </c>
      <c r="B114" s="943">
        <v>500000</v>
      </c>
      <c r="C114" s="373">
        <v>500000</v>
      </c>
      <c r="D114" s="372">
        <f t="shared" si="2"/>
        <v>0</v>
      </c>
    </row>
    <row r="115" spans="1:8" s="84" customFormat="1" ht="28.5" customHeight="1" x14ac:dyDescent="0.25">
      <c r="A115" s="717" t="s">
        <v>731</v>
      </c>
      <c r="B115" s="943">
        <v>340000</v>
      </c>
      <c r="C115" s="373">
        <v>340000</v>
      </c>
      <c r="D115" s="372">
        <f t="shared" si="2"/>
        <v>0</v>
      </c>
    </row>
    <row r="116" spans="1:8" s="84" customFormat="1" ht="28.5" customHeight="1" x14ac:dyDescent="0.25">
      <c r="A116" s="717" t="s">
        <v>732</v>
      </c>
      <c r="B116" s="943">
        <v>900000</v>
      </c>
      <c r="C116" s="373">
        <v>900000</v>
      </c>
      <c r="D116" s="372">
        <f t="shared" si="2"/>
        <v>0</v>
      </c>
    </row>
    <row r="117" spans="1:8" s="84" customFormat="1" ht="28.5" customHeight="1" x14ac:dyDescent="0.25">
      <c r="A117" s="741" t="s">
        <v>863</v>
      </c>
      <c r="B117" s="943">
        <v>1000000</v>
      </c>
      <c r="C117" s="373">
        <v>1000000</v>
      </c>
      <c r="D117" s="372">
        <f t="shared" si="2"/>
        <v>0</v>
      </c>
    </row>
    <row r="118" spans="1:8" s="84" customFormat="1" ht="28.5" customHeight="1" x14ac:dyDescent="0.25">
      <c r="A118" s="741" t="s">
        <v>862</v>
      </c>
      <c r="B118" s="943">
        <v>167000</v>
      </c>
      <c r="C118" s="373">
        <v>167000</v>
      </c>
      <c r="D118" s="372">
        <f t="shared" si="2"/>
        <v>0</v>
      </c>
    </row>
    <row r="119" spans="1:8" s="84" customFormat="1" ht="28.5" customHeight="1" x14ac:dyDescent="0.25">
      <c r="A119" s="742" t="s">
        <v>28</v>
      </c>
      <c r="B119" s="943">
        <v>493000</v>
      </c>
      <c r="C119" s="373">
        <v>493000</v>
      </c>
      <c r="D119" s="372">
        <f t="shared" si="2"/>
        <v>0</v>
      </c>
    </row>
    <row r="120" spans="1:8" s="84" customFormat="1" ht="28.5" customHeight="1" x14ac:dyDescent="0.25">
      <c r="A120" s="742" t="s">
        <v>29</v>
      </c>
      <c r="B120" s="943">
        <v>290000</v>
      </c>
      <c r="C120" s="373">
        <v>290000</v>
      </c>
      <c r="D120" s="372">
        <f t="shared" si="2"/>
        <v>0</v>
      </c>
    </row>
    <row r="121" spans="1:8" s="84" customFormat="1" ht="28.5" customHeight="1" x14ac:dyDescent="0.25">
      <c r="A121" s="742" t="s">
        <v>30</v>
      </c>
      <c r="B121" s="943">
        <v>50000</v>
      </c>
      <c r="C121" s="373">
        <v>50000</v>
      </c>
      <c r="D121" s="372">
        <f t="shared" si="2"/>
        <v>0</v>
      </c>
    </row>
    <row r="122" spans="1:8" s="84" customFormat="1" ht="30.75" customHeight="1" x14ac:dyDescent="0.25">
      <c r="A122" s="743" t="s">
        <v>656</v>
      </c>
      <c r="B122" s="943"/>
      <c r="C122" s="373"/>
      <c r="D122" s="372">
        <f t="shared" si="2"/>
        <v>0</v>
      </c>
      <c r="E122" s="81"/>
      <c r="F122" s="82"/>
      <c r="G122" s="82"/>
      <c r="H122" s="83"/>
    </row>
    <row r="123" spans="1:8" s="84" customFormat="1" ht="30.75" customHeight="1" x14ac:dyDescent="0.25">
      <c r="A123" s="738" t="s">
        <v>774</v>
      </c>
      <c r="B123" s="943">
        <v>1200000</v>
      </c>
      <c r="C123" s="373">
        <v>1200000</v>
      </c>
      <c r="D123" s="372">
        <f t="shared" si="2"/>
        <v>0</v>
      </c>
      <c r="E123" s="81"/>
      <c r="F123" s="82"/>
      <c r="G123" s="82"/>
      <c r="H123" s="83"/>
    </row>
    <row r="124" spans="1:8" s="84" customFormat="1" ht="30.75" customHeight="1" x14ac:dyDescent="0.25">
      <c r="A124" s="738" t="s">
        <v>775</v>
      </c>
      <c r="B124" s="943">
        <v>3800000</v>
      </c>
      <c r="C124" s="373">
        <v>3800000</v>
      </c>
      <c r="D124" s="372">
        <f t="shared" si="2"/>
        <v>0</v>
      </c>
      <c r="E124" s="81"/>
      <c r="F124" s="82"/>
      <c r="G124" s="82"/>
      <c r="H124" s="83"/>
    </row>
    <row r="125" spans="1:8" s="84" customFormat="1" ht="30.75" customHeight="1" x14ac:dyDescent="0.25">
      <c r="A125" s="738" t="s">
        <v>757</v>
      </c>
      <c r="B125" s="943">
        <v>3200000</v>
      </c>
      <c r="C125" s="373">
        <v>3200000</v>
      </c>
      <c r="D125" s="372">
        <f t="shared" si="2"/>
        <v>0</v>
      </c>
      <c r="E125" s="81"/>
      <c r="F125" s="82"/>
      <c r="G125" s="82"/>
      <c r="H125" s="83"/>
    </row>
    <row r="126" spans="1:8" s="84" customFormat="1" ht="30.75" customHeight="1" x14ac:dyDescent="0.25">
      <c r="A126" s="738" t="s">
        <v>759</v>
      </c>
      <c r="B126" s="943">
        <v>15000000</v>
      </c>
      <c r="C126" s="373">
        <v>15000000</v>
      </c>
      <c r="D126" s="372">
        <f t="shared" si="2"/>
        <v>0</v>
      </c>
      <c r="E126" s="81"/>
      <c r="F126" s="82"/>
      <c r="G126" s="82"/>
      <c r="H126" s="83"/>
    </row>
    <row r="127" spans="1:8" s="84" customFormat="1" ht="23.25" customHeight="1" x14ac:dyDescent="0.25">
      <c r="A127" s="102" t="s">
        <v>694</v>
      </c>
      <c r="B127" s="943">
        <v>12000000</v>
      </c>
      <c r="C127" s="373">
        <v>12000000</v>
      </c>
      <c r="D127" s="372">
        <f t="shared" si="2"/>
        <v>0</v>
      </c>
      <c r="E127" s="81"/>
      <c r="F127" s="82"/>
      <c r="G127" s="82"/>
      <c r="H127" s="83"/>
    </row>
    <row r="128" spans="1:8" s="84" customFormat="1" ht="23.25" customHeight="1" x14ac:dyDescent="0.25">
      <c r="A128" s="102" t="s">
        <v>900</v>
      </c>
      <c r="B128" s="943">
        <v>0</v>
      </c>
      <c r="C128" s="373">
        <v>2000000</v>
      </c>
      <c r="D128" s="372">
        <f t="shared" si="2"/>
        <v>2000000</v>
      </c>
      <c r="E128" s="81"/>
      <c r="F128" s="82"/>
      <c r="G128" s="82"/>
      <c r="H128" s="83"/>
    </row>
    <row r="129" spans="1:8" s="84" customFormat="1" ht="23.25" customHeight="1" x14ac:dyDescent="0.25">
      <c r="A129" s="102" t="s">
        <v>901</v>
      </c>
      <c r="B129" s="943">
        <v>0</v>
      </c>
      <c r="C129" s="373">
        <v>9225000</v>
      </c>
      <c r="D129" s="372">
        <f t="shared" si="2"/>
        <v>9225000</v>
      </c>
      <c r="E129" s="81"/>
      <c r="F129" s="82"/>
      <c r="G129" s="82"/>
      <c r="H129" s="83"/>
    </row>
    <row r="130" spans="1:8" s="84" customFormat="1" ht="23.25" customHeight="1" x14ac:dyDescent="0.25">
      <c r="A130" s="741" t="s">
        <v>176</v>
      </c>
      <c r="B130" s="943">
        <v>4000000</v>
      </c>
      <c r="C130" s="373">
        <v>4000000</v>
      </c>
      <c r="D130" s="372">
        <f t="shared" si="2"/>
        <v>0</v>
      </c>
      <c r="E130" s="81"/>
      <c r="F130" s="82"/>
      <c r="G130" s="82"/>
      <c r="H130" s="83"/>
    </row>
    <row r="131" spans="1:8" s="84" customFormat="1" ht="15" x14ac:dyDescent="0.25">
      <c r="A131" s="735" t="s">
        <v>171</v>
      </c>
      <c r="B131" s="943">
        <v>88000000</v>
      </c>
      <c r="C131" s="373">
        <v>88000000</v>
      </c>
      <c r="D131" s="372">
        <f t="shared" si="2"/>
        <v>0</v>
      </c>
      <c r="E131" s="81"/>
      <c r="F131" s="82"/>
      <c r="G131" s="82"/>
      <c r="H131" s="83"/>
    </row>
    <row r="132" spans="1:8" s="84" customFormat="1" ht="21" customHeight="1" x14ac:dyDescent="0.25">
      <c r="A132" s="102" t="s">
        <v>516</v>
      </c>
      <c r="B132" s="943">
        <v>2150000</v>
      </c>
      <c r="C132" s="373">
        <v>2150043</v>
      </c>
      <c r="D132" s="372">
        <f t="shared" si="2"/>
        <v>43</v>
      </c>
      <c r="E132" s="81"/>
      <c r="F132" s="82"/>
      <c r="G132" s="82"/>
      <c r="H132" s="83"/>
    </row>
    <row r="133" spans="1:8" s="84" customFormat="1" ht="21" customHeight="1" x14ac:dyDescent="0.25">
      <c r="A133" s="102" t="s">
        <v>758</v>
      </c>
      <c r="B133" s="943">
        <v>2500000</v>
      </c>
      <c r="C133" s="373">
        <v>2500000</v>
      </c>
      <c r="D133" s="372">
        <f t="shared" si="2"/>
        <v>0</v>
      </c>
      <c r="E133" s="81"/>
      <c r="F133" s="82"/>
      <c r="G133" s="82"/>
      <c r="H133" s="83"/>
    </row>
    <row r="134" spans="1:8" s="84" customFormat="1" ht="21" customHeight="1" x14ac:dyDescent="0.25">
      <c r="A134" s="739" t="s">
        <v>175</v>
      </c>
      <c r="B134" s="943">
        <v>1206500</v>
      </c>
      <c r="C134" s="373">
        <v>1206500</v>
      </c>
      <c r="D134" s="372">
        <f t="shared" si="2"/>
        <v>0</v>
      </c>
      <c r="E134" s="81"/>
      <c r="F134" s="82"/>
      <c r="G134" s="82"/>
      <c r="H134" s="83"/>
    </row>
    <row r="135" spans="1:8" s="84" customFormat="1" ht="30.75" customHeight="1" x14ac:dyDescent="0.25">
      <c r="A135" s="150" t="s">
        <v>696</v>
      </c>
      <c r="B135" s="943">
        <v>3000000</v>
      </c>
      <c r="C135" s="373">
        <v>3000000</v>
      </c>
      <c r="D135" s="372">
        <f t="shared" si="2"/>
        <v>0</v>
      </c>
      <c r="E135" s="81"/>
      <c r="F135" s="82"/>
      <c r="G135" s="82"/>
      <c r="H135" s="83"/>
    </row>
    <row r="136" spans="1:8" s="84" customFormat="1" ht="21" customHeight="1" x14ac:dyDescent="0.25">
      <c r="A136" s="150" t="s">
        <v>899</v>
      </c>
      <c r="B136" s="943"/>
      <c r="C136" s="373">
        <v>361000</v>
      </c>
      <c r="D136" s="372">
        <f t="shared" si="2"/>
        <v>361000</v>
      </c>
      <c r="E136" s="81"/>
      <c r="F136" s="82"/>
      <c r="G136" s="82"/>
      <c r="H136" s="83"/>
    </row>
    <row r="137" spans="1:8" s="84" customFormat="1" ht="27.6" x14ac:dyDescent="0.25">
      <c r="A137" s="150" t="s">
        <v>740</v>
      </c>
      <c r="B137" s="943">
        <v>195000000</v>
      </c>
      <c r="C137" s="373">
        <v>195000000</v>
      </c>
      <c r="D137" s="372">
        <f t="shared" si="2"/>
        <v>0</v>
      </c>
      <c r="E137" s="81"/>
      <c r="F137" s="82"/>
      <c r="G137" s="82"/>
      <c r="H137" s="83"/>
    </row>
    <row r="138" spans="1:8" s="84" customFormat="1" ht="15" x14ac:dyDescent="0.25">
      <c r="A138" s="150" t="s">
        <v>173</v>
      </c>
      <c r="B138" s="943">
        <v>12800000</v>
      </c>
      <c r="C138" s="373">
        <v>12800000</v>
      </c>
      <c r="D138" s="372">
        <f t="shared" si="2"/>
        <v>0</v>
      </c>
      <c r="E138" s="81"/>
      <c r="F138" s="82"/>
      <c r="G138" s="82"/>
      <c r="H138" s="83"/>
    </row>
    <row r="139" spans="1:8" s="84" customFormat="1" ht="15" x14ac:dyDescent="0.25">
      <c r="A139" s="150" t="s">
        <v>174</v>
      </c>
      <c r="B139" s="943">
        <v>4620000</v>
      </c>
      <c r="C139" s="373">
        <v>4620000</v>
      </c>
      <c r="D139" s="372">
        <f t="shared" si="2"/>
        <v>0</v>
      </c>
      <c r="E139" s="81"/>
      <c r="F139" s="82"/>
      <c r="G139" s="82"/>
      <c r="H139" s="83"/>
    </row>
    <row r="140" spans="1:8" s="84" customFormat="1" ht="21" customHeight="1" x14ac:dyDescent="0.25">
      <c r="A140" s="412" t="s">
        <v>172</v>
      </c>
      <c r="B140" s="943">
        <v>2500000</v>
      </c>
      <c r="C140" s="373">
        <v>2500000</v>
      </c>
      <c r="D140" s="372">
        <f t="shared" si="2"/>
        <v>0</v>
      </c>
      <c r="E140" s="81"/>
      <c r="F140" s="82"/>
      <c r="G140" s="82"/>
      <c r="H140" s="83"/>
    </row>
    <row r="141" spans="1:8" s="84" customFormat="1" ht="21" customHeight="1" x14ac:dyDescent="0.25">
      <c r="A141" s="940" t="s">
        <v>896</v>
      </c>
      <c r="B141" s="944"/>
      <c r="C141" s="939">
        <v>100000</v>
      </c>
      <c r="D141" s="372">
        <f t="shared" si="2"/>
        <v>100000</v>
      </c>
      <c r="E141" s="81"/>
      <c r="F141" s="82"/>
      <c r="G141" s="82"/>
      <c r="H141" s="83"/>
    </row>
    <row r="142" spans="1:8" s="84" customFormat="1" ht="21" customHeight="1" x14ac:dyDescent="0.25">
      <c r="A142" s="941" t="s">
        <v>897</v>
      </c>
      <c r="B142" s="944"/>
      <c r="C142" s="939">
        <v>532000</v>
      </c>
      <c r="D142" s="372">
        <f t="shared" si="2"/>
        <v>532000</v>
      </c>
      <c r="E142" s="81"/>
      <c r="F142" s="82"/>
      <c r="G142" s="82"/>
      <c r="H142" s="83"/>
    </row>
    <row r="143" spans="1:8" s="84" customFormat="1" ht="21" customHeight="1" thickBot="1" x14ac:dyDescent="0.3">
      <c r="A143" s="328" t="s">
        <v>898</v>
      </c>
      <c r="B143" s="945"/>
      <c r="C143" s="675">
        <v>962000</v>
      </c>
      <c r="D143" s="731">
        <f t="shared" si="2"/>
        <v>962000</v>
      </c>
      <c r="E143" s="81"/>
      <c r="F143" s="82"/>
      <c r="G143" s="82"/>
      <c r="H143" s="83"/>
    </row>
    <row r="144" spans="1:8" s="89" customFormat="1" ht="47.25" customHeight="1" thickBot="1" x14ac:dyDescent="0.3">
      <c r="A144" s="320" t="s">
        <v>328</v>
      </c>
      <c r="B144" s="613" t="s">
        <v>75</v>
      </c>
      <c r="C144" s="614" t="s">
        <v>228</v>
      </c>
      <c r="D144" s="615" t="s">
        <v>229</v>
      </c>
      <c r="E144" s="86"/>
      <c r="F144" s="87"/>
      <c r="G144" s="87"/>
      <c r="H144" s="88"/>
    </row>
    <row r="145" spans="1:9" s="84" customFormat="1" ht="19.5" customHeight="1" x14ac:dyDescent="0.25">
      <c r="A145" s="744" t="s">
        <v>541</v>
      </c>
      <c r="B145" s="946">
        <f>SUM(B146:B159)</f>
        <v>15001864</v>
      </c>
      <c r="C145" s="954">
        <f>SUM(C146:C159)</f>
        <v>15001864</v>
      </c>
      <c r="D145" s="746">
        <f t="shared" si="2"/>
        <v>0</v>
      </c>
      <c r="E145" s="81"/>
      <c r="F145" s="82"/>
      <c r="G145" s="82"/>
      <c r="H145" s="83"/>
    </row>
    <row r="146" spans="1:9" s="84" customFormat="1" ht="18.75" customHeight="1" x14ac:dyDescent="0.25">
      <c r="A146" s="727" t="s">
        <v>542</v>
      </c>
      <c r="B146" s="947">
        <v>0</v>
      </c>
      <c r="C146" s="955">
        <v>0</v>
      </c>
      <c r="D146" s="747">
        <f t="shared" si="2"/>
        <v>0</v>
      </c>
      <c r="E146" s="81"/>
      <c r="F146" s="82"/>
      <c r="G146" s="82"/>
      <c r="H146" s="83"/>
    </row>
    <row r="147" spans="1:9" s="84" customFormat="1" ht="17.25" customHeight="1" x14ac:dyDescent="0.25">
      <c r="A147" s="727" t="s">
        <v>543</v>
      </c>
      <c r="B147" s="947">
        <v>0</v>
      </c>
      <c r="C147" s="955">
        <v>0</v>
      </c>
      <c r="D147" s="747">
        <f t="shared" si="2"/>
        <v>0</v>
      </c>
      <c r="E147" s="81"/>
      <c r="F147" s="82"/>
      <c r="G147" s="82"/>
      <c r="H147" s="83"/>
    </row>
    <row r="148" spans="1:9" s="84" customFormat="1" ht="18" customHeight="1" x14ac:dyDescent="0.25">
      <c r="A148" s="727" t="s">
        <v>544</v>
      </c>
      <c r="B148" s="947">
        <v>0</v>
      </c>
      <c r="C148" s="955">
        <v>0</v>
      </c>
      <c r="D148" s="747">
        <f t="shared" si="2"/>
        <v>0</v>
      </c>
      <c r="E148" s="81"/>
      <c r="F148" s="82"/>
      <c r="G148" s="82"/>
      <c r="H148" s="83"/>
      <c r="I148" s="82"/>
    </row>
    <row r="149" spans="1:9" s="84" customFormat="1" ht="18" customHeight="1" x14ac:dyDescent="0.25">
      <c r="A149" s="727" t="s">
        <v>545</v>
      </c>
      <c r="B149" s="947">
        <v>400000</v>
      </c>
      <c r="C149" s="955">
        <v>400000</v>
      </c>
      <c r="D149" s="747">
        <f t="shared" si="2"/>
        <v>0</v>
      </c>
      <c r="E149" s="81"/>
      <c r="F149" s="82"/>
      <c r="G149" s="82"/>
      <c r="H149" s="83"/>
    </row>
    <row r="150" spans="1:9" s="84" customFormat="1" ht="18" customHeight="1" x14ac:dyDescent="0.25">
      <c r="A150" s="727" t="s">
        <v>546</v>
      </c>
      <c r="B150" s="947">
        <v>400000</v>
      </c>
      <c r="C150" s="955">
        <v>400000</v>
      </c>
      <c r="D150" s="747">
        <f t="shared" si="2"/>
        <v>0</v>
      </c>
      <c r="E150" s="81"/>
      <c r="F150" s="82"/>
      <c r="G150" s="82"/>
      <c r="H150" s="83"/>
    </row>
    <row r="151" spans="1:9" s="84" customFormat="1" ht="18" customHeight="1" x14ac:dyDescent="0.25">
      <c r="A151" s="727" t="s">
        <v>548</v>
      </c>
      <c r="B151" s="947">
        <v>1200000</v>
      </c>
      <c r="C151" s="955">
        <v>1200000</v>
      </c>
      <c r="D151" s="747">
        <f t="shared" si="2"/>
        <v>0</v>
      </c>
      <c r="E151" s="81"/>
      <c r="F151" s="82"/>
      <c r="G151" s="82"/>
      <c r="H151" s="83"/>
    </row>
    <row r="152" spans="1:9" s="84" customFormat="1" ht="20.25" customHeight="1" x14ac:dyDescent="0.25">
      <c r="A152" s="727" t="s">
        <v>549</v>
      </c>
      <c r="B152" s="947">
        <v>840000</v>
      </c>
      <c r="C152" s="955">
        <v>840000</v>
      </c>
      <c r="D152" s="747">
        <f t="shared" si="2"/>
        <v>0</v>
      </c>
      <c r="E152" s="81"/>
      <c r="F152" s="82"/>
      <c r="G152" s="82"/>
      <c r="H152" s="83"/>
    </row>
    <row r="153" spans="1:9" s="84" customFormat="1" ht="17.25" customHeight="1" x14ac:dyDescent="0.25">
      <c r="A153" s="727" t="s">
        <v>550</v>
      </c>
      <c r="B153" s="947">
        <v>1997056</v>
      </c>
      <c r="C153" s="955">
        <v>1997056</v>
      </c>
      <c r="D153" s="747">
        <f t="shared" ref="D153:D172" si="3">C153-B153</f>
        <v>0</v>
      </c>
      <c r="E153" s="81"/>
      <c r="F153" s="82"/>
      <c r="G153" s="82"/>
      <c r="H153" s="83"/>
    </row>
    <row r="154" spans="1:9" s="84" customFormat="1" ht="16.5" customHeight="1" x14ac:dyDescent="0.25">
      <c r="A154" s="727" t="s">
        <v>551</v>
      </c>
      <c r="B154" s="947">
        <v>480000</v>
      </c>
      <c r="C154" s="955">
        <v>480000</v>
      </c>
      <c r="D154" s="747">
        <f t="shared" si="3"/>
        <v>0</v>
      </c>
      <c r="E154" s="81"/>
      <c r="F154" s="82"/>
      <c r="G154" s="82"/>
      <c r="H154" s="83"/>
    </row>
    <row r="155" spans="1:9" s="84" customFormat="1" ht="18" customHeight="1" x14ac:dyDescent="0.25">
      <c r="A155" s="727" t="s">
        <v>552</v>
      </c>
      <c r="B155" s="947">
        <v>1496398</v>
      </c>
      <c r="C155" s="955">
        <v>1496398</v>
      </c>
      <c r="D155" s="747">
        <f t="shared" si="3"/>
        <v>0</v>
      </c>
      <c r="E155" s="81"/>
      <c r="F155" s="82"/>
      <c r="G155" s="82"/>
      <c r="H155" s="83"/>
    </row>
    <row r="156" spans="1:9" s="84" customFormat="1" ht="18" customHeight="1" x14ac:dyDescent="0.25">
      <c r="A156" s="727" t="s">
        <v>553</v>
      </c>
      <c r="B156" s="947">
        <v>1589260</v>
      </c>
      <c r="C156" s="955">
        <v>1589260</v>
      </c>
      <c r="D156" s="747">
        <f t="shared" si="3"/>
        <v>0</v>
      </c>
      <c r="E156" s="81"/>
      <c r="F156" s="82"/>
      <c r="G156" s="82"/>
      <c r="H156" s="83"/>
    </row>
    <row r="157" spans="1:9" s="84" customFormat="1" ht="17.25" customHeight="1" x14ac:dyDescent="0.25">
      <c r="A157" s="727" t="s">
        <v>554</v>
      </c>
      <c r="B157" s="947">
        <v>2780920</v>
      </c>
      <c r="C157" s="955">
        <v>2780920</v>
      </c>
      <c r="D157" s="747">
        <f t="shared" si="3"/>
        <v>0</v>
      </c>
      <c r="E157" s="81"/>
      <c r="F157" s="82"/>
      <c r="G157" s="82"/>
      <c r="H157" s="83"/>
    </row>
    <row r="158" spans="1:9" s="84" customFormat="1" ht="17.25" customHeight="1" x14ac:dyDescent="0.25">
      <c r="A158" s="727" t="s">
        <v>555</v>
      </c>
      <c r="B158" s="947">
        <v>2319470</v>
      </c>
      <c r="C158" s="955">
        <v>2319470</v>
      </c>
      <c r="D158" s="747">
        <f t="shared" si="3"/>
        <v>0</v>
      </c>
      <c r="E158" s="81"/>
      <c r="F158" s="82"/>
      <c r="G158" s="82"/>
      <c r="H158" s="83"/>
    </row>
    <row r="159" spans="1:9" s="84" customFormat="1" ht="17.25" customHeight="1" x14ac:dyDescent="0.25">
      <c r="A159" s="745" t="s">
        <v>556</v>
      </c>
      <c r="B159" s="947">
        <v>1498760</v>
      </c>
      <c r="C159" s="955">
        <v>1498760</v>
      </c>
      <c r="D159" s="748">
        <f t="shared" si="3"/>
        <v>0</v>
      </c>
      <c r="E159" s="81"/>
      <c r="F159" s="82"/>
      <c r="G159" s="82"/>
      <c r="H159" s="83"/>
    </row>
    <row r="160" spans="1:9" s="158" customFormat="1" ht="20.25" customHeight="1" x14ac:dyDescent="0.3">
      <c r="A160" s="728" t="s">
        <v>557</v>
      </c>
      <c r="B160" s="948">
        <f>B111+B106+B98+B105</f>
        <v>688455332</v>
      </c>
      <c r="C160" s="956">
        <f>C111+C106+C98+C105</f>
        <v>902535375</v>
      </c>
      <c r="D160" s="1475">
        <f t="shared" si="3"/>
        <v>214080043</v>
      </c>
      <c r="E160" s="155"/>
      <c r="F160" s="156"/>
      <c r="G160" s="156"/>
      <c r="H160" s="157"/>
    </row>
    <row r="161" spans="1:8" s="158" customFormat="1" ht="18" customHeight="1" thickBot="1" x14ac:dyDescent="0.35">
      <c r="A161" s="104" t="s">
        <v>558</v>
      </c>
      <c r="B161" s="949">
        <f>SUM(B160+B95)</f>
        <v>4426965134</v>
      </c>
      <c r="C161" s="957">
        <f>SUM(C160+C95)</f>
        <v>4711254035</v>
      </c>
      <c r="D161" s="1476">
        <f t="shared" si="3"/>
        <v>284288901</v>
      </c>
      <c r="E161" s="155"/>
      <c r="F161" s="156"/>
      <c r="G161" s="156"/>
      <c r="H161" s="157"/>
    </row>
    <row r="162" spans="1:8" s="158" customFormat="1" ht="18" customHeight="1" x14ac:dyDescent="0.3">
      <c r="A162" s="128" t="s">
        <v>559</v>
      </c>
      <c r="B162" s="950"/>
      <c r="C162" s="719"/>
      <c r="D162" s="729">
        <f t="shared" si="3"/>
        <v>0</v>
      </c>
      <c r="E162" s="155"/>
      <c r="F162" s="156"/>
      <c r="G162" s="156"/>
      <c r="H162" s="157"/>
    </row>
    <row r="163" spans="1:8" s="89" customFormat="1" ht="21" customHeight="1" x14ac:dyDescent="0.25">
      <c r="A163" s="103" t="s">
        <v>560</v>
      </c>
      <c r="B163" s="943">
        <v>74242424</v>
      </c>
      <c r="C163" s="373">
        <v>74242424</v>
      </c>
      <c r="D163" s="372">
        <f t="shared" si="3"/>
        <v>0</v>
      </c>
      <c r="E163" s="86"/>
      <c r="F163" s="87"/>
      <c r="G163" s="87"/>
      <c r="H163" s="88"/>
    </row>
    <row r="164" spans="1:8" s="89" customFormat="1" ht="21" customHeight="1" x14ac:dyDescent="0.25">
      <c r="A164" s="103" t="s">
        <v>517</v>
      </c>
      <c r="B164" s="943"/>
      <c r="C164" s="373">
        <v>1310347000</v>
      </c>
      <c r="D164" s="372">
        <f t="shared" si="3"/>
        <v>1310347000</v>
      </c>
      <c r="E164" s="86"/>
      <c r="F164" s="87"/>
      <c r="G164" s="87"/>
      <c r="H164" s="88"/>
    </row>
    <row r="165" spans="1:8" s="89" customFormat="1" ht="21" customHeight="1" x14ac:dyDescent="0.25">
      <c r="A165" s="103" t="s">
        <v>664</v>
      </c>
      <c r="B165" s="943">
        <v>44090809</v>
      </c>
      <c r="C165" s="373">
        <v>44090809</v>
      </c>
      <c r="D165" s="372">
        <f t="shared" si="3"/>
        <v>0</v>
      </c>
      <c r="E165" s="86"/>
      <c r="F165" s="87"/>
      <c r="G165" s="87"/>
      <c r="H165" s="88"/>
    </row>
    <row r="166" spans="1:8" s="158" customFormat="1" ht="18" customHeight="1" thickBot="1" x14ac:dyDescent="0.35">
      <c r="A166" s="104" t="s">
        <v>561</v>
      </c>
      <c r="B166" s="951">
        <f>SUM(B163:B165)</f>
        <v>118333233</v>
      </c>
      <c r="C166" s="375">
        <f>SUM(C163:C165)</f>
        <v>1428680233</v>
      </c>
      <c r="D166" s="732">
        <f t="shared" si="3"/>
        <v>1310347000</v>
      </c>
      <c r="E166" s="155"/>
      <c r="F166" s="156"/>
      <c r="G166" s="156"/>
      <c r="H166" s="157"/>
    </row>
    <row r="167" spans="1:8" s="84" customFormat="1" ht="18" customHeight="1" x14ac:dyDescent="0.3">
      <c r="A167" s="128" t="s">
        <v>562</v>
      </c>
      <c r="B167" s="952"/>
      <c r="C167" s="719"/>
      <c r="D167" s="729">
        <f t="shared" si="3"/>
        <v>0</v>
      </c>
      <c r="E167" s="81"/>
      <c r="F167" s="82"/>
      <c r="G167" s="82"/>
      <c r="H167" s="83"/>
    </row>
    <row r="168" spans="1:8" s="84" customFormat="1" ht="18" customHeight="1" x14ac:dyDescent="0.3">
      <c r="A168" s="749" t="s">
        <v>31</v>
      </c>
      <c r="B168" s="943">
        <v>44670000</v>
      </c>
      <c r="C168" s="750">
        <f>'6.sz.tábla  (4)'!C122</f>
        <v>44670000</v>
      </c>
      <c r="D168" s="372">
        <f t="shared" si="3"/>
        <v>0</v>
      </c>
      <c r="E168" s="81"/>
      <c r="F168" s="82"/>
      <c r="G168" s="82"/>
      <c r="H168" s="83"/>
    </row>
    <row r="169" spans="1:8" s="84" customFormat="1" ht="18" customHeight="1" x14ac:dyDescent="0.3">
      <c r="A169" s="728" t="s">
        <v>563</v>
      </c>
      <c r="B169" s="943">
        <v>39469339</v>
      </c>
      <c r="C169" s="373">
        <f>'6.sz.tábla  (4)'!C123</f>
        <v>40575404</v>
      </c>
      <c r="D169" s="372">
        <f t="shared" si="3"/>
        <v>1106065</v>
      </c>
      <c r="E169" s="81"/>
      <c r="F169" s="82"/>
      <c r="G169" s="82"/>
      <c r="H169" s="83"/>
    </row>
    <row r="170" spans="1:8" s="84" customFormat="1" ht="18" customHeight="1" x14ac:dyDescent="0.3">
      <c r="A170" s="728" t="s">
        <v>564</v>
      </c>
      <c r="B170" s="943">
        <v>9000000</v>
      </c>
      <c r="C170" s="750">
        <f>'6.sz.tábla  (4)'!C124</f>
        <v>9000000</v>
      </c>
      <c r="D170" s="372">
        <f t="shared" si="3"/>
        <v>0</v>
      </c>
      <c r="E170" s="81"/>
      <c r="F170" s="82"/>
      <c r="G170" s="82"/>
      <c r="H170" s="83"/>
    </row>
    <row r="171" spans="1:8" s="158" customFormat="1" ht="18" customHeight="1" x14ac:dyDescent="0.3">
      <c r="A171" s="728" t="s">
        <v>565</v>
      </c>
      <c r="B171" s="953">
        <f>SUM(B168:B170)</f>
        <v>93139339</v>
      </c>
      <c r="C171" s="730">
        <f>SUM(C168:C170)</f>
        <v>94245404</v>
      </c>
      <c r="D171" s="721">
        <f t="shared" si="3"/>
        <v>1106065</v>
      </c>
      <c r="E171" s="155"/>
      <c r="F171" s="156"/>
      <c r="G171" s="156"/>
      <c r="H171" s="157"/>
    </row>
    <row r="172" spans="1:8" s="158" customFormat="1" ht="18" customHeight="1" thickBot="1" x14ac:dyDescent="0.35">
      <c r="A172" s="104" t="s">
        <v>566</v>
      </c>
      <c r="B172" s="951">
        <f>B171+B166+B161</f>
        <v>4638437706</v>
      </c>
      <c r="C172" s="375">
        <f>C171+C166+C161</f>
        <v>6234179672</v>
      </c>
      <c r="D172" s="732">
        <f t="shared" si="3"/>
        <v>1595741966</v>
      </c>
      <c r="E172" s="155"/>
      <c r="F172" s="156"/>
      <c r="G172" s="156"/>
      <c r="H172" s="157"/>
    </row>
  </sheetData>
  <sheetProtection selectLockedCells="1" selectUnlockedCells="1"/>
  <mergeCells count="1">
    <mergeCell ref="A1:D1"/>
  </mergeCells>
  <phoneticPr fontId="28" type="noConversion"/>
  <printOptions horizontalCentered="1"/>
  <pageMargins left="0.24027777777777778" right="0.24027777777777778" top="0.70833333333333326" bottom="0.31527777777777777" header="0.19652777777777777" footer="0.51180555555555551"/>
  <pageSetup paperSize="9" scale="53" firstPageNumber="0" orientation="portrait" r:id="rId1"/>
  <headerFooter alignWithMargins="0">
    <oddHeader>&amp;C
7. melléklet az önkormányzat 2017. évi költségvetéséről szóló 8/2017. (II.24.) önkormányzati rendeletéhez&amp;R
&amp;P. oldal</oddHeader>
  </headerFooter>
  <rowBreaks count="3" manualBreakCount="3">
    <brk id="33" max="3" man="1"/>
    <brk id="95" max="3" man="1"/>
    <brk id="143"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L62"/>
  <sheetViews>
    <sheetView view="pageLayout" topLeftCell="C1" zoomScaleNormal="100" zoomScaleSheetLayoutView="89" workbookViewId="0">
      <selection activeCell="G16" sqref="G16"/>
    </sheetView>
  </sheetViews>
  <sheetFormatPr defaultColWidth="9.109375" defaultRowHeight="13.2" x14ac:dyDescent="0.25"/>
  <cols>
    <col min="1" max="1" width="45.6640625" style="90" customWidth="1"/>
    <col min="2" max="2" width="18.88671875" style="344" customWidth="1"/>
    <col min="3" max="3" width="17.88671875" style="344" customWidth="1"/>
    <col min="4" max="4" width="18.88671875" style="344" customWidth="1"/>
    <col min="5" max="5" width="45.88671875" style="90" customWidth="1"/>
    <col min="6" max="6" width="19" style="344" customWidth="1"/>
    <col min="7" max="7" width="21.44140625" style="344" bestFit="1" customWidth="1"/>
    <col min="8" max="8" width="19" style="344" customWidth="1"/>
    <col min="9" max="9" width="9.109375" style="12"/>
    <col min="10" max="10" width="11.88671875" style="12" customWidth="1"/>
    <col min="11" max="11" width="9.109375" style="12"/>
    <col min="12" max="12" width="12.33203125" style="12" customWidth="1"/>
    <col min="13" max="16384" width="9.109375" style="12"/>
  </cols>
  <sheetData>
    <row r="2" spans="1:12" x14ac:dyDescent="0.25">
      <c r="C2" s="1567" t="s">
        <v>937</v>
      </c>
      <c r="D2" s="1567"/>
      <c r="E2" s="1567"/>
      <c r="F2" s="1567"/>
      <c r="G2" s="1567"/>
      <c r="H2" s="1567"/>
    </row>
    <row r="4" spans="1:12" ht="15.75" customHeight="1" x14ac:dyDescent="0.3">
      <c r="A4" s="1566" t="s">
        <v>6</v>
      </c>
      <c r="B4" s="1566"/>
      <c r="C4" s="1566"/>
      <c r="D4" s="1566"/>
      <c r="E4" s="1566"/>
      <c r="F4" s="1566"/>
      <c r="G4" s="1566"/>
      <c r="H4" s="1566"/>
    </row>
    <row r="5" spans="1:12" ht="13.8" thickBot="1" x14ac:dyDescent="0.3"/>
    <row r="6" spans="1:12" s="90" customFormat="1" ht="27" thickBot="1" x14ac:dyDescent="0.3">
      <c r="A6" s="312" t="s">
        <v>567</v>
      </c>
      <c r="B6" s="613" t="s">
        <v>75</v>
      </c>
      <c r="C6" s="614" t="s">
        <v>228</v>
      </c>
      <c r="D6" s="615" t="s">
        <v>229</v>
      </c>
      <c r="E6" s="312" t="s">
        <v>568</v>
      </c>
      <c r="F6" s="613" t="s">
        <v>75</v>
      </c>
      <c r="G6" s="614" t="s">
        <v>228</v>
      </c>
      <c r="H6" s="615" t="s">
        <v>229</v>
      </c>
    </row>
    <row r="7" spans="1:12" ht="26.25" customHeight="1" x14ac:dyDescent="0.25">
      <c r="A7" s="317" t="s">
        <v>569</v>
      </c>
      <c r="B7" s="961">
        <f>'2.sz.tábla   (2)'!K6</f>
        <v>1142330655</v>
      </c>
      <c r="C7" s="965">
        <f>'2.sz.tábla   (2)'!L6</f>
        <v>1486989512</v>
      </c>
      <c r="D7" s="752">
        <f>C7-B7</f>
        <v>344658857</v>
      </c>
      <c r="E7" s="314" t="s">
        <v>406</v>
      </c>
      <c r="F7" s="961">
        <f>'4.sz.tábla '!B11</f>
        <v>480785229</v>
      </c>
      <c r="G7" s="965">
        <f>'4.sz.tábla '!C11</f>
        <v>498493391</v>
      </c>
      <c r="H7" s="752">
        <f>G7-F7</f>
        <v>17708162</v>
      </c>
    </row>
    <row r="8" spans="1:12" ht="13.8" x14ac:dyDescent="0.25">
      <c r="A8" s="322" t="s">
        <v>570</v>
      </c>
      <c r="B8" s="962">
        <f>'2.sz.tábla   (2)'!K29</f>
        <v>1675900000</v>
      </c>
      <c r="C8" s="355">
        <f>'2.sz.tábla   (2)'!L29</f>
        <v>1675900000</v>
      </c>
      <c r="D8" s="345">
        <f>C8-B8</f>
        <v>0</v>
      </c>
      <c r="E8" s="221" t="s">
        <v>571</v>
      </c>
      <c r="F8" s="962">
        <f>'4.sz.tábla '!E11</f>
        <v>108154075</v>
      </c>
      <c r="G8" s="355">
        <f>'4.sz.tábla '!F11</f>
        <v>117582245</v>
      </c>
      <c r="H8" s="345">
        <f>G8-F8</f>
        <v>9428170</v>
      </c>
    </row>
    <row r="9" spans="1:12" ht="15" x14ac:dyDescent="0.25">
      <c r="A9" s="151" t="s">
        <v>572</v>
      </c>
      <c r="B9" s="962">
        <f>'2.sz.tábla   (2)'!K42</f>
        <v>602267389</v>
      </c>
      <c r="C9" s="355">
        <f>'2.sz.tábla   (2)'!L42</f>
        <v>602267389</v>
      </c>
      <c r="D9" s="345">
        <f t="shared" ref="D9:D25" si="0">C9-B9</f>
        <v>0</v>
      </c>
      <c r="E9" s="221" t="s">
        <v>575</v>
      </c>
      <c r="F9" s="962">
        <f>'4.sz.tábla '!H11</f>
        <v>914910078</v>
      </c>
      <c r="G9" s="355">
        <f>'4.sz.tábla '!I11</f>
        <v>1312932384</v>
      </c>
      <c r="H9" s="345">
        <f t="shared" ref="H9:H25" si="1">G9-F9</f>
        <v>398022306</v>
      </c>
      <c r="J9" s="9"/>
      <c r="K9" s="10"/>
      <c r="L9" s="10"/>
    </row>
    <row r="10" spans="1:12" ht="27.6" x14ac:dyDescent="0.25">
      <c r="A10" s="322" t="s">
        <v>576</v>
      </c>
      <c r="B10" s="962">
        <f>'2.sz.tábla   (2)'!K65</f>
        <v>5600000</v>
      </c>
      <c r="C10" s="355">
        <f>'2.sz.tábla   (2)'!L65</f>
        <v>6150575</v>
      </c>
      <c r="D10" s="345">
        <f t="shared" si="0"/>
        <v>550575</v>
      </c>
      <c r="E10" s="151" t="s">
        <v>427</v>
      </c>
      <c r="F10" s="962">
        <f>'4.sz.tábla '!K11</f>
        <v>31594400</v>
      </c>
      <c r="G10" s="355">
        <f>'4.sz.tábla '!L11</f>
        <v>31096900</v>
      </c>
      <c r="H10" s="345">
        <f t="shared" si="1"/>
        <v>-497500</v>
      </c>
    </row>
    <row r="11" spans="1:12" ht="13.8" x14ac:dyDescent="0.25">
      <c r="A11" s="221"/>
      <c r="B11" s="962"/>
      <c r="C11" s="355"/>
      <c r="D11" s="345">
        <f t="shared" si="0"/>
        <v>0</v>
      </c>
      <c r="E11" s="221" t="s">
        <v>402</v>
      </c>
      <c r="F11" s="962">
        <f>SUM(F12:F15)</f>
        <v>1009956391</v>
      </c>
      <c r="G11" s="353">
        <f>SUM(G12:G15)</f>
        <v>997715031</v>
      </c>
      <c r="H11" s="345">
        <f t="shared" si="1"/>
        <v>-12241360</v>
      </c>
    </row>
    <row r="12" spans="1:12" ht="13.8" x14ac:dyDescent="0.25">
      <c r="A12" s="221"/>
      <c r="B12" s="962"/>
      <c r="C12" s="355"/>
      <c r="D12" s="345">
        <f t="shared" si="0"/>
        <v>0</v>
      </c>
      <c r="E12" s="221" t="s">
        <v>665</v>
      </c>
      <c r="F12" s="962">
        <f>'5.tábla (2)'!B102</f>
        <v>1080</v>
      </c>
      <c r="G12" s="355">
        <f>'5.tábla (2)'!C102</f>
        <v>1080</v>
      </c>
      <c r="H12" s="345">
        <f t="shared" si="1"/>
        <v>0</v>
      </c>
    </row>
    <row r="13" spans="1:12" ht="27.6" x14ac:dyDescent="0.25">
      <c r="A13" s="322"/>
      <c r="B13" s="962"/>
      <c r="C13" s="355"/>
      <c r="D13" s="345">
        <f t="shared" si="0"/>
        <v>0</v>
      </c>
      <c r="E13" s="221" t="s">
        <v>666</v>
      </c>
      <c r="F13" s="962">
        <f>'5.tábla (2)'!B106</f>
        <v>513966253</v>
      </c>
      <c r="G13" s="355">
        <f>'5.tábla (2)'!C106+'5.tábla (2)'!C19</f>
        <v>499699893</v>
      </c>
      <c r="H13" s="345">
        <f t="shared" si="1"/>
        <v>-14266360</v>
      </c>
    </row>
    <row r="14" spans="1:12" ht="27.6" x14ac:dyDescent="0.25">
      <c r="A14" s="323"/>
      <c r="B14" s="962"/>
      <c r="C14" s="355"/>
      <c r="D14" s="345">
        <f t="shared" si="0"/>
        <v>0</v>
      </c>
      <c r="E14" s="325" t="s">
        <v>667</v>
      </c>
      <c r="F14" s="962">
        <f>'5.tábla (2)'!B113</f>
        <v>495989058</v>
      </c>
      <c r="G14" s="355">
        <f>'5.tábla (2)'!C113</f>
        <v>498014058</v>
      </c>
      <c r="H14" s="345">
        <f t="shared" si="1"/>
        <v>2025000</v>
      </c>
    </row>
    <row r="15" spans="1:12" ht="27.6" x14ac:dyDescent="0.25">
      <c r="A15" s="322"/>
      <c r="B15" s="962"/>
      <c r="C15" s="355"/>
      <c r="D15" s="345">
        <f t="shared" si="0"/>
        <v>0</v>
      </c>
      <c r="E15" s="221" t="s">
        <v>668</v>
      </c>
      <c r="F15" s="962">
        <f>'5.tábla (2)'!B108</f>
        <v>0</v>
      </c>
      <c r="G15" s="355">
        <f>'5.tábla (2)'!C108</f>
        <v>0</v>
      </c>
      <c r="H15" s="345">
        <f t="shared" si="1"/>
        <v>0</v>
      </c>
    </row>
    <row r="16" spans="1:12" ht="13.8" x14ac:dyDescent="0.25">
      <c r="A16" s="221"/>
      <c r="B16" s="962"/>
      <c r="C16" s="355"/>
      <c r="D16" s="345">
        <f t="shared" si="0"/>
        <v>0</v>
      </c>
      <c r="E16" s="151" t="s">
        <v>651</v>
      </c>
      <c r="F16" s="962">
        <f>'1.sz.tábla   (2)'!B30-'8. sz. tábla  (3)'!F38</f>
        <v>88061748</v>
      </c>
      <c r="G16" s="355">
        <f>'1.sz.tábla   (2)'!C30-'8. sz. tábla  (3)'!G38</f>
        <v>80556761</v>
      </c>
      <c r="H16" s="345">
        <f t="shared" si="1"/>
        <v>-7504987</v>
      </c>
    </row>
    <row r="17" spans="1:8" s="3" customFormat="1" ht="13.8" x14ac:dyDescent="0.25">
      <c r="A17" s="223" t="s">
        <v>577</v>
      </c>
      <c r="B17" s="964">
        <f>SUM(B7:B16)</f>
        <v>3426098044</v>
      </c>
      <c r="C17" s="346">
        <f>SUM(C7:C16)</f>
        <v>3771307476</v>
      </c>
      <c r="D17" s="360">
        <f t="shared" si="0"/>
        <v>345209432</v>
      </c>
      <c r="E17" s="313" t="s">
        <v>578</v>
      </c>
      <c r="F17" s="963">
        <f>F7+F8+F9+F10+F11+F16</f>
        <v>2633461921</v>
      </c>
      <c r="G17" s="346">
        <f>G7+G8+G9+G10+G11+G16</f>
        <v>3038376712</v>
      </c>
      <c r="H17" s="360">
        <f t="shared" si="1"/>
        <v>404914791</v>
      </c>
    </row>
    <row r="18" spans="1:8" s="3" customFormat="1" ht="13.8" x14ac:dyDescent="0.25">
      <c r="A18" s="223" t="s">
        <v>579</v>
      </c>
      <c r="B18" s="964">
        <f>B17-F17</f>
        <v>792636123</v>
      </c>
      <c r="C18" s="346">
        <f>C17-G17</f>
        <v>732930764</v>
      </c>
      <c r="D18" s="360">
        <f t="shared" si="0"/>
        <v>-59705359</v>
      </c>
      <c r="E18" s="223" t="s">
        <v>580</v>
      </c>
      <c r="F18" s="963"/>
      <c r="G18" s="346"/>
      <c r="H18" s="360">
        <f t="shared" si="1"/>
        <v>0</v>
      </c>
    </row>
    <row r="19" spans="1:8" s="3" customFormat="1" ht="27.6" x14ac:dyDescent="0.25">
      <c r="A19" s="324" t="s">
        <v>581</v>
      </c>
      <c r="B19" s="964">
        <f>SUM(B20)</f>
        <v>124713457</v>
      </c>
      <c r="C19" s="346">
        <f>SUM(C20)</f>
        <v>351757590</v>
      </c>
      <c r="D19" s="360">
        <f t="shared" si="0"/>
        <v>227044133</v>
      </c>
      <c r="E19" s="223" t="s">
        <v>582</v>
      </c>
      <c r="F19" s="964">
        <f>SUM(F20:F23)</f>
        <v>44090809</v>
      </c>
      <c r="G19" s="346">
        <f>SUM(G20:G23)</f>
        <v>44090809</v>
      </c>
      <c r="H19" s="360">
        <f t="shared" si="1"/>
        <v>0</v>
      </c>
    </row>
    <row r="20" spans="1:8" ht="13.8" x14ac:dyDescent="0.25">
      <c r="A20" s="221" t="s">
        <v>583</v>
      </c>
      <c r="B20" s="962">
        <f>'2.sz.tábla   (2)'!K76</f>
        <v>124713457</v>
      </c>
      <c r="C20" s="355">
        <f>'2.sz.tábla   (2)'!L76</f>
        <v>351757590</v>
      </c>
      <c r="D20" s="345">
        <f t="shared" si="0"/>
        <v>227044133</v>
      </c>
      <c r="E20" s="221" t="s">
        <v>670</v>
      </c>
      <c r="F20" s="962">
        <f>'7. sz. tábla 1'!B165</f>
        <v>44090809</v>
      </c>
      <c r="G20" s="355">
        <f>'7. sz. tábla 1'!C165</f>
        <v>44090809</v>
      </c>
      <c r="H20" s="345">
        <f t="shared" si="1"/>
        <v>0</v>
      </c>
    </row>
    <row r="21" spans="1:8" s="3" customFormat="1" ht="27.6" x14ac:dyDescent="0.25">
      <c r="A21" s="223" t="s">
        <v>584</v>
      </c>
      <c r="B21" s="966">
        <f>SUM(B22:B24)</f>
        <v>12800000</v>
      </c>
      <c r="C21" s="347">
        <f>SUM(C22:C24)</f>
        <v>12800000</v>
      </c>
      <c r="D21" s="360">
        <f t="shared" si="0"/>
        <v>0</v>
      </c>
      <c r="E21" s="223" t="s">
        <v>671</v>
      </c>
      <c r="F21" s="963"/>
      <c r="G21" s="346"/>
      <c r="H21" s="345">
        <f t="shared" si="1"/>
        <v>0</v>
      </c>
    </row>
    <row r="22" spans="1:8" ht="13.8" x14ac:dyDescent="0.25">
      <c r="A22" s="315" t="s">
        <v>585</v>
      </c>
      <c r="B22" s="962"/>
      <c r="C22" s="353"/>
      <c r="D22" s="345">
        <f t="shared" si="0"/>
        <v>0</v>
      </c>
      <c r="E22" s="221" t="s">
        <v>700</v>
      </c>
      <c r="F22" s="962"/>
      <c r="G22" s="346"/>
      <c r="H22" s="345">
        <f t="shared" si="1"/>
        <v>0</v>
      </c>
    </row>
    <row r="23" spans="1:8" ht="13.8" x14ac:dyDescent="0.25">
      <c r="A23" s="221" t="s">
        <v>586</v>
      </c>
      <c r="B23" s="962"/>
      <c r="C23" s="353"/>
      <c r="D23" s="345">
        <f t="shared" si="0"/>
        <v>0</v>
      </c>
      <c r="E23" s="325" t="s">
        <v>698</v>
      </c>
      <c r="F23" s="962"/>
      <c r="G23" s="753"/>
      <c r="H23" s="345">
        <f t="shared" si="1"/>
        <v>0</v>
      </c>
    </row>
    <row r="24" spans="1:8" ht="27.6" x14ac:dyDescent="0.25">
      <c r="A24" s="315" t="s">
        <v>699</v>
      </c>
      <c r="B24" s="962">
        <f>'2.sz.tábla   (2)'!K89</f>
        <v>12800000</v>
      </c>
      <c r="C24" s="355">
        <f>'2.sz.tábla   (2)'!L89</f>
        <v>12800000</v>
      </c>
      <c r="D24" s="345">
        <f t="shared" si="0"/>
        <v>0</v>
      </c>
      <c r="E24" s="326"/>
      <c r="F24" s="962"/>
      <c r="G24" s="753"/>
      <c r="H24" s="345">
        <f t="shared" si="1"/>
        <v>0</v>
      </c>
    </row>
    <row r="25" spans="1:8" s="3" customFormat="1" ht="14.4" thickBot="1" x14ac:dyDescent="0.3">
      <c r="A25" s="224" t="s">
        <v>587</v>
      </c>
      <c r="B25" s="967">
        <f>B17+B19+B21</f>
        <v>3563611501</v>
      </c>
      <c r="C25" s="348">
        <f>C17+C19+C21</f>
        <v>4135865066</v>
      </c>
      <c r="D25" s="371">
        <f t="shared" si="0"/>
        <v>572253565</v>
      </c>
      <c r="E25" s="224" t="s">
        <v>588</v>
      </c>
      <c r="F25" s="361">
        <f>F19+F17</f>
        <v>2677552730</v>
      </c>
      <c r="G25" s="348">
        <f>G19+G17</f>
        <v>3082467521</v>
      </c>
      <c r="H25" s="371">
        <f t="shared" si="1"/>
        <v>404914791</v>
      </c>
    </row>
    <row r="26" spans="1:8" ht="14.4" thickBot="1" x14ac:dyDescent="0.3">
      <c r="A26" s="225"/>
      <c r="B26" s="350"/>
      <c r="C26" s="349"/>
      <c r="D26" s="350"/>
      <c r="E26" s="342" t="s">
        <v>34</v>
      </c>
      <c r="F26" s="362">
        <f>B25-F25</f>
        <v>886058771</v>
      </c>
      <c r="G26" s="362">
        <f>C25-G25</f>
        <v>1053397545</v>
      </c>
      <c r="H26" s="362">
        <f>D25-H25</f>
        <v>167338774</v>
      </c>
    </row>
    <row r="27" spans="1:8" ht="15.75" customHeight="1" x14ac:dyDescent="0.3">
      <c r="A27" s="1566" t="s">
        <v>7</v>
      </c>
      <c r="B27" s="1566"/>
      <c r="C27" s="1566"/>
      <c r="D27" s="1566"/>
      <c r="E27" s="1566"/>
      <c r="F27" s="1566"/>
      <c r="G27" s="1566"/>
      <c r="H27" s="1566"/>
    </row>
    <row r="28" spans="1:8" ht="13.8" thickBot="1" x14ac:dyDescent="0.3"/>
    <row r="29" spans="1:8" s="90" customFormat="1" ht="27" thickBot="1" x14ac:dyDescent="0.3">
      <c r="A29" s="312" t="s">
        <v>589</v>
      </c>
      <c r="B29" s="613" t="s">
        <v>75</v>
      </c>
      <c r="C29" s="614" t="s">
        <v>228</v>
      </c>
      <c r="D29" s="615" t="s">
        <v>229</v>
      </c>
      <c r="E29" s="312" t="s">
        <v>590</v>
      </c>
      <c r="F29" s="613" t="s">
        <v>75</v>
      </c>
      <c r="G29" s="614" t="s">
        <v>228</v>
      </c>
      <c r="H29" s="615" t="s">
        <v>229</v>
      </c>
    </row>
    <row r="30" spans="1:8" ht="27.6" x14ac:dyDescent="0.25">
      <c r="A30" s="321" t="s">
        <v>591</v>
      </c>
      <c r="B30" s="961">
        <f>'2.sz.tábla   (2)'!K21</f>
        <v>1798268854</v>
      </c>
      <c r="C30" s="965">
        <f>'2.sz.tábla   (2)'!L21</f>
        <v>2362779525</v>
      </c>
      <c r="D30" s="752">
        <f>C30-B30</f>
        <v>564510671</v>
      </c>
      <c r="E30" s="151" t="s">
        <v>592</v>
      </c>
      <c r="F30" s="961">
        <f>'7. sz. tábla 1'!B95</f>
        <v>3738509802</v>
      </c>
      <c r="G30" s="965">
        <f>'7. sz. tábla 1'!C95</f>
        <v>3808718660</v>
      </c>
      <c r="H30" s="752">
        <f>G30-F30</f>
        <v>70208858</v>
      </c>
    </row>
    <row r="31" spans="1:8" ht="13.8" x14ac:dyDescent="0.25">
      <c r="A31" s="221" t="s">
        <v>593</v>
      </c>
      <c r="B31" s="962">
        <f>'2.sz.tábla   (2)'!K57</f>
        <v>171355383</v>
      </c>
      <c r="C31" s="355">
        <f>'2.sz.tábla   (2)'!L57</f>
        <v>171355383</v>
      </c>
      <c r="D31" s="345">
        <f>C31-B31</f>
        <v>0</v>
      </c>
      <c r="E31" s="221" t="s">
        <v>594</v>
      </c>
      <c r="F31" s="962">
        <f>'4.sz.tábla '!V9</f>
        <v>6571000</v>
      </c>
      <c r="G31" s="355">
        <f>'4.sz.tábla '!W9</f>
        <v>12423318</v>
      </c>
      <c r="H31" s="345">
        <f>G31-F31</f>
        <v>5852318</v>
      </c>
    </row>
    <row r="32" spans="1:8" ht="13.8" x14ac:dyDescent="0.25">
      <c r="A32" s="221" t="s">
        <v>595</v>
      </c>
      <c r="B32" s="962">
        <f>'2.sz.tábla   (2)'!K69</f>
        <v>85818959</v>
      </c>
      <c r="C32" s="355">
        <f>'2.sz.tábla   (2)'!L69</f>
        <v>275818959</v>
      </c>
      <c r="D32" s="345">
        <f t="shared" ref="D32:D46" si="2">C32-B32</f>
        <v>190000000</v>
      </c>
      <c r="E32" s="221" t="s">
        <v>596</v>
      </c>
      <c r="F32" s="962">
        <f>'7. sz. tábla 1'!B171</f>
        <v>93139339</v>
      </c>
      <c r="G32" s="355">
        <f>'7. sz. tábla 1'!C171</f>
        <v>94245404</v>
      </c>
      <c r="H32" s="345">
        <f t="shared" ref="H32:H46" si="3">G32-F32</f>
        <v>1106065</v>
      </c>
    </row>
    <row r="33" spans="1:10" ht="13.8" x14ac:dyDescent="0.25">
      <c r="A33" s="221"/>
      <c r="B33" s="962"/>
      <c r="C33" s="355"/>
      <c r="D33" s="345"/>
      <c r="E33" s="221" t="s">
        <v>597</v>
      </c>
      <c r="F33" s="962">
        <f>SUM(F34:F37)</f>
        <v>688455332</v>
      </c>
      <c r="G33" s="353">
        <f>SUM(G34:G37)</f>
        <v>902535375</v>
      </c>
      <c r="H33" s="345">
        <f t="shared" si="3"/>
        <v>214080043</v>
      </c>
    </row>
    <row r="34" spans="1:10" ht="27.6" x14ac:dyDescent="0.25">
      <c r="A34" s="221"/>
      <c r="B34" s="962"/>
      <c r="C34" s="754"/>
      <c r="D34" s="345"/>
      <c r="E34" s="221" t="s">
        <v>598</v>
      </c>
      <c r="F34" s="962">
        <f>'7. sz. tábla 1'!B111</f>
        <v>371218364</v>
      </c>
      <c r="G34" s="355">
        <f>'7. sz. tábla 1'!C111</f>
        <v>384498407</v>
      </c>
      <c r="H34" s="345">
        <f t="shared" si="3"/>
        <v>13280043</v>
      </c>
    </row>
    <row r="35" spans="1:10" ht="27" customHeight="1" x14ac:dyDescent="0.25">
      <c r="A35" s="221"/>
      <c r="B35" s="962"/>
      <c r="C35" s="754"/>
      <c r="D35" s="345"/>
      <c r="E35" s="222" t="s">
        <v>599</v>
      </c>
      <c r="F35" s="962">
        <f>'7. sz. tábla 1'!B106</f>
        <v>2550000</v>
      </c>
      <c r="G35" s="355">
        <f>'7. sz. tábla 1'!C106</f>
        <v>2550000</v>
      </c>
      <c r="H35" s="345">
        <f t="shared" si="3"/>
        <v>0</v>
      </c>
    </row>
    <row r="36" spans="1:10" ht="27.6" x14ac:dyDescent="0.25">
      <c r="A36" s="221"/>
      <c r="B36" s="962"/>
      <c r="C36" s="355"/>
      <c r="D36" s="345"/>
      <c r="E36" s="221" t="s">
        <v>705</v>
      </c>
      <c r="F36" s="962">
        <f>'7. sz. tábla 1'!B105</f>
        <v>0</v>
      </c>
      <c r="G36" s="355">
        <f>'7. sz. tábla 1'!C105</f>
        <v>0</v>
      </c>
      <c r="H36" s="345">
        <f t="shared" si="3"/>
        <v>0</v>
      </c>
    </row>
    <row r="37" spans="1:10" ht="27.6" x14ac:dyDescent="0.25">
      <c r="A37" s="221"/>
      <c r="B37" s="962"/>
      <c r="C37" s="355"/>
      <c r="D37" s="345"/>
      <c r="E37" s="221" t="s">
        <v>600</v>
      </c>
      <c r="F37" s="962">
        <f>'7. sz. tábla 1'!B98</f>
        <v>314686968</v>
      </c>
      <c r="G37" s="355">
        <f>'7. sz. tábla 1'!C98</f>
        <v>515486968</v>
      </c>
      <c r="H37" s="345">
        <f t="shared" si="3"/>
        <v>200800000</v>
      </c>
    </row>
    <row r="38" spans="1:10" ht="13.8" x14ac:dyDescent="0.25">
      <c r="A38" s="221"/>
      <c r="B38" s="962"/>
      <c r="C38" s="355"/>
      <c r="D38" s="345"/>
      <c r="E38" s="151" t="s">
        <v>32</v>
      </c>
      <c r="F38" s="962">
        <f>'1.sz.tábla   (2)'!B41+'1.sz.tábla   (2)'!B43+'1.sz.tábla   (2)'!B44+'1.sz.tábla   (2)'!B46+'1.sz.tábla   (2)'!B51</f>
        <v>188226992</v>
      </c>
      <c r="G38" s="355">
        <f>'1.sz.tábla   (2)'!C41+'1.sz.tábla   (2)'!C43+'1.sz.tábla   (2)'!C44+'1.sz.tábla   (2)'!C46+'1.sz.tábla   (2)'!C54+'1.sz.tábla   (2)'!C55+'1.sz.tábla   (2)'!C56+'1.sz.tábla   (2)'!C57</f>
        <v>858527797</v>
      </c>
      <c r="H38" s="345">
        <f t="shared" si="3"/>
        <v>670300805</v>
      </c>
      <c r="J38" s="62">
        <f>H38+H16</f>
        <v>662795818</v>
      </c>
    </row>
    <row r="39" spans="1:10" s="3" customFormat="1" ht="13.8" x14ac:dyDescent="0.25">
      <c r="A39" s="223" t="s">
        <v>601</v>
      </c>
      <c r="B39" s="964">
        <f>SUM(B30:B36)</f>
        <v>2055443196</v>
      </c>
      <c r="C39" s="346">
        <f>SUM(C30:C36)</f>
        <v>2809953867</v>
      </c>
      <c r="D39" s="360">
        <f t="shared" si="2"/>
        <v>754510671</v>
      </c>
      <c r="E39" s="223" t="s">
        <v>602</v>
      </c>
      <c r="F39" s="964">
        <f>F30+F31+F32+F33+F38</f>
        <v>4714902465</v>
      </c>
      <c r="G39" s="346">
        <f>G30+G31+G32+G33+G38</f>
        <v>5676450554</v>
      </c>
      <c r="H39" s="360">
        <f t="shared" si="3"/>
        <v>961548089</v>
      </c>
    </row>
    <row r="40" spans="1:10" s="3" customFormat="1" ht="13.8" x14ac:dyDescent="0.25">
      <c r="A40" s="223" t="s">
        <v>603</v>
      </c>
      <c r="B40" s="964"/>
      <c r="C40" s="346"/>
      <c r="D40" s="345">
        <f t="shared" si="2"/>
        <v>0</v>
      </c>
      <c r="E40" s="223" t="s">
        <v>606</v>
      </c>
      <c r="F40" s="359">
        <f>B39-F39</f>
        <v>-2659459269</v>
      </c>
      <c r="G40" s="346">
        <f>C39-G39</f>
        <v>-2866496687</v>
      </c>
      <c r="H40" s="360">
        <f t="shared" si="3"/>
        <v>-207037418</v>
      </c>
    </row>
    <row r="41" spans="1:10" s="3" customFormat="1" ht="27.6" x14ac:dyDescent="0.25">
      <c r="A41" s="223" t="s">
        <v>607</v>
      </c>
      <c r="B41" s="964">
        <f>SUM(B42)</f>
        <v>666462922</v>
      </c>
      <c r="C41" s="346">
        <f>SUM(C42)</f>
        <v>705328566</v>
      </c>
      <c r="D41" s="360">
        <f t="shared" si="2"/>
        <v>38865644</v>
      </c>
      <c r="E41" s="223" t="s">
        <v>608</v>
      </c>
      <c r="F41" s="359">
        <f>SUM(F42:F43)</f>
        <v>74242424</v>
      </c>
      <c r="G41" s="346">
        <f>SUM(G42:G43)</f>
        <v>1384589424</v>
      </c>
      <c r="H41" s="360">
        <f t="shared" si="3"/>
        <v>1310347000</v>
      </c>
    </row>
    <row r="42" spans="1:10" ht="13.8" x14ac:dyDescent="0.25">
      <c r="A42" s="221" t="s">
        <v>609</v>
      </c>
      <c r="B42" s="962">
        <f>'2.sz.tábla   (2)'!K77</f>
        <v>666462922</v>
      </c>
      <c r="C42" s="355">
        <f>'2.sz.tábla   (2)'!L77</f>
        <v>705328566</v>
      </c>
      <c r="D42" s="345">
        <f t="shared" si="2"/>
        <v>38865644</v>
      </c>
      <c r="E42" s="221" t="s">
        <v>915</v>
      </c>
      <c r="F42" s="960"/>
      <c r="G42" s="353">
        <f>'7. sz. tábla 1'!C164</f>
        <v>1310347000</v>
      </c>
      <c r="H42" s="345">
        <f t="shared" si="3"/>
        <v>1310347000</v>
      </c>
    </row>
    <row r="43" spans="1:10" s="3" customFormat="1" ht="27.6" x14ac:dyDescent="0.25">
      <c r="A43" s="223" t="s">
        <v>611</v>
      </c>
      <c r="B43" s="964">
        <f>SUM(B44:B45)</f>
        <v>1181180000</v>
      </c>
      <c r="C43" s="346">
        <f>SUM(C44:C45)</f>
        <v>2492360000</v>
      </c>
      <c r="D43" s="360">
        <f t="shared" si="2"/>
        <v>1311180000</v>
      </c>
      <c r="E43" s="221" t="s">
        <v>612</v>
      </c>
      <c r="F43" s="960">
        <f>'7. sz. tábla 1'!B163</f>
        <v>74242424</v>
      </c>
      <c r="G43" s="353">
        <f>'7. sz. tábla 1'!C163</f>
        <v>74242424</v>
      </c>
      <c r="H43" s="345">
        <f t="shared" si="3"/>
        <v>0</v>
      </c>
    </row>
    <row r="44" spans="1:10" ht="13.8" x14ac:dyDescent="0.25">
      <c r="A44" s="315" t="s">
        <v>613</v>
      </c>
      <c r="B44" s="962">
        <f>'2.sz.tábla   (2)'!K83</f>
        <v>1181180000</v>
      </c>
      <c r="C44" s="355">
        <f>'2.sz.tábla   (2)'!L83</f>
        <v>2492360000</v>
      </c>
      <c r="D44" s="345">
        <f t="shared" si="2"/>
        <v>1311180000</v>
      </c>
      <c r="E44" s="221" t="s">
        <v>669</v>
      </c>
      <c r="F44" s="960"/>
      <c r="G44" s="353"/>
      <c r="H44" s="345">
        <f t="shared" si="3"/>
        <v>0</v>
      </c>
    </row>
    <row r="45" spans="1:10" ht="13.8" x14ac:dyDescent="0.25">
      <c r="A45" s="221" t="s">
        <v>614</v>
      </c>
      <c r="B45" s="363"/>
      <c r="C45" s="353"/>
      <c r="D45" s="345">
        <f t="shared" si="2"/>
        <v>0</v>
      </c>
      <c r="E45" s="221"/>
      <c r="F45" s="358"/>
      <c r="G45" s="353"/>
      <c r="H45" s="345">
        <f t="shared" si="3"/>
        <v>0</v>
      </c>
    </row>
    <row r="46" spans="1:10" s="3" customFormat="1" ht="14.4" thickBot="1" x14ac:dyDescent="0.3">
      <c r="A46" s="224" t="s">
        <v>615</v>
      </c>
      <c r="B46" s="361">
        <f>B39+B41+B43</f>
        <v>3903086118</v>
      </c>
      <c r="C46" s="348">
        <f>C39+C41+C43</f>
        <v>6007642433</v>
      </c>
      <c r="D46" s="371">
        <f t="shared" si="2"/>
        <v>2104556315</v>
      </c>
      <c r="E46" s="224" t="s">
        <v>616</v>
      </c>
      <c r="F46" s="361">
        <f>F39+F41</f>
        <v>4789144889</v>
      </c>
      <c r="G46" s="348">
        <f>G39+G41</f>
        <v>7061039978</v>
      </c>
      <c r="H46" s="371">
        <f t="shared" si="3"/>
        <v>2271895089</v>
      </c>
    </row>
    <row r="47" spans="1:10" x14ac:dyDescent="0.25">
      <c r="A47" s="11"/>
      <c r="B47" s="352"/>
      <c r="C47" s="352"/>
      <c r="D47" s="352"/>
      <c r="E47" s="343" t="s">
        <v>34</v>
      </c>
      <c r="F47" s="366">
        <f>B46-F46</f>
        <v>-886058771</v>
      </c>
      <c r="G47" s="366">
        <f>C46-G46</f>
        <v>-1053397545</v>
      </c>
      <c r="H47" s="968">
        <f>G47-F47</f>
        <v>-167338774</v>
      </c>
    </row>
    <row r="48" spans="1:10" ht="15.75" customHeight="1" x14ac:dyDescent="0.3">
      <c r="A48" s="1566" t="s">
        <v>721</v>
      </c>
      <c r="B48" s="1566"/>
      <c r="C48" s="1566"/>
      <c r="D48" s="1566"/>
      <c r="E48" s="1566"/>
      <c r="F48" s="1566"/>
      <c r="G48" s="1566"/>
      <c r="H48" s="1566"/>
    </row>
    <row r="49" spans="1:8" ht="13.8" thickBot="1" x14ac:dyDescent="0.3"/>
    <row r="50" spans="1:8" s="90" customFormat="1" ht="27" thickBot="1" x14ac:dyDescent="0.3">
      <c r="A50" s="312" t="s">
        <v>617</v>
      </c>
      <c r="B50" s="613" t="s">
        <v>75</v>
      </c>
      <c r="C50" s="614" t="s">
        <v>228</v>
      </c>
      <c r="D50" s="615" t="s">
        <v>229</v>
      </c>
      <c r="E50" s="312" t="s">
        <v>618</v>
      </c>
      <c r="F50" s="613" t="s">
        <v>75</v>
      </c>
      <c r="G50" s="614" t="s">
        <v>228</v>
      </c>
      <c r="H50" s="615" t="s">
        <v>229</v>
      </c>
    </row>
    <row r="51" spans="1:8" ht="13.8" x14ac:dyDescent="0.25">
      <c r="A51" s="314" t="s">
        <v>619</v>
      </c>
      <c r="B51" s="357">
        <f>B17</f>
        <v>3426098044</v>
      </c>
      <c r="C51" s="751">
        <f>C17</f>
        <v>3771307476</v>
      </c>
      <c r="D51" s="755">
        <f>C51-B51</f>
        <v>345209432</v>
      </c>
      <c r="E51" s="151" t="s">
        <v>620</v>
      </c>
      <c r="F51" s="357">
        <f>F17</f>
        <v>2633461921</v>
      </c>
      <c r="G51" s="751">
        <f>G17</f>
        <v>3038376712</v>
      </c>
      <c r="H51" s="755">
        <f>G51-F51</f>
        <v>404914791</v>
      </c>
    </row>
    <row r="52" spans="1:8" ht="13.8" x14ac:dyDescent="0.25">
      <c r="A52" s="221" t="s">
        <v>621</v>
      </c>
      <c r="B52" s="358">
        <f>B39</f>
        <v>2055443196</v>
      </c>
      <c r="C52" s="353">
        <f>C39</f>
        <v>2809953867</v>
      </c>
      <c r="D52" s="364">
        <f>C52-B52</f>
        <v>754510671</v>
      </c>
      <c r="E52" s="221" t="s">
        <v>622</v>
      </c>
      <c r="F52" s="358">
        <f>F39</f>
        <v>4714902465</v>
      </c>
      <c r="G52" s="353">
        <f>G39</f>
        <v>5676450554</v>
      </c>
      <c r="H52" s="364">
        <f>G52-F52</f>
        <v>961548089</v>
      </c>
    </row>
    <row r="53" spans="1:8" s="3" customFormat="1" ht="13.8" x14ac:dyDescent="0.25">
      <c r="A53" s="223" t="s">
        <v>784</v>
      </c>
      <c r="B53" s="367">
        <f>SUM(B51:B52)</f>
        <v>5481541240</v>
      </c>
      <c r="C53" s="354">
        <f>SUM(C51:C52)</f>
        <v>6581261343</v>
      </c>
      <c r="D53" s="351">
        <f t="shared" ref="D53:D61" si="4">C53-B53</f>
        <v>1099720103</v>
      </c>
      <c r="E53" s="223" t="s">
        <v>800</v>
      </c>
      <c r="F53" s="367">
        <f>SUM(F51:F52)</f>
        <v>7348364386</v>
      </c>
      <c r="G53" s="354">
        <f>SUM(G51:G52)</f>
        <v>8714827266</v>
      </c>
      <c r="H53" s="351">
        <f t="shared" ref="H53:H61" si="5">G53-F53</f>
        <v>1366462880</v>
      </c>
    </row>
    <row r="54" spans="1:8" s="3" customFormat="1" ht="13.8" x14ac:dyDescent="0.25">
      <c r="A54" s="223" t="s">
        <v>623</v>
      </c>
      <c r="B54" s="367"/>
      <c r="C54" s="354"/>
      <c r="D54" s="364">
        <f t="shared" si="4"/>
        <v>0</v>
      </c>
      <c r="E54" s="223" t="s">
        <v>33</v>
      </c>
      <c r="F54" s="367">
        <f>B53-F53</f>
        <v>-1866823146</v>
      </c>
      <c r="G54" s="354">
        <f>C53-G53</f>
        <v>-2133565923</v>
      </c>
      <c r="H54" s="351">
        <f t="shared" si="5"/>
        <v>-266742777</v>
      </c>
    </row>
    <row r="55" spans="1:8" s="3" customFormat="1" ht="27.6" x14ac:dyDescent="0.25">
      <c r="A55" s="223" t="s">
        <v>624</v>
      </c>
      <c r="B55" s="367">
        <f>SUM(B56:B57)</f>
        <v>791176379</v>
      </c>
      <c r="C55" s="354">
        <f>SUM(C56:C57)</f>
        <v>1057086156</v>
      </c>
      <c r="D55" s="351">
        <f t="shared" si="4"/>
        <v>265909777</v>
      </c>
      <c r="E55" s="223" t="s">
        <v>625</v>
      </c>
      <c r="F55" s="367">
        <f>SUM(F56:F57)</f>
        <v>118333233</v>
      </c>
      <c r="G55" s="354">
        <f>SUM(G56:G57)</f>
        <v>1428680233</v>
      </c>
      <c r="H55" s="351">
        <f t="shared" si="5"/>
        <v>1310347000</v>
      </c>
    </row>
    <row r="56" spans="1:8" ht="27.6" x14ac:dyDescent="0.25">
      <c r="A56" s="221" t="s">
        <v>581</v>
      </c>
      <c r="B56" s="363">
        <f>B19</f>
        <v>124713457</v>
      </c>
      <c r="C56" s="355">
        <f>C19</f>
        <v>351757590</v>
      </c>
      <c r="D56" s="364">
        <f t="shared" si="4"/>
        <v>227044133</v>
      </c>
      <c r="E56" s="221" t="s">
        <v>626</v>
      </c>
      <c r="F56" s="363">
        <f>F19</f>
        <v>44090809</v>
      </c>
      <c r="G56" s="355">
        <f>G19</f>
        <v>44090809</v>
      </c>
      <c r="H56" s="364">
        <f t="shared" si="5"/>
        <v>0</v>
      </c>
    </row>
    <row r="57" spans="1:8" ht="27.6" x14ac:dyDescent="0.25">
      <c r="A57" s="221" t="s">
        <v>607</v>
      </c>
      <c r="B57" s="363">
        <f>B41</f>
        <v>666462922</v>
      </c>
      <c r="C57" s="355">
        <f>C41</f>
        <v>705328566</v>
      </c>
      <c r="D57" s="364">
        <f t="shared" si="4"/>
        <v>38865644</v>
      </c>
      <c r="E57" s="221" t="s">
        <v>627</v>
      </c>
      <c r="F57" s="363">
        <f>F41</f>
        <v>74242424</v>
      </c>
      <c r="G57" s="355">
        <f>G41</f>
        <v>1384589424</v>
      </c>
      <c r="H57" s="364">
        <f t="shared" si="5"/>
        <v>1310347000</v>
      </c>
    </row>
    <row r="58" spans="1:8" s="3" customFormat="1" ht="13.8" x14ac:dyDescent="0.25">
      <c r="A58" s="223" t="s">
        <v>628</v>
      </c>
      <c r="B58" s="367">
        <f>SUM(B59:B60)</f>
        <v>1193980000</v>
      </c>
      <c r="C58" s="354">
        <f>SUM(C59:C60)</f>
        <v>2505160000</v>
      </c>
      <c r="D58" s="351">
        <f t="shared" si="4"/>
        <v>1311180000</v>
      </c>
      <c r="E58" s="223"/>
      <c r="F58" s="368"/>
      <c r="G58" s="369"/>
      <c r="H58" s="364">
        <f t="shared" si="5"/>
        <v>0</v>
      </c>
    </row>
    <row r="59" spans="1:8" ht="27.6" x14ac:dyDescent="0.25">
      <c r="A59" s="221" t="s">
        <v>584</v>
      </c>
      <c r="B59" s="363">
        <f>B21</f>
        <v>12800000</v>
      </c>
      <c r="C59" s="355">
        <f>C21</f>
        <v>12800000</v>
      </c>
      <c r="D59" s="364">
        <f t="shared" si="4"/>
        <v>0</v>
      </c>
      <c r="E59" s="221"/>
      <c r="F59" s="363"/>
      <c r="G59" s="355"/>
      <c r="H59" s="364">
        <f t="shared" si="5"/>
        <v>0</v>
      </c>
    </row>
    <row r="60" spans="1:8" ht="27.6" x14ac:dyDescent="0.25">
      <c r="A60" s="315" t="s">
        <v>611</v>
      </c>
      <c r="B60" s="363">
        <f>B43</f>
        <v>1181180000</v>
      </c>
      <c r="C60" s="355">
        <f>C43</f>
        <v>2492360000</v>
      </c>
      <c r="D60" s="364">
        <f t="shared" si="4"/>
        <v>1311180000</v>
      </c>
      <c r="E60" s="313"/>
      <c r="F60" s="367"/>
      <c r="G60" s="354"/>
      <c r="H60" s="364">
        <f t="shared" si="5"/>
        <v>0</v>
      </c>
    </row>
    <row r="61" spans="1:8" s="3" customFormat="1" ht="14.4" thickBot="1" x14ac:dyDescent="0.3">
      <c r="A61" s="224" t="s">
        <v>268</v>
      </c>
      <c r="B61" s="370">
        <f>B53+B55+B58</f>
        <v>7466697619</v>
      </c>
      <c r="C61" s="356">
        <f>C53+C55+C58</f>
        <v>10143507499</v>
      </c>
      <c r="D61" s="365">
        <f t="shared" si="4"/>
        <v>2676809880</v>
      </c>
      <c r="E61" s="224" t="s">
        <v>629</v>
      </c>
      <c r="F61" s="756">
        <f>F53+F55</f>
        <v>7466697619</v>
      </c>
      <c r="G61" s="356">
        <f>G53+G55</f>
        <v>10143507499</v>
      </c>
      <c r="H61" s="365">
        <f t="shared" si="5"/>
        <v>2676809880</v>
      </c>
    </row>
    <row r="62" spans="1:8" x14ac:dyDescent="0.25">
      <c r="A62" s="90" t="s">
        <v>630</v>
      </c>
      <c r="F62" s="344">
        <f>B61-F61</f>
        <v>0</v>
      </c>
      <c r="H62" s="344">
        <f>D61-H61</f>
        <v>0</v>
      </c>
    </row>
  </sheetData>
  <sheetProtection selectLockedCells="1" selectUnlockedCells="1"/>
  <mergeCells count="4">
    <mergeCell ref="A4:H4"/>
    <mergeCell ref="A27:H27"/>
    <mergeCell ref="A48:H48"/>
    <mergeCell ref="C2:H2"/>
  </mergeCells>
  <phoneticPr fontId="28" type="noConversion"/>
  <pageMargins left="0.74791666666666667" right="0.74791666666666667" top="0.98402777777777772" bottom="0.98402777777777772" header="0.51180555555555551" footer="0.51180555555555551"/>
  <pageSetup paperSize="9" scale="57" firstPageNumber="0" orientation="landscape" r:id="rId1"/>
  <headerFooter alignWithMargins="0">
    <oddHeader>&amp;C
8. melléklet az önkormányzat 2017. évi költségvetéséről szóló 8/2017. (II.24.) önkormányzati rendeletéhez
&amp;R
&amp;P. oldal</oddHeader>
  </headerFooter>
  <rowBreaks count="2" manualBreakCount="2">
    <brk id="26" max="7" man="1"/>
    <brk id="62" max="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L63"/>
  <sheetViews>
    <sheetView view="pageLayout" topLeftCell="B1" zoomScaleNormal="100" zoomScaleSheetLayoutView="89" workbookViewId="0">
      <selection activeCell="G20" sqref="G20"/>
    </sheetView>
  </sheetViews>
  <sheetFormatPr defaultColWidth="9.109375" defaultRowHeight="13.2" x14ac:dyDescent="0.25"/>
  <cols>
    <col min="1" max="1" width="45.6640625" style="90" customWidth="1"/>
    <col min="2" max="2" width="15.109375" style="62" bestFit="1" customWidth="1"/>
    <col min="3" max="3" width="15" style="62" customWidth="1"/>
    <col min="4" max="4" width="15.33203125" style="62" customWidth="1"/>
    <col min="5" max="5" width="45.88671875" style="90" customWidth="1"/>
    <col min="6" max="6" width="14" style="62" customWidth="1"/>
    <col min="7" max="7" width="15.109375" style="62" bestFit="1" customWidth="1"/>
    <col min="8" max="8" width="15.5546875" style="62" bestFit="1" customWidth="1"/>
    <col min="9" max="9" width="12.33203125" style="12" bestFit="1" customWidth="1"/>
    <col min="10" max="10" width="10.5546875" style="12" customWidth="1"/>
    <col min="11" max="11" width="9.109375" style="12"/>
    <col min="12" max="12" width="12.33203125" style="12" customWidth="1"/>
    <col min="13" max="16384" width="9.109375" style="12"/>
  </cols>
  <sheetData>
    <row r="1" spans="1:12" x14ac:dyDescent="0.25">
      <c r="B1" s="1569"/>
      <c r="C1" s="1570"/>
      <c r="D1" s="1570"/>
      <c r="E1" s="1570"/>
      <c r="F1" s="1570"/>
      <c r="G1" s="1570"/>
      <c r="H1" s="1570"/>
    </row>
    <row r="2" spans="1:12" x14ac:dyDescent="0.25">
      <c r="B2" s="1570"/>
      <c r="C2" s="1570"/>
      <c r="D2" s="1570"/>
      <c r="E2" s="1570"/>
      <c r="F2" s="1570"/>
      <c r="G2" s="1570"/>
      <c r="H2" s="1570"/>
    </row>
    <row r="3" spans="1:12" x14ac:dyDescent="0.25">
      <c r="A3" s="1568" t="s">
        <v>210</v>
      </c>
      <c r="B3" s="1568"/>
      <c r="C3" s="1568"/>
      <c r="D3" s="1568"/>
      <c r="E3" s="1568"/>
      <c r="F3" s="1568"/>
      <c r="G3" s="1568"/>
      <c r="H3" s="1568"/>
    </row>
    <row r="5" spans="1:12" ht="15.75" customHeight="1" x14ac:dyDescent="0.3">
      <c r="A5" s="1566" t="s">
        <v>6</v>
      </c>
      <c r="B5" s="1566"/>
      <c r="C5" s="1566"/>
      <c r="D5" s="1566"/>
      <c r="E5" s="1566"/>
      <c r="F5" s="1566"/>
      <c r="G5" s="1566"/>
      <c r="H5" s="1566"/>
    </row>
    <row r="6" spans="1:12" ht="13.8" thickBot="1" x14ac:dyDescent="0.3"/>
    <row r="7" spans="1:12" s="90" customFormat="1" ht="28.2" thickBot="1" x14ac:dyDescent="0.3">
      <c r="A7" s="503" t="s">
        <v>567</v>
      </c>
      <c r="B7" s="546" t="s">
        <v>204</v>
      </c>
      <c r="C7" s="547" t="s">
        <v>790</v>
      </c>
      <c r="D7" s="548" t="s">
        <v>209</v>
      </c>
      <c r="E7" s="504" t="s">
        <v>568</v>
      </c>
      <c r="F7" s="546" t="s">
        <v>204</v>
      </c>
      <c r="G7" s="547" t="s">
        <v>790</v>
      </c>
      <c r="H7" s="548" t="s">
        <v>209</v>
      </c>
    </row>
    <row r="8" spans="1:12" ht="26.25" customHeight="1" x14ac:dyDescent="0.25">
      <c r="A8" s="101" t="s">
        <v>569</v>
      </c>
      <c r="B8" s="505">
        <f>'2.sz.tábla   (2)'!F6+'2.sz.tábla   (2)'!I6+'3.sz. tábla  (2)'!C13</f>
        <v>366639217</v>
      </c>
      <c r="C8" s="505">
        <f>'2.sz.tábla   (2)'!L6-'8a. sz. tábla  (4)'!B8</f>
        <v>1120350295</v>
      </c>
      <c r="D8" s="545">
        <f t="shared" ref="D8:D14" si="0">SUM(B8:C8)</f>
        <v>1486989512</v>
      </c>
      <c r="E8" s="506" t="s">
        <v>406</v>
      </c>
      <c r="F8" s="507">
        <f>'4.sz.tábla '!C9</f>
        <v>416333427</v>
      </c>
      <c r="G8" s="505">
        <f>'5.tábla (2)'!C28</f>
        <v>82159964</v>
      </c>
      <c r="H8" s="545">
        <f>SUM(F8:G8)</f>
        <v>498493391</v>
      </c>
    </row>
    <row r="9" spans="1:12" ht="13.8" x14ac:dyDescent="0.25">
      <c r="A9" s="508" t="s">
        <v>570</v>
      </c>
      <c r="B9" s="505">
        <f>'2.sz.tábla   (2)'!F29+'2.sz.tábla   (2)'!I29</f>
        <v>500000</v>
      </c>
      <c r="C9" s="505">
        <f>'2.sz.tábla   (2)'!C29</f>
        <v>1675400000</v>
      </c>
      <c r="D9" s="545">
        <f t="shared" si="0"/>
        <v>1675900000</v>
      </c>
      <c r="E9" s="509" t="s">
        <v>571</v>
      </c>
      <c r="F9" s="510">
        <f>'4.sz.tábla '!F9</f>
        <v>99542308</v>
      </c>
      <c r="G9" s="511">
        <f>'5.tábla (2)'!C42</f>
        <v>18039937</v>
      </c>
      <c r="H9" s="545">
        <f t="shared" ref="H9:H16" si="1">SUM(F9:G9)</f>
        <v>117582245</v>
      </c>
    </row>
    <row r="10" spans="1:12" ht="15" x14ac:dyDescent="0.25">
      <c r="A10" s="512" t="s">
        <v>572</v>
      </c>
      <c r="B10" s="505">
        <f>'2.sz.tábla   (2)'!F42+'2.sz.tábla   (2)'!I42</f>
        <v>53457950</v>
      </c>
      <c r="C10" s="505">
        <f>'2.sz.tábla   (2)'!C42</f>
        <v>548809439</v>
      </c>
      <c r="D10" s="545">
        <f t="shared" si="0"/>
        <v>602267389</v>
      </c>
      <c r="E10" s="509" t="s">
        <v>575</v>
      </c>
      <c r="F10" s="510">
        <f>'4.sz.tábla '!I9</f>
        <v>176112014</v>
      </c>
      <c r="G10" s="505">
        <f>'5.tábla (2)'!C56</f>
        <v>1136820370</v>
      </c>
      <c r="H10" s="545">
        <f t="shared" si="1"/>
        <v>1312932384</v>
      </c>
      <c r="I10" s="12">
        <f>SUM(G8:G10)</f>
        <v>1237020271</v>
      </c>
      <c r="J10" s="9"/>
      <c r="K10" s="10"/>
      <c r="L10" s="10"/>
    </row>
    <row r="11" spans="1:12" ht="27.6" x14ac:dyDescent="0.25">
      <c r="A11" s="508" t="s">
        <v>576</v>
      </c>
      <c r="B11" s="505">
        <f>'2.sz.tábla   (2)'!F65+'2.sz.tábla   (2)'!I65</f>
        <v>0</v>
      </c>
      <c r="C11" s="505">
        <f>'2.sz.tábla   (2)'!C65</f>
        <v>6150575</v>
      </c>
      <c r="D11" s="545">
        <f t="shared" si="0"/>
        <v>6150575</v>
      </c>
      <c r="E11" s="506" t="s">
        <v>427</v>
      </c>
      <c r="F11" s="510">
        <f>'4.sz.tábla '!L9</f>
        <v>2394400</v>
      </c>
      <c r="G11" s="505">
        <f>'5.tábla (2)'!C92</f>
        <v>28702500</v>
      </c>
      <c r="H11" s="545">
        <f t="shared" si="1"/>
        <v>31096900</v>
      </c>
    </row>
    <row r="12" spans="1:12" ht="13.8" x14ac:dyDescent="0.25">
      <c r="A12" s="513"/>
      <c r="B12" s="505"/>
      <c r="C12" s="505"/>
      <c r="D12" s="545">
        <f t="shared" si="0"/>
        <v>0</v>
      </c>
      <c r="E12" s="509" t="s">
        <v>402</v>
      </c>
      <c r="F12" s="533">
        <f>F13+F14+F15+F16</f>
        <v>2105398</v>
      </c>
      <c r="G12" s="533">
        <f>G13+G14+G15+G16</f>
        <v>995609633</v>
      </c>
      <c r="H12" s="545">
        <f t="shared" si="1"/>
        <v>997715031</v>
      </c>
    </row>
    <row r="13" spans="1:12" ht="13.8" x14ac:dyDescent="0.25">
      <c r="A13" s="513"/>
      <c r="B13" s="505"/>
      <c r="C13" s="505"/>
      <c r="D13" s="545">
        <f t="shared" si="0"/>
        <v>0</v>
      </c>
      <c r="E13" s="509" t="s">
        <v>665</v>
      </c>
      <c r="F13" s="533"/>
      <c r="G13" s="505">
        <f>'5.tábla (2)'!C102</f>
        <v>1080</v>
      </c>
      <c r="H13" s="545">
        <f t="shared" si="1"/>
        <v>1080</v>
      </c>
    </row>
    <row r="14" spans="1:12" ht="27.6" x14ac:dyDescent="0.25">
      <c r="A14" s="508"/>
      <c r="B14" s="505"/>
      <c r="C14" s="505"/>
      <c r="D14" s="545">
        <f t="shared" si="0"/>
        <v>0</v>
      </c>
      <c r="E14" s="509" t="s">
        <v>666</v>
      </c>
      <c r="F14" s="510">
        <f>'5.tábla (2)'!C19</f>
        <v>2105398</v>
      </c>
      <c r="G14" s="505">
        <f>'5.tábla (2)'!C106</f>
        <v>497594495</v>
      </c>
      <c r="H14" s="545">
        <f t="shared" si="1"/>
        <v>499699893</v>
      </c>
    </row>
    <row r="15" spans="1:12" ht="27.6" x14ac:dyDescent="0.25">
      <c r="A15" s="514"/>
      <c r="B15" s="505"/>
      <c r="C15" s="505"/>
      <c r="D15" s="545"/>
      <c r="E15" s="515" t="s">
        <v>667</v>
      </c>
      <c r="F15" s="510"/>
      <c r="G15" s="511">
        <f>'5.tábla (2)'!C113</f>
        <v>498014058</v>
      </c>
      <c r="H15" s="545">
        <f t="shared" si="1"/>
        <v>498014058</v>
      </c>
    </row>
    <row r="16" spans="1:12" ht="27.6" x14ac:dyDescent="0.25">
      <c r="A16" s="508"/>
      <c r="B16" s="505"/>
      <c r="C16" s="505"/>
      <c r="D16" s="545"/>
      <c r="E16" s="509" t="s">
        <v>668</v>
      </c>
      <c r="F16" s="510"/>
      <c r="G16" s="505">
        <f>'5.tábla (2)'!D108</f>
        <v>0</v>
      </c>
      <c r="H16" s="545">
        <f t="shared" si="1"/>
        <v>0</v>
      </c>
    </row>
    <row r="17" spans="1:8" ht="13.8" x14ac:dyDescent="0.25">
      <c r="A17" s="513"/>
      <c r="B17" s="505"/>
      <c r="C17" s="505"/>
      <c r="D17" s="545"/>
      <c r="E17" s="516" t="s">
        <v>651</v>
      </c>
      <c r="F17" s="510"/>
      <c r="G17" s="517">
        <f>'8. sz. tábla  (3)'!G16</f>
        <v>80556761</v>
      </c>
      <c r="H17" s="545">
        <f>SUM(F17:G17)</f>
        <v>80556761</v>
      </c>
    </row>
    <row r="18" spans="1:8" ht="13.8" x14ac:dyDescent="0.25">
      <c r="A18" s="518" t="s">
        <v>577</v>
      </c>
      <c r="B18" s="530">
        <f>SUM(B8:B17)</f>
        <v>420597167</v>
      </c>
      <c r="C18" s="530">
        <f>SUM(C8:C17)</f>
        <v>3350710309</v>
      </c>
      <c r="D18" s="532">
        <f>SUM(D8:D17)</f>
        <v>3771307476</v>
      </c>
      <c r="E18" s="519" t="s">
        <v>578</v>
      </c>
      <c r="F18" s="531">
        <f>F8+F9+F10+F11+F12+F17</f>
        <v>696487547</v>
      </c>
      <c r="G18" s="531">
        <f>G8+G9+G10+G11+G12+G17</f>
        <v>2341889165</v>
      </c>
      <c r="H18" s="531">
        <f>H8+H9+H10+H11+H12+H17</f>
        <v>3038376712</v>
      </c>
    </row>
    <row r="19" spans="1:8" ht="13.8" x14ac:dyDescent="0.25">
      <c r="A19" s="518" t="s">
        <v>579</v>
      </c>
      <c r="B19" s="530">
        <f>B18-F18</f>
        <v>-275890380</v>
      </c>
      <c r="C19" s="530">
        <f>C18-G18</f>
        <v>1008821144</v>
      </c>
      <c r="D19" s="532">
        <f>D18-H18</f>
        <v>732930764</v>
      </c>
      <c r="E19" s="520" t="s">
        <v>580</v>
      </c>
      <c r="F19" s="510"/>
      <c r="G19" s="549"/>
      <c r="H19" s="550"/>
    </row>
    <row r="20" spans="1:8" ht="27.6" x14ac:dyDescent="0.25">
      <c r="A20" s="521" t="s">
        <v>581</v>
      </c>
      <c r="B20" s="549">
        <f>SUM(B21)</f>
        <v>36624227</v>
      </c>
      <c r="C20" s="549">
        <f>SUM(C21)</f>
        <v>315133363</v>
      </c>
      <c r="D20" s="550">
        <f>SUM(B20:C20)</f>
        <v>351757590</v>
      </c>
      <c r="E20" s="520" t="s">
        <v>582</v>
      </c>
      <c r="F20" s="529">
        <f>SUM(F21:F21)</f>
        <v>0</v>
      </c>
      <c r="G20" s="530">
        <f>SUM(G21:G25)</f>
        <v>44090809</v>
      </c>
      <c r="H20" s="532">
        <f>G20-F20</f>
        <v>44090809</v>
      </c>
    </row>
    <row r="21" spans="1:8" ht="13.8" x14ac:dyDescent="0.25">
      <c r="A21" s="513" t="s">
        <v>583</v>
      </c>
      <c r="B21" s="505">
        <f>'2.sz.tábla   (2)'!F76+'2.sz.tábla   (2)'!I76</f>
        <v>36624227</v>
      </c>
      <c r="C21" s="505">
        <f>'2.sz.tábla   (2)'!C76</f>
        <v>315133363</v>
      </c>
      <c r="D21" s="545">
        <f>SUM(B21:C21)</f>
        <v>351757590</v>
      </c>
      <c r="E21" s="513" t="s">
        <v>670</v>
      </c>
      <c r="F21" s="510"/>
      <c r="G21" s="505">
        <f>'7. sz. tábla 1'!C165</f>
        <v>44090809</v>
      </c>
      <c r="H21" s="545">
        <f>SUM(F21:G21)</f>
        <v>44090809</v>
      </c>
    </row>
    <row r="22" spans="1:8" ht="27.6" x14ac:dyDescent="0.25">
      <c r="A22" s="518" t="s">
        <v>584</v>
      </c>
      <c r="B22" s="505"/>
      <c r="C22" s="561">
        <f>SUM(C23:C25)</f>
        <v>12800000</v>
      </c>
      <c r="D22" s="562">
        <f>SUM(B22:C22)</f>
        <v>12800000</v>
      </c>
      <c r="E22" s="509" t="s">
        <v>671</v>
      </c>
      <c r="F22" s="510"/>
      <c r="G22" s="505"/>
      <c r="H22" s="545">
        <f>SUM(F22:G22)</f>
        <v>0</v>
      </c>
    </row>
    <row r="23" spans="1:8" ht="13.8" x14ac:dyDescent="0.25">
      <c r="A23" s="522" t="s">
        <v>585</v>
      </c>
      <c r="B23" s="505"/>
      <c r="C23" s="505"/>
      <c r="D23" s="545">
        <f>SUM(B23:C23)</f>
        <v>0</v>
      </c>
      <c r="E23" s="513" t="s">
        <v>700</v>
      </c>
      <c r="F23" s="510"/>
      <c r="G23" s="551"/>
      <c r="H23" s="545">
        <f>SUM(F23:G23)</f>
        <v>0</v>
      </c>
    </row>
    <row r="24" spans="1:8" ht="13.8" x14ac:dyDescent="0.25">
      <c r="A24" s="513" t="s">
        <v>586</v>
      </c>
      <c r="B24" s="505"/>
      <c r="C24" s="563"/>
      <c r="D24" s="564"/>
      <c r="E24" s="523" t="s">
        <v>698</v>
      </c>
      <c r="F24" s="533"/>
      <c r="G24" s="524"/>
      <c r="H24" s="545">
        <f>SUM(F24:G24)</f>
        <v>0</v>
      </c>
    </row>
    <row r="25" spans="1:8" ht="28.2" thickBot="1" x14ac:dyDescent="0.3">
      <c r="A25" s="522" t="s">
        <v>699</v>
      </c>
      <c r="B25" s="517"/>
      <c r="C25" s="517">
        <f>'2.sz.tábla   (2)'!C89</f>
        <v>12800000</v>
      </c>
      <c r="D25" s="565">
        <f>SUM(B25:C25)</f>
        <v>12800000</v>
      </c>
      <c r="E25" s="525"/>
      <c r="F25" s="537"/>
      <c r="G25" s="552"/>
      <c r="H25" s="553"/>
    </row>
    <row r="26" spans="1:8" ht="14.4" thickBot="1" x14ac:dyDescent="0.3">
      <c r="A26" s="503" t="s">
        <v>587</v>
      </c>
      <c r="B26" s="540">
        <f>B18+B20+B22</f>
        <v>457221394</v>
      </c>
      <c r="C26" s="540">
        <f>C18+C20+C22</f>
        <v>3678643672</v>
      </c>
      <c r="D26" s="542">
        <f>D18+D20+D22</f>
        <v>4135865066</v>
      </c>
      <c r="E26" s="504" t="s">
        <v>588</v>
      </c>
      <c r="F26" s="539">
        <f>F18+F20</f>
        <v>696487547</v>
      </c>
      <c r="G26" s="540">
        <f>G18+G20</f>
        <v>2385979974</v>
      </c>
      <c r="H26" s="542">
        <f>H18+H20</f>
        <v>3082467521</v>
      </c>
    </row>
    <row r="28" spans="1:8" ht="15.75" customHeight="1" x14ac:dyDescent="0.3">
      <c r="A28" s="1566" t="s">
        <v>7</v>
      </c>
      <c r="B28" s="1566"/>
      <c r="C28" s="1566"/>
      <c r="D28" s="1566"/>
      <c r="E28" s="1566"/>
      <c r="F28" s="1566"/>
      <c r="G28" s="1566"/>
      <c r="H28" s="1566"/>
    </row>
    <row r="29" spans="1:8" ht="13.8" thickBot="1" x14ac:dyDescent="0.3"/>
    <row r="30" spans="1:8" s="90" customFormat="1" ht="28.2" thickBot="1" x14ac:dyDescent="0.3">
      <c r="A30" s="503" t="s">
        <v>589</v>
      </c>
      <c r="B30" s="546" t="s">
        <v>204</v>
      </c>
      <c r="C30" s="547" t="s">
        <v>790</v>
      </c>
      <c r="D30" s="548" t="s">
        <v>209</v>
      </c>
      <c r="E30" s="585" t="s">
        <v>590</v>
      </c>
      <c r="F30" s="546" t="s">
        <v>204</v>
      </c>
      <c r="G30" s="547" t="s">
        <v>790</v>
      </c>
      <c r="H30" s="548" t="s">
        <v>209</v>
      </c>
    </row>
    <row r="31" spans="1:8" ht="27.6" x14ac:dyDescent="0.25">
      <c r="A31" s="526" t="s">
        <v>591</v>
      </c>
      <c r="B31" s="505">
        <f>'2.sz.tábla   (2)'!F21+'2.sz.tábla   (2)'!I21</f>
        <v>0</v>
      </c>
      <c r="C31" s="505">
        <f>'2.sz.tábla   (2)'!C21</f>
        <v>2362779525</v>
      </c>
      <c r="D31" s="569">
        <f>SUM(B31:C31)</f>
        <v>2362779525</v>
      </c>
      <c r="E31" s="575" t="s">
        <v>592</v>
      </c>
      <c r="F31" s="576"/>
      <c r="G31" s="576">
        <f>'7. sz. tábla 1'!C95</f>
        <v>3808718660</v>
      </c>
      <c r="H31" s="577">
        <f>SUM(F31:G31)</f>
        <v>3808718660</v>
      </c>
    </row>
    <row r="32" spans="1:8" ht="13.8" x14ac:dyDescent="0.25">
      <c r="A32" s="513" t="s">
        <v>593</v>
      </c>
      <c r="B32" s="505">
        <f>'2.sz.tábla   (2)'!F57+'2.sz.tábla   (2)'!I57</f>
        <v>0</v>
      </c>
      <c r="C32" s="505">
        <f>'2.sz.tábla   (2)'!C57</f>
        <v>171355383</v>
      </c>
      <c r="D32" s="528">
        <f>SUM(B32:C32)</f>
        <v>171355383</v>
      </c>
      <c r="E32" s="578" t="s">
        <v>594</v>
      </c>
      <c r="F32" s="210">
        <f>'4a. sz. tábla  (3)'!D29</f>
        <v>12423318</v>
      </c>
      <c r="G32" s="524"/>
      <c r="H32" s="534">
        <f t="shared" ref="H32:H39" si="2">SUM(F32:G32)</f>
        <v>12423318</v>
      </c>
    </row>
    <row r="33" spans="1:11" ht="13.8" x14ac:dyDescent="0.25">
      <c r="A33" s="513" t="s">
        <v>595</v>
      </c>
      <c r="B33" s="505">
        <f>'2.sz.tábla   (2)'!F69+'2.sz.tábla   (2)'!I69</f>
        <v>0</v>
      </c>
      <c r="C33" s="505">
        <f>'2.sz.tábla   (2)'!C69</f>
        <v>275818959</v>
      </c>
      <c r="D33" s="528">
        <f>SUM(B33:C33)</f>
        <v>275818959</v>
      </c>
      <c r="E33" s="578" t="s">
        <v>596</v>
      </c>
      <c r="F33" s="210"/>
      <c r="G33" s="210">
        <f>'6.sz.tábla  (4)'!C121</f>
        <v>94245404</v>
      </c>
      <c r="H33" s="534">
        <f t="shared" si="2"/>
        <v>94245404</v>
      </c>
    </row>
    <row r="34" spans="1:11" ht="13.8" x14ac:dyDescent="0.25">
      <c r="A34" s="513"/>
      <c r="B34" s="505"/>
      <c r="C34" s="505"/>
      <c r="D34" s="528"/>
      <c r="E34" s="578" t="s">
        <v>597</v>
      </c>
      <c r="F34" s="210"/>
      <c r="G34" s="210">
        <f>SUM(G35:G38)</f>
        <v>902535375</v>
      </c>
      <c r="H34" s="534">
        <f t="shared" si="2"/>
        <v>902535375</v>
      </c>
      <c r="I34" s="12" t="e">
        <f>SUM(#REF!)</f>
        <v>#REF!</v>
      </c>
    </row>
    <row r="35" spans="1:11" ht="27.6" x14ac:dyDescent="0.25">
      <c r="A35" s="513"/>
      <c r="B35" s="505"/>
      <c r="C35" s="511"/>
      <c r="D35" s="571"/>
      <c r="E35" s="578" t="s">
        <v>598</v>
      </c>
      <c r="F35" s="524"/>
      <c r="G35" s="524">
        <f>'7. sz. tábla 1'!C111</f>
        <v>384498407</v>
      </c>
      <c r="H35" s="534">
        <f t="shared" si="2"/>
        <v>384498407</v>
      </c>
    </row>
    <row r="36" spans="1:11" ht="27" customHeight="1" x14ac:dyDescent="0.25">
      <c r="A36" s="513"/>
      <c r="B36" s="505"/>
      <c r="C36" s="511"/>
      <c r="D36" s="571"/>
      <c r="E36" s="579" t="s">
        <v>599</v>
      </c>
      <c r="F36" s="210"/>
      <c r="G36" s="527">
        <f>'7. sz. tábla 1'!C106</f>
        <v>2550000</v>
      </c>
      <c r="H36" s="534">
        <f t="shared" si="2"/>
        <v>2550000</v>
      </c>
    </row>
    <row r="37" spans="1:11" ht="27.6" x14ac:dyDescent="0.25">
      <c r="A37" s="513"/>
      <c r="B37" s="505"/>
      <c r="C37" s="566"/>
      <c r="D37" s="528"/>
      <c r="E37" s="578" t="s">
        <v>705</v>
      </c>
      <c r="F37" s="210"/>
      <c r="G37" s="210">
        <f>'7. sz. tábla 1'!D105</f>
        <v>0</v>
      </c>
      <c r="H37" s="534">
        <f t="shared" si="2"/>
        <v>0</v>
      </c>
    </row>
    <row r="38" spans="1:11" ht="27.6" x14ac:dyDescent="0.25">
      <c r="A38" s="513"/>
      <c r="B38" s="505"/>
      <c r="C38" s="210"/>
      <c r="D38" s="528"/>
      <c r="E38" s="578" t="s">
        <v>205</v>
      </c>
      <c r="F38" s="210"/>
      <c r="G38" s="210">
        <f>'7. sz. tábla 1'!C98</f>
        <v>515486968</v>
      </c>
      <c r="H38" s="534">
        <f t="shared" si="2"/>
        <v>515486968</v>
      </c>
    </row>
    <row r="39" spans="1:11" ht="13.8" x14ac:dyDescent="0.25">
      <c r="A39" s="513"/>
      <c r="B39" s="505"/>
      <c r="C39" s="210"/>
      <c r="D39" s="528"/>
      <c r="E39" s="578" t="s">
        <v>32</v>
      </c>
      <c r="F39" s="210"/>
      <c r="G39" s="210">
        <f>'8. sz. tábla  (3)'!G38</f>
        <v>858527797</v>
      </c>
      <c r="H39" s="534">
        <f t="shared" si="2"/>
        <v>858527797</v>
      </c>
    </row>
    <row r="40" spans="1:11" ht="13.8" x14ac:dyDescent="0.25">
      <c r="A40" s="518" t="s">
        <v>601</v>
      </c>
      <c r="B40" s="529">
        <f>SUM(B31:B37)</f>
        <v>0</v>
      </c>
      <c r="C40" s="551">
        <f>SUM(C31:C37)</f>
        <v>2809953867</v>
      </c>
      <c r="D40" s="567">
        <f>SUM(D31:D37)</f>
        <v>2809953867</v>
      </c>
      <c r="E40" s="580" t="s">
        <v>602</v>
      </c>
      <c r="F40" s="570">
        <f>SUM(F31:F34)</f>
        <v>12423318</v>
      </c>
      <c r="G40" s="570">
        <f>G31+G32+G33+G34+G39</f>
        <v>5664027236</v>
      </c>
      <c r="H40" s="531">
        <f>H31+H32+H33+H34+H39</f>
        <v>5676450554</v>
      </c>
      <c r="K40" s="3"/>
    </row>
    <row r="41" spans="1:11" ht="13.8" x14ac:dyDescent="0.25">
      <c r="A41" s="518" t="s">
        <v>603</v>
      </c>
      <c r="B41" s="510"/>
      <c r="C41" s="567"/>
      <c r="D41" s="567"/>
      <c r="E41" s="580" t="s">
        <v>606</v>
      </c>
      <c r="F41" s="570">
        <f>B40-F40</f>
        <v>-12423318</v>
      </c>
      <c r="G41" s="570">
        <f>C40-G40</f>
        <v>-2854073369</v>
      </c>
      <c r="H41" s="531">
        <f>D40-H40</f>
        <v>-2866496687</v>
      </c>
    </row>
    <row r="42" spans="1:11" ht="27.6" x14ac:dyDescent="0.25">
      <c r="A42" s="518" t="s">
        <v>607</v>
      </c>
      <c r="B42" s="529">
        <f>SUM(B43)</f>
        <v>3190601</v>
      </c>
      <c r="C42" s="559">
        <f>SUM(C43)</f>
        <v>702137965</v>
      </c>
      <c r="D42" s="567">
        <f>SUM(D43)</f>
        <v>705328566</v>
      </c>
      <c r="E42" s="580" t="s">
        <v>608</v>
      </c>
      <c r="F42" s="570">
        <f>SUM(F43:F44)</f>
        <v>0</v>
      </c>
      <c r="G42" s="570">
        <f>SUM(G43:G44)</f>
        <v>1384589424</v>
      </c>
      <c r="H42" s="531">
        <f>SUM(H43:H45)</f>
        <v>1384589424</v>
      </c>
    </row>
    <row r="43" spans="1:11" ht="13.8" x14ac:dyDescent="0.25">
      <c r="A43" s="513" t="s">
        <v>609</v>
      </c>
      <c r="B43" s="510">
        <f>'2.sz.tábla   (2)'!F77+'2.sz.tábla   (2)'!I77</f>
        <v>3190601</v>
      </c>
      <c r="C43" s="528">
        <f>'2.sz.tábla   (2)'!C77</f>
        <v>702137965</v>
      </c>
      <c r="D43" s="528">
        <f>SUM(B43:C43)</f>
        <v>705328566</v>
      </c>
      <c r="E43" s="578" t="s">
        <v>610</v>
      </c>
      <c r="F43" s="210"/>
      <c r="G43" s="210">
        <f>'7. sz. tábla 1'!C164</f>
        <v>1310347000</v>
      </c>
      <c r="H43" s="534">
        <f>SUM(F43:G43)</f>
        <v>1310347000</v>
      </c>
    </row>
    <row r="44" spans="1:11" ht="27.6" x14ac:dyDescent="0.25">
      <c r="A44" s="518" t="s">
        <v>611</v>
      </c>
      <c r="B44" s="529">
        <f>SUM(B45:B46)</f>
        <v>0</v>
      </c>
      <c r="C44" s="530">
        <f>SUM(C45:C46)</f>
        <v>2492360000</v>
      </c>
      <c r="D44" s="567">
        <f>SUM(D45:D46)</f>
        <v>2492360000</v>
      </c>
      <c r="E44" s="578" t="s">
        <v>612</v>
      </c>
      <c r="F44" s="210"/>
      <c r="G44" s="210">
        <f>'7. sz. tábla 1'!C163</f>
        <v>74242424</v>
      </c>
      <c r="H44" s="534">
        <f>SUM(F44:G44)</f>
        <v>74242424</v>
      </c>
    </row>
    <row r="45" spans="1:11" ht="13.8" x14ac:dyDescent="0.25">
      <c r="A45" s="522" t="s">
        <v>613</v>
      </c>
      <c r="B45" s="510"/>
      <c r="C45" s="528">
        <f>'2.sz.tábla   (2)'!C83</f>
        <v>2492360000</v>
      </c>
      <c r="D45" s="528">
        <f>SUM(B45:C45)</f>
        <v>2492360000</v>
      </c>
      <c r="E45" s="578" t="s">
        <v>669</v>
      </c>
      <c r="F45" s="210"/>
      <c r="G45" s="210"/>
      <c r="H45" s="534"/>
    </row>
    <row r="46" spans="1:11" ht="14.4" thickBot="1" x14ac:dyDescent="0.3">
      <c r="A46" s="522" t="s">
        <v>614</v>
      </c>
      <c r="B46" s="536"/>
      <c r="C46" s="568"/>
      <c r="D46" s="568"/>
      <c r="E46" s="581"/>
      <c r="F46" s="582"/>
      <c r="G46" s="582"/>
      <c r="H46" s="583"/>
    </row>
    <row r="47" spans="1:11" ht="14.4" thickBot="1" x14ac:dyDescent="0.3">
      <c r="A47" s="503" t="s">
        <v>615</v>
      </c>
      <c r="B47" s="539">
        <f>B40+B42+B44</f>
        <v>3190601</v>
      </c>
      <c r="C47" s="540">
        <f>C40+C42+C44</f>
        <v>6004451832</v>
      </c>
      <c r="D47" s="541">
        <f>D40+D42+D44</f>
        <v>6007642433</v>
      </c>
      <c r="E47" s="586" t="s">
        <v>616</v>
      </c>
      <c r="F47" s="572">
        <f>F40+F42</f>
        <v>12423318</v>
      </c>
      <c r="G47" s="573">
        <f>G40+G42</f>
        <v>7048616660</v>
      </c>
      <c r="H47" s="574">
        <f>H40+H42</f>
        <v>7061039978</v>
      </c>
    </row>
    <row r="48" spans="1:11" x14ac:dyDescent="0.25">
      <c r="A48" s="11"/>
      <c r="B48" s="554"/>
      <c r="C48" s="554"/>
      <c r="D48" s="554"/>
      <c r="E48" s="11"/>
      <c r="F48" s="554"/>
      <c r="G48" s="554"/>
      <c r="H48" s="554"/>
    </row>
    <row r="49" spans="1:8" ht="15.75" customHeight="1" x14ac:dyDescent="0.3">
      <c r="A49" s="1566" t="s">
        <v>208</v>
      </c>
      <c r="B49" s="1566"/>
      <c r="C49" s="1566"/>
      <c r="D49" s="1566"/>
      <c r="E49" s="1566"/>
      <c r="F49" s="1566"/>
      <c r="G49" s="1566"/>
      <c r="H49" s="1566"/>
    </row>
    <row r="50" spans="1:8" ht="13.8" thickBot="1" x14ac:dyDescent="0.3"/>
    <row r="51" spans="1:8" s="90" customFormat="1" ht="28.2" thickBot="1" x14ac:dyDescent="0.3">
      <c r="A51" s="503" t="s">
        <v>617</v>
      </c>
      <c r="B51" s="546" t="s">
        <v>204</v>
      </c>
      <c r="C51" s="547" t="s">
        <v>790</v>
      </c>
      <c r="D51" s="548" t="s">
        <v>209</v>
      </c>
      <c r="E51" s="503" t="s">
        <v>618</v>
      </c>
      <c r="F51" s="546" t="s">
        <v>204</v>
      </c>
      <c r="G51" s="547" t="s">
        <v>790</v>
      </c>
      <c r="H51" s="548" t="s">
        <v>209</v>
      </c>
    </row>
    <row r="52" spans="1:8" ht="13.8" x14ac:dyDescent="0.25">
      <c r="A52" s="512" t="s">
        <v>619</v>
      </c>
      <c r="B52" s="507">
        <f>B18</f>
        <v>420597167</v>
      </c>
      <c r="C52" s="569">
        <f>C18</f>
        <v>3350710309</v>
      </c>
      <c r="D52" s="556">
        <f>D18</f>
        <v>3771307476</v>
      </c>
      <c r="E52" s="512" t="s">
        <v>620</v>
      </c>
      <c r="F52" s="507">
        <f>F18</f>
        <v>696487547</v>
      </c>
      <c r="G52" s="555">
        <f>G18</f>
        <v>2341889165</v>
      </c>
      <c r="H52" s="556">
        <f>H18</f>
        <v>3038376712</v>
      </c>
    </row>
    <row r="53" spans="1:8" ht="13.8" x14ac:dyDescent="0.25">
      <c r="A53" s="513" t="s">
        <v>621</v>
      </c>
      <c r="B53" s="510">
        <f>B40</f>
        <v>0</v>
      </c>
      <c r="C53" s="505">
        <f>C40</f>
        <v>2809953867</v>
      </c>
      <c r="D53" s="534">
        <f>D40</f>
        <v>2809953867</v>
      </c>
      <c r="E53" s="513" t="s">
        <v>622</v>
      </c>
      <c r="F53" s="510">
        <f>F40</f>
        <v>12423318</v>
      </c>
      <c r="G53" s="505">
        <f>G40</f>
        <v>5664027236</v>
      </c>
      <c r="H53" s="545">
        <f>H40</f>
        <v>5676450554</v>
      </c>
    </row>
    <row r="54" spans="1:8" ht="13.8" x14ac:dyDescent="0.25">
      <c r="A54" s="518" t="s">
        <v>784</v>
      </c>
      <c r="B54" s="529">
        <f>SUM(B52:B53)</f>
        <v>420597167</v>
      </c>
      <c r="C54" s="530">
        <f>SUM(C52:C53)</f>
        <v>6160664176</v>
      </c>
      <c r="D54" s="531">
        <f>SUM(D52:D53)</f>
        <v>6581261343</v>
      </c>
      <c r="E54" s="518" t="s">
        <v>800</v>
      </c>
      <c r="F54" s="529">
        <f>SUM(F52:F53)</f>
        <v>708910865</v>
      </c>
      <c r="G54" s="530">
        <f>SUM(G52:G53)</f>
        <v>8005916401</v>
      </c>
      <c r="H54" s="532">
        <f>SUM(H52:H53)</f>
        <v>8714827266</v>
      </c>
    </row>
    <row r="55" spans="1:8" ht="13.8" x14ac:dyDescent="0.25">
      <c r="A55" s="518" t="s">
        <v>623</v>
      </c>
      <c r="B55" s="530"/>
      <c r="C55" s="530"/>
      <c r="D55" s="531"/>
      <c r="E55" s="518" t="s">
        <v>206</v>
      </c>
      <c r="F55" s="529">
        <f>B54-F54</f>
        <v>-288313698</v>
      </c>
      <c r="G55" s="529">
        <f>C54-G54</f>
        <v>-1845252225</v>
      </c>
      <c r="H55" s="532">
        <f>D54-H54</f>
        <v>-2133565923</v>
      </c>
    </row>
    <row r="56" spans="1:8" ht="27.6" x14ac:dyDescent="0.25">
      <c r="A56" s="518" t="s">
        <v>624</v>
      </c>
      <c r="B56" s="529">
        <f>SUM(B57:B58)</f>
        <v>39814828</v>
      </c>
      <c r="C56" s="530">
        <f>SUM(C57:C58)</f>
        <v>1017271328</v>
      </c>
      <c r="D56" s="531">
        <f>SUM(D57:D58)</f>
        <v>1057086156</v>
      </c>
      <c r="E56" s="518" t="s">
        <v>625</v>
      </c>
      <c r="F56" s="529">
        <f>SUM(F57:F58)</f>
        <v>0</v>
      </c>
      <c r="G56" s="530">
        <f>SUM(G57:G58)</f>
        <v>1428680233</v>
      </c>
      <c r="H56" s="532">
        <f>SUM(H57:H58)</f>
        <v>1428680233</v>
      </c>
    </row>
    <row r="57" spans="1:8" ht="27.6" x14ac:dyDescent="0.25">
      <c r="A57" s="513" t="s">
        <v>581</v>
      </c>
      <c r="B57" s="510">
        <f>B20</f>
        <v>36624227</v>
      </c>
      <c r="C57" s="533">
        <f>C20</f>
        <v>315133363</v>
      </c>
      <c r="D57" s="534">
        <f>D20</f>
        <v>351757590</v>
      </c>
      <c r="E57" s="513" t="s">
        <v>626</v>
      </c>
      <c r="F57" s="533">
        <f>F20</f>
        <v>0</v>
      </c>
      <c r="G57" s="533">
        <f>G20</f>
        <v>44090809</v>
      </c>
      <c r="H57" s="535">
        <f>H20</f>
        <v>44090809</v>
      </c>
    </row>
    <row r="58" spans="1:8" ht="27.6" x14ac:dyDescent="0.25">
      <c r="A58" s="513" t="s">
        <v>607</v>
      </c>
      <c r="B58" s="510">
        <f>B42</f>
        <v>3190601</v>
      </c>
      <c r="C58" s="533">
        <f>C42</f>
        <v>702137965</v>
      </c>
      <c r="D58" s="534">
        <f>D42</f>
        <v>705328566</v>
      </c>
      <c r="E58" s="513" t="s">
        <v>627</v>
      </c>
      <c r="F58" s="533">
        <f>F42</f>
        <v>0</v>
      </c>
      <c r="G58" s="533">
        <f>G42</f>
        <v>1384589424</v>
      </c>
      <c r="H58" s="535">
        <f>H42</f>
        <v>1384589424</v>
      </c>
    </row>
    <row r="59" spans="1:8" ht="13.8" x14ac:dyDescent="0.25">
      <c r="A59" s="518" t="s">
        <v>628</v>
      </c>
      <c r="B59" s="529">
        <f>SUM(B60:B61)</f>
        <v>0</v>
      </c>
      <c r="C59" s="530">
        <f>SUM(C60:C61)</f>
        <v>2505160000</v>
      </c>
      <c r="D59" s="531">
        <f>SUM(D60:D61)</f>
        <v>2505160000</v>
      </c>
      <c r="E59" s="513"/>
      <c r="F59" s="557"/>
      <c r="G59" s="557"/>
      <c r="H59" s="558"/>
    </row>
    <row r="60" spans="1:8" ht="27.6" x14ac:dyDescent="0.25">
      <c r="A60" s="513" t="s">
        <v>584</v>
      </c>
      <c r="B60" s="510">
        <f>B22</f>
        <v>0</v>
      </c>
      <c r="C60" s="533">
        <f>C22</f>
        <v>12800000</v>
      </c>
      <c r="D60" s="534">
        <f>D22</f>
        <v>12800000</v>
      </c>
      <c r="E60" s="513"/>
      <c r="F60" s="533"/>
      <c r="G60" s="533"/>
      <c r="H60" s="535"/>
    </row>
    <row r="61" spans="1:8" ht="28.2" thickBot="1" x14ac:dyDescent="0.3">
      <c r="A61" s="522" t="s">
        <v>611</v>
      </c>
      <c r="B61" s="536">
        <f>B44</f>
        <v>0</v>
      </c>
      <c r="C61" s="537">
        <f>C44</f>
        <v>2492360000</v>
      </c>
      <c r="D61" s="538">
        <f>D44</f>
        <v>2492360000</v>
      </c>
      <c r="E61" s="584"/>
      <c r="F61" s="559"/>
      <c r="G61" s="559"/>
      <c r="H61" s="560"/>
    </row>
    <row r="62" spans="1:8" ht="14.4" thickBot="1" x14ac:dyDescent="0.3">
      <c r="A62" s="503" t="s">
        <v>268</v>
      </c>
      <c r="B62" s="539">
        <f>B54+B56+B59</f>
        <v>460411995</v>
      </c>
      <c r="C62" s="540">
        <f>C54+C56+C59</f>
        <v>9683095504</v>
      </c>
      <c r="D62" s="541">
        <f>D54+D56+D59</f>
        <v>10143507499</v>
      </c>
      <c r="E62" s="503" t="s">
        <v>629</v>
      </c>
      <c r="F62" s="540">
        <f>F54+F56</f>
        <v>708910865</v>
      </c>
      <c r="G62" s="540">
        <f>G54+G56</f>
        <v>9434596634</v>
      </c>
      <c r="H62" s="542">
        <f>H54+H56</f>
        <v>10143507499</v>
      </c>
    </row>
    <row r="63" spans="1:8" ht="13.8" x14ac:dyDescent="0.25">
      <c r="A63" s="543" t="s">
        <v>207</v>
      </c>
      <c r="B63" s="544">
        <f>B62-F62</f>
        <v>-248498870</v>
      </c>
      <c r="C63" s="544">
        <f>C62-G62</f>
        <v>248498870</v>
      </c>
      <c r="D63" s="544">
        <f>D62-H62</f>
        <v>0</v>
      </c>
    </row>
  </sheetData>
  <sheetProtection selectLockedCells="1" selectUnlockedCells="1"/>
  <mergeCells count="6">
    <mergeCell ref="A5:H5"/>
    <mergeCell ref="A28:H28"/>
    <mergeCell ref="A49:H49"/>
    <mergeCell ref="A3:H3"/>
    <mergeCell ref="B1:H1"/>
    <mergeCell ref="B2:H2"/>
  </mergeCells>
  <phoneticPr fontId="28" type="noConversion"/>
  <pageMargins left="0.74791666666666667" right="0.74791666666666667" top="0.98402777777777772" bottom="0.98402777777777772" header="0.51180555555555551" footer="0.51180555555555551"/>
  <pageSetup paperSize="9" scale="58" firstPageNumber="0" orientation="landscape" r:id="rId1"/>
  <headerFooter alignWithMargins="0">
    <oddHeader xml:space="preserve">&amp;C8/a. melléklet az önkormányzat 2017. évi költségvetéséről szóló 8/2017. (II.24.) önkormányzati rendeletéhez&amp;R
&amp;P. oldal
</oddHeader>
  </headerFooter>
  <rowBreaks count="2" manualBreakCount="2">
    <brk id="27" max="16383" man="1"/>
    <brk id="63" max="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M95"/>
  <sheetViews>
    <sheetView view="pageLayout" topLeftCell="E82" zoomScaleNormal="100" zoomScaleSheetLayoutView="89" workbookViewId="0">
      <selection activeCell="I18" sqref="I18"/>
    </sheetView>
  </sheetViews>
  <sheetFormatPr defaultColWidth="9.109375" defaultRowHeight="13.8" x14ac:dyDescent="0.25"/>
  <cols>
    <col min="1" max="1" width="45.6640625" style="1023" customWidth="1"/>
    <col min="2" max="2" width="13.109375" style="1009" customWidth="1"/>
    <col min="3" max="3" width="14.5546875" style="1009" customWidth="1"/>
    <col min="4" max="4" width="16.33203125" style="1009" customWidth="1"/>
    <col min="5" max="5" width="14.5546875" style="1009" customWidth="1"/>
    <col min="6" max="6" width="45.88671875" style="1009" customWidth="1"/>
    <col min="7" max="7" width="12.88671875" style="1012" customWidth="1"/>
    <col min="8" max="8" width="14.33203125" style="1012" customWidth="1"/>
    <col min="9" max="9" width="14.33203125" style="1012" bestFit="1" customWidth="1"/>
    <col min="10" max="10" width="15.6640625" style="1012" customWidth="1"/>
    <col min="11" max="12" width="9.109375" style="1009"/>
    <col min="13" max="13" width="12.5546875" style="1009" customWidth="1"/>
    <col min="14" max="16384" width="9.109375" style="1009"/>
  </cols>
  <sheetData>
    <row r="1" spans="1:10" ht="14.25" customHeight="1" x14ac:dyDescent="0.25">
      <c r="A1" s="1571" t="s">
        <v>947</v>
      </c>
      <c r="B1" s="1571"/>
      <c r="C1" s="1571"/>
      <c r="D1" s="1571"/>
      <c r="E1" s="1571"/>
      <c r="F1" s="1571"/>
      <c r="G1" s="1571"/>
      <c r="H1" s="1571"/>
      <c r="I1" s="1571"/>
      <c r="J1" s="1571"/>
    </row>
    <row r="2" spans="1:10" s="1010" customFormat="1" ht="14.25" customHeight="1" x14ac:dyDescent="0.25">
      <c r="A2" s="1571"/>
      <c r="B2" s="1571"/>
      <c r="C2" s="1571"/>
      <c r="D2" s="1571"/>
      <c r="E2" s="1571"/>
      <c r="F2" s="1571"/>
      <c r="G2" s="1571"/>
      <c r="H2" s="1571"/>
      <c r="I2" s="1571"/>
      <c r="J2" s="1571"/>
    </row>
    <row r="3" spans="1:10" s="1010" customFormat="1" ht="14.25" customHeight="1" x14ac:dyDescent="0.25">
      <c r="A3" s="1571"/>
      <c r="B3" s="1571"/>
      <c r="C3" s="1571"/>
      <c r="D3" s="1571"/>
      <c r="E3" s="1571"/>
      <c r="F3" s="1571"/>
      <c r="G3" s="1571"/>
      <c r="H3" s="1571"/>
      <c r="I3" s="1571"/>
      <c r="J3" s="1571"/>
    </row>
    <row r="4" spans="1:10" s="1010" customFormat="1" ht="14.25" customHeight="1" x14ac:dyDescent="0.3">
      <c r="A4" s="1011"/>
      <c r="B4" s="1011"/>
      <c r="C4" s="1011"/>
      <c r="D4" s="1011"/>
      <c r="E4" s="1011"/>
      <c r="F4" s="1011"/>
      <c r="G4" s="1011"/>
      <c r="H4" s="1011"/>
      <c r="I4" s="1011"/>
      <c r="J4" s="1011"/>
    </row>
    <row r="5" spans="1:10" ht="15.75" customHeight="1" x14ac:dyDescent="0.3">
      <c r="A5" s="1572" t="s">
        <v>948</v>
      </c>
      <c r="B5" s="1572"/>
      <c r="C5" s="1572"/>
      <c r="D5" s="1572"/>
      <c r="E5" s="1572"/>
      <c r="F5" s="1572"/>
      <c r="G5" s="1572"/>
    </row>
    <row r="7" spans="1:10" s="1023" customFormat="1" ht="27.6" x14ac:dyDescent="0.25">
      <c r="A7" s="1013" t="s">
        <v>567</v>
      </c>
      <c r="B7" s="1014" t="s">
        <v>792</v>
      </c>
      <c r="C7" s="1015" t="s">
        <v>378</v>
      </c>
      <c r="D7" s="1016" t="s">
        <v>790</v>
      </c>
      <c r="E7" s="1017" t="s">
        <v>209</v>
      </c>
      <c r="F7" s="1018" t="s">
        <v>568</v>
      </c>
      <c r="G7" s="1019" t="s">
        <v>792</v>
      </c>
      <c r="H7" s="1020" t="s">
        <v>378</v>
      </c>
      <c r="I7" s="1021" t="s">
        <v>790</v>
      </c>
      <c r="J7" s="1022" t="s">
        <v>209</v>
      </c>
    </row>
    <row r="8" spans="1:10" s="1023" customFormat="1" x14ac:dyDescent="0.25">
      <c r="A8" s="1024" t="s">
        <v>51</v>
      </c>
      <c r="B8" s="1025"/>
      <c r="C8" s="1025"/>
      <c r="D8" s="1026"/>
      <c r="E8" s="1027"/>
      <c r="F8" s="1018" t="s">
        <v>789</v>
      </c>
      <c r="G8" s="1028"/>
      <c r="H8" s="1028"/>
      <c r="I8" s="1029"/>
      <c r="J8" s="1030"/>
    </row>
    <row r="9" spans="1:10" ht="27.6" x14ac:dyDescent="0.25">
      <c r="A9" s="1031" t="s">
        <v>949</v>
      </c>
      <c r="B9" s="1032">
        <f>'2.sz.tábla   (2)'!I6-'9. sz. tábla (2)'!B39+'3.sz. tábla  (2)'!C11</f>
        <v>116701773</v>
      </c>
      <c r="C9" s="1033">
        <f>'[2]3.sz. tábla  (2)'!C12*0.7344+603125+21508949*0.649</f>
        <v>148007342.80180001</v>
      </c>
      <c r="D9" s="1034">
        <f>'2.sz.tábla   (2)'!C6-'3.sz. tábla  (2)'!C13-'9. sz. tábla (2)'!D39</f>
        <v>726175863</v>
      </c>
      <c r="E9" s="1035">
        <f>SUM(B9:D9)</f>
        <v>990884978.80180001</v>
      </c>
      <c r="F9" s="1036" t="s">
        <v>406</v>
      </c>
      <c r="G9" s="1032">
        <f>'4.sz.tábla '!C7-'9. sz. tábla (2)'!G39</f>
        <v>120204566</v>
      </c>
      <c r="H9" s="1032">
        <v>184427638</v>
      </c>
      <c r="I9" s="1037">
        <v>57216301</v>
      </c>
      <c r="J9" s="1038">
        <f>SUM(G9:I9)</f>
        <v>361848505</v>
      </c>
    </row>
    <row r="10" spans="1:10" ht="17.25" customHeight="1" x14ac:dyDescent="0.25">
      <c r="A10" s="1039" t="s">
        <v>570</v>
      </c>
      <c r="B10" s="1040"/>
      <c r="C10" s="1040"/>
      <c r="D10" s="505">
        <f>'2.sz.tábla   (2)'!C29</f>
        <v>1675400000</v>
      </c>
      <c r="E10" s="1035">
        <f>SUM(B10:D10)</f>
        <v>1675400000</v>
      </c>
      <c r="F10" s="1041" t="s">
        <v>395</v>
      </c>
      <c r="G10" s="1032">
        <f>'4.sz.tábla '!F7-'9. sz. tábla (2)'!G40</f>
        <v>27234014</v>
      </c>
      <c r="H10" s="1032">
        <v>45118567</v>
      </c>
      <c r="I10" s="1037">
        <v>10811489</v>
      </c>
      <c r="J10" s="1038">
        <f t="shared" ref="J10:J18" si="0">SUM(G10:I10)</f>
        <v>83164070</v>
      </c>
    </row>
    <row r="11" spans="1:10" x14ac:dyDescent="0.25">
      <c r="A11" s="1042" t="s">
        <v>572</v>
      </c>
      <c r="B11" s="1032">
        <f>'2.sz.tábla   (2)'!I42-'9. sz. tábla (2)'!B41</f>
        <v>15598000</v>
      </c>
      <c r="C11" s="1032">
        <f>'[2]2.sz.tábla   (2)'!F41-'[2]9. sz. tábla (2)'!C73</f>
        <v>16109950</v>
      </c>
      <c r="D11" s="1037">
        <f>'2.sz.tábla   (2)'!C42-'9. sz. tábla (2)'!D41</f>
        <v>511936889</v>
      </c>
      <c r="E11" s="1035">
        <f>SUM(B11:D11)</f>
        <v>543644839</v>
      </c>
      <c r="F11" s="1041" t="s">
        <v>396</v>
      </c>
      <c r="G11" s="1032">
        <f>'4.sz.tábla '!I7-'9. sz. tábla (2)'!G41</f>
        <v>54750561</v>
      </c>
      <c r="H11" s="1032">
        <v>59237271</v>
      </c>
      <c r="I11" s="1037">
        <v>712606008</v>
      </c>
      <c r="J11" s="1038">
        <f t="shared" si="0"/>
        <v>826593840</v>
      </c>
    </row>
    <row r="12" spans="1:10" ht="27.6" x14ac:dyDescent="0.25">
      <c r="A12" s="1043" t="s">
        <v>576</v>
      </c>
      <c r="B12" s="1032"/>
      <c r="C12" s="1044"/>
      <c r="D12" s="1045"/>
      <c r="E12" s="1035">
        <f>SUM(B12:D12)</f>
        <v>0</v>
      </c>
      <c r="F12" s="1036" t="s">
        <v>427</v>
      </c>
      <c r="G12" s="1032"/>
      <c r="H12" s="1032">
        <v>2394400</v>
      </c>
      <c r="I12" s="1037">
        <v>28702500</v>
      </c>
      <c r="J12" s="1038">
        <f t="shared" si="0"/>
        <v>31096900</v>
      </c>
    </row>
    <row r="13" spans="1:10" x14ac:dyDescent="0.25">
      <c r="A13" s="1039"/>
      <c r="B13" s="1032"/>
      <c r="C13" s="1032"/>
      <c r="D13" s="1037"/>
      <c r="E13" s="1038"/>
      <c r="F13" s="1041" t="s">
        <v>402</v>
      </c>
      <c r="G13" s="1032"/>
      <c r="H13" s="1032"/>
      <c r="I13" s="1037"/>
      <c r="J13" s="1038">
        <f t="shared" si="0"/>
        <v>0</v>
      </c>
    </row>
    <row r="14" spans="1:10" x14ac:dyDescent="0.25">
      <c r="A14" s="1042"/>
      <c r="B14" s="1032"/>
      <c r="C14" s="1032"/>
      <c r="D14" s="1037"/>
      <c r="E14" s="1038"/>
      <c r="F14" s="509" t="s">
        <v>665</v>
      </c>
      <c r="G14" s="1032"/>
      <c r="H14" s="1032"/>
      <c r="I14" s="1037">
        <v>1080</v>
      </c>
      <c r="J14" s="1038">
        <f t="shared" si="0"/>
        <v>1080</v>
      </c>
    </row>
    <row r="15" spans="1:10" ht="27.6" x14ac:dyDescent="0.25">
      <c r="A15" s="1042"/>
      <c r="B15" s="1032"/>
      <c r="C15" s="1032"/>
      <c r="D15" s="1037"/>
      <c r="E15" s="1038"/>
      <c r="F15" s="509" t="s">
        <v>666</v>
      </c>
      <c r="G15" s="1032">
        <f>'[2]4.sz.tábla '!U7-G45</f>
        <v>0</v>
      </c>
      <c r="H15" s="1032">
        <v>1366403</v>
      </c>
      <c r="I15" s="1037">
        <v>477946266</v>
      </c>
      <c r="J15" s="1038">
        <f t="shared" si="0"/>
        <v>479312669</v>
      </c>
    </row>
    <row r="16" spans="1:10" ht="27.6" x14ac:dyDescent="0.25">
      <c r="A16" s="1031"/>
      <c r="B16" s="1032"/>
      <c r="C16" s="1044"/>
      <c r="D16" s="1045"/>
      <c r="E16" s="1046"/>
      <c r="F16" s="515" t="s">
        <v>667</v>
      </c>
      <c r="G16" s="1032"/>
      <c r="H16" s="1032"/>
      <c r="I16" s="1037">
        <v>11500000</v>
      </c>
      <c r="J16" s="1038">
        <f t="shared" si="0"/>
        <v>11500000</v>
      </c>
    </row>
    <row r="17" spans="1:10" ht="27.6" x14ac:dyDescent="0.25">
      <c r="A17" s="1047"/>
      <c r="B17" s="1032"/>
      <c r="C17" s="1032"/>
      <c r="D17" s="1037"/>
      <c r="E17" s="1038"/>
      <c r="F17" s="509" t="s">
        <v>668</v>
      </c>
      <c r="G17" s="1032"/>
      <c r="H17" s="1032"/>
      <c r="I17" s="1037"/>
      <c r="J17" s="1038">
        <f t="shared" si="0"/>
        <v>0</v>
      </c>
    </row>
    <row r="18" spans="1:10" x14ac:dyDescent="0.25">
      <c r="A18" s="1039"/>
      <c r="B18" s="1032"/>
      <c r="C18" s="1032"/>
      <c r="D18" s="1037"/>
      <c r="E18" s="1038"/>
      <c r="F18" s="1092" t="s">
        <v>651</v>
      </c>
      <c r="G18" s="1093"/>
      <c r="H18" s="1093"/>
      <c r="I18" s="517">
        <f>'8a. sz. tábla  (4)'!G17</f>
        <v>80556761</v>
      </c>
      <c r="J18" s="1094">
        <f t="shared" si="0"/>
        <v>80556761</v>
      </c>
    </row>
    <row r="19" spans="1:10" s="1051" customFormat="1" ht="27.6" x14ac:dyDescent="0.25">
      <c r="A19" s="1013" t="s">
        <v>950</v>
      </c>
      <c r="B19" s="1048">
        <f>SUM(B9:B18)</f>
        <v>132299773</v>
      </c>
      <c r="C19" s="1048">
        <f>SUM(C9:C18)</f>
        <v>164117292.80180001</v>
      </c>
      <c r="D19" s="1049">
        <f>SUM(D9:D18)</f>
        <v>2913512752</v>
      </c>
      <c r="E19" s="1049">
        <f>SUM(E9:E18)</f>
        <v>3209929817.8017998</v>
      </c>
      <c r="F19" s="1095" t="s">
        <v>951</v>
      </c>
      <c r="G19" s="1050">
        <f>SUM(G9:G18)</f>
        <v>202189141</v>
      </c>
      <c r="H19" s="1050">
        <f>SUM(H9:H18)</f>
        <v>292544279</v>
      </c>
      <c r="I19" s="1050">
        <f>SUM(I9:I18)</f>
        <v>1379340405</v>
      </c>
      <c r="J19" s="1050">
        <f>SUM(J9:J18)</f>
        <v>1874073825</v>
      </c>
    </row>
    <row r="20" spans="1:10" x14ac:dyDescent="0.25">
      <c r="A20" s="1029" t="s">
        <v>952</v>
      </c>
      <c r="B20" s="1032">
        <f>'2.sz.tábla   (2)'!I76-'9. sz. tábla (2)'!B50</f>
        <v>4842849</v>
      </c>
      <c r="C20" s="1032">
        <f>'[2]2.sz.tábla   (2)'!F75-'[2]9. sz. tábla (2)'!C82</f>
        <v>24232422</v>
      </c>
      <c r="D20" s="1037">
        <f>1796820+2898445+850000+31290809+10000000+78000+53486734+2077274+168285837</f>
        <v>270763919</v>
      </c>
      <c r="E20" s="1089">
        <f>SUM(B20:D20)</f>
        <v>299839190</v>
      </c>
      <c r="F20" s="1030" t="s">
        <v>953</v>
      </c>
      <c r="G20" s="1038"/>
      <c r="H20" s="1038"/>
      <c r="I20" s="1038">
        <v>44090809</v>
      </c>
      <c r="J20" s="1038">
        <f>SUM(G20:I20)</f>
        <v>44090809</v>
      </c>
    </row>
    <row r="21" spans="1:10" ht="41.4" x14ac:dyDescent="0.25">
      <c r="A21" s="1013" t="s">
        <v>954</v>
      </c>
      <c r="B21" s="1048">
        <f>B19+B20</f>
        <v>137142622</v>
      </c>
      <c r="C21" s="1048">
        <f>C19+C20</f>
        <v>188349714.80180001</v>
      </c>
      <c r="D21" s="1049">
        <f>D19+D20</f>
        <v>3184276671</v>
      </c>
      <c r="E21" s="1090">
        <f>E19+E20</f>
        <v>3509769007.8017998</v>
      </c>
      <c r="F21" s="1095" t="s">
        <v>955</v>
      </c>
      <c r="G21" s="1050">
        <f>G19+G20</f>
        <v>202189141</v>
      </c>
      <c r="H21" s="1050">
        <f>H19+H20</f>
        <v>292544279</v>
      </c>
      <c r="I21" s="1050">
        <f>I19+I20</f>
        <v>1423431214</v>
      </c>
      <c r="J21" s="1050">
        <f>J19+J20</f>
        <v>1918164634</v>
      </c>
    </row>
    <row r="22" spans="1:10" x14ac:dyDescent="0.25">
      <c r="A22" s="1053" t="s">
        <v>956</v>
      </c>
      <c r="B22" s="1054"/>
      <c r="C22" s="1054"/>
      <c r="D22" s="1054"/>
      <c r="E22" s="1091"/>
      <c r="F22" s="1055" t="s">
        <v>793</v>
      </c>
      <c r="G22" s="1057"/>
      <c r="H22" s="1057"/>
      <c r="I22" s="1057"/>
      <c r="J22" s="1057"/>
    </row>
    <row r="23" spans="1:10" ht="27.6" x14ac:dyDescent="0.25">
      <c r="A23" s="1043" t="s">
        <v>591</v>
      </c>
      <c r="B23" s="1032"/>
      <c r="C23" s="1032"/>
      <c r="D23" s="1037">
        <f>'2.sz.tábla   (2)'!C21-'9. sz. tábla (2)'!D53</f>
        <v>1424985384</v>
      </c>
      <c r="E23" s="1089">
        <f>SUM(B23:D23)</f>
        <v>1424985384</v>
      </c>
      <c r="F23" s="1096" t="s">
        <v>592</v>
      </c>
      <c r="G23" s="1038"/>
      <c r="H23" s="1038"/>
      <c r="I23" s="1038">
        <v>2717309416</v>
      </c>
      <c r="J23" s="1038">
        <f t="shared" ref="J23:J28" si="1">SUM(G23:I23)</f>
        <v>2717309416</v>
      </c>
    </row>
    <row r="24" spans="1:10" x14ac:dyDescent="0.25">
      <c r="A24" s="1058" t="s">
        <v>957</v>
      </c>
      <c r="B24" s="1032"/>
      <c r="C24" s="1032"/>
      <c r="D24" s="1037">
        <f>100000000+3800000+1223100+1732283</f>
        <v>106755383</v>
      </c>
      <c r="E24" s="1089">
        <f>SUM(B24:D24)</f>
        <v>106755383</v>
      </c>
      <c r="F24" s="1096" t="s">
        <v>594</v>
      </c>
      <c r="G24" s="1038">
        <f>'4.sz.tábla '!W7-'9. sz. tábla (2)'!G54</f>
        <v>3761501</v>
      </c>
      <c r="H24" s="1038">
        <v>5773718</v>
      </c>
      <c r="I24" s="1038"/>
      <c r="J24" s="1038">
        <f t="shared" si="1"/>
        <v>9535219</v>
      </c>
    </row>
    <row r="25" spans="1:10" ht="27.6" x14ac:dyDescent="0.25">
      <c r="A25" s="1058" t="s">
        <v>958</v>
      </c>
      <c r="B25" s="1032"/>
      <c r="C25" s="1032"/>
      <c r="D25" s="1037" t="s">
        <v>959</v>
      </c>
      <c r="E25" s="1089">
        <f>SUM(B25:D25)</f>
        <v>0</v>
      </c>
      <c r="F25" s="1096" t="s">
        <v>596</v>
      </c>
      <c r="G25" s="1038"/>
      <c r="H25" s="1038"/>
      <c r="I25" s="1038">
        <v>94245404</v>
      </c>
      <c r="J25" s="1038">
        <f t="shared" si="1"/>
        <v>94245404</v>
      </c>
    </row>
    <row r="26" spans="1:10" x14ac:dyDescent="0.25">
      <c r="A26" s="1039"/>
      <c r="B26" s="1032"/>
      <c r="C26" s="1032"/>
      <c r="D26" s="1037"/>
      <c r="E26" s="1089"/>
      <c r="F26" s="1096" t="s">
        <v>960</v>
      </c>
      <c r="G26" s="1038"/>
      <c r="H26" s="1038"/>
      <c r="I26" s="1038"/>
      <c r="J26" s="1038">
        <f t="shared" si="1"/>
        <v>0</v>
      </c>
    </row>
    <row r="27" spans="1:10" ht="27.6" x14ac:dyDescent="0.25">
      <c r="A27" s="1039"/>
      <c r="B27" s="1032"/>
      <c r="C27" s="1032"/>
      <c r="D27" s="1037"/>
      <c r="E27" s="1089"/>
      <c r="F27" s="1096" t="s">
        <v>961</v>
      </c>
      <c r="G27" s="1038"/>
      <c r="H27" s="1038"/>
      <c r="I27" s="1038">
        <v>0</v>
      </c>
      <c r="J27" s="1038">
        <f t="shared" si="1"/>
        <v>0</v>
      </c>
    </row>
    <row r="28" spans="1:10" ht="27.6" x14ac:dyDescent="0.25">
      <c r="A28" s="1039"/>
      <c r="B28" s="1032"/>
      <c r="C28" s="1032"/>
      <c r="D28" s="1037"/>
      <c r="E28" s="1089"/>
      <c r="F28" s="1097" t="s">
        <v>962</v>
      </c>
      <c r="G28" s="1038"/>
      <c r="H28" s="1038"/>
      <c r="I28" s="1038">
        <v>2550000</v>
      </c>
      <c r="J28" s="1038">
        <f t="shared" si="1"/>
        <v>2550000</v>
      </c>
    </row>
    <row r="29" spans="1:10" ht="27.6" x14ac:dyDescent="0.25">
      <c r="A29" s="1060"/>
      <c r="B29" s="1032"/>
      <c r="C29" s="1032"/>
      <c r="D29" s="1037"/>
      <c r="E29" s="1089"/>
      <c r="F29" s="1096" t="s">
        <v>205</v>
      </c>
      <c r="G29" s="1038"/>
      <c r="H29" s="1038"/>
      <c r="I29" s="1038"/>
      <c r="J29" s="1057"/>
    </row>
    <row r="30" spans="1:10" x14ac:dyDescent="0.25">
      <c r="A30" s="1060"/>
      <c r="B30" s="1032"/>
      <c r="C30" s="1032"/>
      <c r="D30" s="1037"/>
      <c r="E30" s="1089"/>
      <c r="F30" s="1098" t="s">
        <v>32</v>
      </c>
      <c r="G30" s="1038"/>
      <c r="H30" s="1038"/>
      <c r="I30" s="1038">
        <f>'8a. sz. tábla  (4)'!G39</f>
        <v>858527797</v>
      </c>
      <c r="J30" s="1057"/>
    </row>
    <row r="31" spans="1:10" s="1051" customFormat="1" ht="27.6" x14ac:dyDescent="0.25">
      <c r="A31" s="1013" t="s">
        <v>963</v>
      </c>
      <c r="B31" s="1048">
        <f>SUM(B23:B29)</f>
        <v>0</v>
      </c>
      <c r="C31" s="1048">
        <f>SUM(C23:C29)</f>
        <v>0</v>
      </c>
      <c r="D31" s="1049">
        <f>SUM(D23:D29)</f>
        <v>1531740767</v>
      </c>
      <c r="E31" s="1090">
        <f>SUM(E23:E29)</f>
        <v>1531740767</v>
      </c>
      <c r="F31" s="1095" t="s">
        <v>964</v>
      </c>
      <c r="G31" s="1050">
        <f>SUM(G23:G29)</f>
        <v>3761501</v>
      </c>
      <c r="H31" s="1050">
        <f>SUM(H23:H29)</f>
        <v>5773718</v>
      </c>
      <c r="I31" s="1050">
        <f>SUM(I23:I30)</f>
        <v>3672632617</v>
      </c>
      <c r="J31" s="1050">
        <f>SUM(J23:J29)</f>
        <v>2823640039</v>
      </c>
    </row>
    <row r="32" spans="1:10" ht="15" customHeight="1" x14ac:dyDescent="0.25">
      <c r="A32" s="1029" t="s">
        <v>952</v>
      </c>
      <c r="B32" s="1032">
        <f>'2.sz.tábla   (2)'!I77-'9. sz. tábla (2)'!B62</f>
        <v>386301</v>
      </c>
      <c r="C32" s="1032">
        <f>'[2]2.sz.tábla   (2)'!F76-'[2]9. sz. tábla (2)'!C90</f>
        <v>1618837.92</v>
      </c>
      <c r="D32" s="1037">
        <f>6868000+16842955+44670000+113037000+12800000</f>
        <v>194217955</v>
      </c>
      <c r="E32" s="1089">
        <f>SUM(B32:D32)</f>
        <v>196223093.91999999</v>
      </c>
      <c r="F32" s="1030" t="s">
        <v>953</v>
      </c>
      <c r="G32" s="1038"/>
      <c r="H32" s="1038"/>
      <c r="I32" s="1038">
        <v>74242424</v>
      </c>
      <c r="J32" s="1038">
        <f>SUM(G32:I32)</f>
        <v>74242424</v>
      </c>
    </row>
    <row r="33" spans="1:13" ht="41.4" x14ac:dyDescent="0.25">
      <c r="A33" s="1053" t="s">
        <v>965</v>
      </c>
      <c r="B33" s="1048">
        <f>B31+B32</f>
        <v>386301</v>
      </c>
      <c r="C33" s="1048">
        <f>C31+C32</f>
        <v>1618837.92</v>
      </c>
      <c r="D33" s="1049">
        <f>D31+D32</f>
        <v>1725958722</v>
      </c>
      <c r="E33" s="1090">
        <f>E31+E32</f>
        <v>1727963860.9200001</v>
      </c>
      <c r="F33" s="1095" t="s">
        <v>966</v>
      </c>
      <c r="G33" s="1050">
        <f>G31+G32</f>
        <v>3761501</v>
      </c>
      <c r="H33" s="1050">
        <f>H31+H32</f>
        <v>5773718</v>
      </c>
      <c r="I33" s="1050">
        <f>I31+I32</f>
        <v>3746875041</v>
      </c>
      <c r="J33" s="1050">
        <f>J31+J32</f>
        <v>2897882463</v>
      </c>
    </row>
    <row r="34" spans="1:13" x14ac:dyDescent="0.25">
      <c r="B34" s="1062">
        <f>B33+B21</f>
        <v>137528923</v>
      </c>
      <c r="C34" s="1062">
        <f>C33+C21</f>
        <v>189968552.7218</v>
      </c>
      <c r="D34" s="1062">
        <f>D33+D21</f>
        <v>4910235393</v>
      </c>
      <c r="E34" s="1062">
        <f>E33+E21</f>
        <v>5237732868.7217999</v>
      </c>
      <c r="G34" s="1063">
        <f>G33+G21</f>
        <v>205950642</v>
      </c>
      <c r="H34" s="1063">
        <f>H33+H21</f>
        <v>298317997</v>
      </c>
      <c r="I34" s="1063">
        <f>I33+I21</f>
        <v>5170306255</v>
      </c>
      <c r="J34" s="1063">
        <f>J33+J21</f>
        <v>4816047097</v>
      </c>
    </row>
    <row r="35" spans="1:13" ht="15.75" customHeight="1" x14ac:dyDescent="0.3">
      <c r="A35" s="1572" t="s">
        <v>967</v>
      </c>
      <c r="B35" s="1572"/>
      <c r="C35" s="1572"/>
      <c r="D35" s="1572"/>
      <c r="E35" s="1572"/>
      <c r="F35" s="1572"/>
      <c r="G35" s="1572"/>
    </row>
    <row r="37" spans="1:13" s="1023" customFormat="1" ht="27.6" x14ac:dyDescent="0.25">
      <c r="A37" s="1064" t="s">
        <v>567</v>
      </c>
      <c r="B37" s="1014" t="s">
        <v>792</v>
      </c>
      <c r="C37" s="1015" t="s">
        <v>378</v>
      </c>
      <c r="D37" s="1016" t="s">
        <v>790</v>
      </c>
      <c r="E37" s="1017" t="s">
        <v>209</v>
      </c>
      <c r="F37" s="1065" t="s">
        <v>568</v>
      </c>
      <c r="G37" s="1019" t="s">
        <v>792</v>
      </c>
      <c r="H37" s="1020" t="s">
        <v>378</v>
      </c>
      <c r="I37" s="1021" t="s">
        <v>790</v>
      </c>
      <c r="J37" s="1022" t="s">
        <v>209</v>
      </c>
    </row>
    <row r="38" spans="1:13" x14ac:dyDescent="0.25">
      <c r="A38" s="1024" t="s">
        <v>51</v>
      </c>
      <c r="B38" s="1025"/>
      <c r="C38" s="1025"/>
      <c r="D38" s="1026"/>
      <c r="E38" s="1027"/>
      <c r="F38" s="1018" t="s">
        <v>789</v>
      </c>
      <c r="G38" s="1066"/>
      <c r="H38" s="1066"/>
      <c r="I38" s="1067"/>
      <c r="J38" s="1057"/>
      <c r="L38" s="1068"/>
      <c r="M38" s="1068" t="s">
        <v>968</v>
      </c>
    </row>
    <row r="39" spans="1:13" ht="27.6" x14ac:dyDescent="0.25">
      <c r="A39" s="1031" t="s">
        <v>949</v>
      </c>
      <c r="B39" s="1032">
        <f>45950731+168607</f>
        <v>46119338</v>
      </c>
      <c r="C39" s="1032"/>
      <c r="D39" s="1037">
        <f>3461832+35575500+16357600+18000000+600000+320179500</f>
        <v>394174432</v>
      </c>
      <c r="E39" s="1038">
        <f>SUM(B39:D39)</f>
        <v>440293770</v>
      </c>
      <c r="F39" s="1036" t="s">
        <v>406</v>
      </c>
      <c r="G39" s="1032">
        <v>41951435</v>
      </c>
      <c r="H39" s="1032"/>
      <c r="I39" s="1037">
        <v>24943663</v>
      </c>
      <c r="J39" s="1038">
        <f>SUM(G39:I39)</f>
        <v>66895098</v>
      </c>
      <c r="M39" s="1009">
        <v>41284</v>
      </c>
    </row>
    <row r="40" spans="1:13" x14ac:dyDescent="0.25">
      <c r="A40" s="1039" t="s">
        <v>570</v>
      </c>
      <c r="B40" s="1032"/>
      <c r="C40" s="1032"/>
      <c r="D40" s="1037"/>
      <c r="E40" s="1038">
        <f>SUM(B40:D40)</f>
        <v>0</v>
      </c>
      <c r="F40" s="1041" t="s">
        <v>395</v>
      </c>
      <c r="G40" s="1032">
        <v>10124608</v>
      </c>
      <c r="H40" s="1032"/>
      <c r="I40" s="1037">
        <v>7228448</v>
      </c>
      <c r="J40" s="1038">
        <f t="shared" ref="J40:J47" si="2">SUM(G40:I40)</f>
        <v>17353056</v>
      </c>
      <c r="M40" s="1009">
        <v>9596</v>
      </c>
    </row>
    <row r="41" spans="1:13" x14ac:dyDescent="0.25">
      <c r="A41" s="1042" t="s">
        <v>572</v>
      </c>
      <c r="B41" s="1032">
        <v>21750000</v>
      </c>
      <c r="C41" s="1032"/>
      <c r="D41" s="1037">
        <f>16905228+14000000+5967322</f>
        <v>36872550</v>
      </c>
      <c r="E41" s="1038">
        <f>SUM(B41:D41)</f>
        <v>58622550</v>
      </c>
      <c r="F41" s="1041" t="s">
        <v>396</v>
      </c>
      <c r="G41" s="1032">
        <v>45220361</v>
      </c>
      <c r="H41" s="1032"/>
      <c r="I41" s="1037">
        <v>424214362</v>
      </c>
      <c r="J41" s="1038">
        <f t="shared" si="2"/>
        <v>469434723</v>
      </c>
      <c r="M41" s="1009">
        <v>36690</v>
      </c>
    </row>
    <row r="42" spans="1:13" ht="27.6" x14ac:dyDescent="0.25">
      <c r="A42" s="1043" t="s">
        <v>576</v>
      </c>
      <c r="B42" s="1032"/>
      <c r="C42" s="1032"/>
      <c r="D42" s="1037">
        <f>'2.sz.tábla   (2)'!C65</f>
        <v>6150575</v>
      </c>
      <c r="E42" s="1038">
        <f>SUM(B42:D42)</f>
        <v>6150575</v>
      </c>
      <c r="F42" s="1036" t="s">
        <v>427</v>
      </c>
      <c r="G42" s="1032"/>
      <c r="H42" s="1032"/>
      <c r="I42" s="1037"/>
      <c r="J42" s="1038">
        <f t="shared" si="2"/>
        <v>0</v>
      </c>
      <c r="M42" s="1009">
        <v>200</v>
      </c>
    </row>
    <row r="43" spans="1:13" x14ac:dyDescent="0.25">
      <c r="A43" s="1039"/>
      <c r="B43" s="1032"/>
      <c r="C43" s="1032"/>
      <c r="D43" s="1037"/>
      <c r="E43" s="1038">
        <f>SUM(B43:D43)</f>
        <v>0</v>
      </c>
      <c r="F43" s="1041" t="s">
        <v>402</v>
      </c>
      <c r="G43" s="1032"/>
      <c r="H43" s="1032"/>
      <c r="I43" s="1037"/>
      <c r="J43" s="1038">
        <f t="shared" si="2"/>
        <v>0</v>
      </c>
      <c r="M43" s="1009">
        <f>SUM(M39:M42)</f>
        <v>87770</v>
      </c>
    </row>
    <row r="44" spans="1:13" x14ac:dyDescent="0.25">
      <c r="A44" s="1042"/>
      <c r="B44" s="1032"/>
      <c r="C44" s="1032"/>
      <c r="D44" s="1037"/>
      <c r="E44" s="1038"/>
      <c r="F44" s="509" t="s">
        <v>665</v>
      </c>
      <c r="G44" s="1032"/>
      <c r="H44" s="1032"/>
      <c r="I44" s="1037"/>
      <c r="J44" s="1038">
        <f t="shared" si="2"/>
        <v>0</v>
      </c>
    </row>
    <row r="45" spans="1:13" ht="27.6" x14ac:dyDescent="0.25">
      <c r="A45" s="1042"/>
      <c r="B45" s="1032"/>
      <c r="C45" s="1032"/>
      <c r="D45" s="1037"/>
      <c r="E45" s="1038"/>
      <c r="F45" s="509" t="s">
        <v>666</v>
      </c>
      <c r="G45" s="1032"/>
      <c r="H45" s="1032"/>
      <c r="I45" s="1037">
        <v>19648229</v>
      </c>
      <c r="J45" s="1038">
        <f t="shared" si="2"/>
        <v>19648229</v>
      </c>
    </row>
    <row r="46" spans="1:13" ht="27.6" x14ac:dyDescent="0.25">
      <c r="A46" s="1031"/>
      <c r="B46" s="1032"/>
      <c r="C46" s="1044"/>
      <c r="D46" s="1045"/>
      <c r="E46" s="1046"/>
      <c r="F46" s="515" t="s">
        <v>667</v>
      </c>
      <c r="G46" s="1032"/>
      <c r="H46" s="1032"/>
      <c r="I46" s="1037">
        <v>486514058</v>
      </c>
      <c r="J46" s="1038">
        <f t="shared" si="2"/>
        <v>486514058</v>
      </c>
    </row>
    <row r="47" spans="1:13" ht="27.6" x14ac:dyDescent="0.25">
      <c r="A47" s="1047"/>
      <c r="B47" s="1032"/>
      <c r="C47" s="1032"/>
      <c r="D47" s="1037"/>
      <c r="E47" s="1038"/>
      <c r="F47" s="509" t="s">
        <v>668</v>
      </c>
      <c r="G47" s="1032"/>
      <c r="H47" s="1032"/>
      <c r="I47" s="1037">
        <v>0</v>
      </c>
      <c r="J47" s="1038">
        <f t="shared" si="2"/>
        <v>0</v>
      </c>
    </row>
    <row r="48" spans="1:13" x14ac:dyDescent="0.25">
      <c r="A48" s="1039"/>
      <c r="B48" s="1032"/>
      <c r="C48" s="1032"/>
      <c r="D48" s="1037"/>
      <c r="E48" s="1038"/>
      <c r="F48" s="516" t="s">
        <v>651</v>
      </c>
      <c r="G48" s="1032"/>
      <c r="H48" s="1032"/>
      <c r="I48" s="1037"/>
      <c r="J48" s="1057"/>
    </row>
    <row r="49" spans="1:13" ht="27.6" x14ac:dyDescent="0.25">
      <c r="A49" s="1013" t="s">
        <v>969</v>
      </c>
      <c r="B49" s="1048">
        <f>SUM(B39:B48)</f>
        <v>67869338</v>
      </c>
      <c r="C49" s="1048">
        <f>SUM(C39:C48)</f>
        <v>0</v>
      </c>
      <c r="D49" s="1049">
        <f>SUM(D39:D48)</f>
        <v>437197557</v>
      </c>
      <c r="E49" s="1050">
        <f>SUM(E39:E48)</f>
        <v>505066895</v>
      </c>
      <c r="F49" s="1018" t="s">
        <v>970</v>
      </c>
      <c r="G49" s="1048">
        <f>SUM(G39:G48)</f>
        <v>97296404</v>
      </c>
      <c r="H49" s="1048">
        <f>SUM(H39:H48)</f>
        <v>0</v>
      </c>
      <c r="I49" s="1049">
        <f>SUM(I39:I48)</f>
        <v>962548760</v>
      </c>
      <c r="J49" s="1050">
        <f>SUM(J39:J48)</f>
        <v>1059845164</v>
      </c>
      <c r="M49" s="1062">
        <f>I19+I49</f>
        <v>2341889165</v>
      </c>
    </row>
    <row r="50" spans="1:13" x14ac:dyDescent="0.25">
      <c r="A50" s="1029" t="s">
        <v>952</v>
      </c>
      <c r="B50" s="1032">
        <f>8148956-B62</f>
        <v>7548956</v>
      </c>
      <c r="C50" s="1032"/>
      <c r="D50" s="1037">
        <f>'2.sz.tábla   (2)'!C76+'2.sz.tábla   (2)'!C84+'2.sz.tábla   (2)'!C89-'9. sz. tábla (2)'!D20</f>
        <v>2549529444</v>
      </c>
      <c r="E50" s="1038">
        <f>SUM(B50:D50)</f>
        <v>2557078400</v>
      </c>
      <c r="F50" s="1052" t="s">
        <v>953</v>
      </c>
      <c r="G50" s="1032"/>
      <c r="H50" s="1032"/>
      <c r="I50" s="1037">
        <v>1310347000</v>
      </c>
      <c r="J50" s="1057"/>
    </row>
    <row r="51" spans="1:13" ht="41.4" x14ac:dyDescent="0.25">
      <c r="A51" s="1013" t="s">
        <v>971</v>
      </c>
      <c r="B51" s="1048">
        <f>B49+B50</f>
        <v>75418294</v>
      </c>
      <c r="C51" s="1048">
        <f>C49+C50</f>
        <v>0</v>
      </c>
      <c r="D51" s="1049">
        <f>D49+D50</f>
        <v>2986727001</v>
      </c>
      <c r="E51" s="1050">
        <f>E49+E50</f>
        <v>3062145295</v>
      </c>
      <c r="F51" s="1018" t="s">
        <v>972</v>
      </c>
      <c r="G51" s="1048">
        <f>G49+G50</f>
        <v>97296404</v>
      </c>
      <c r="H51" s="1048">
        <f>H49+H50</f>
        <v>0</v>
      </c>
      <c r="I51" s="1049">
        <f>I49+I50</f>
        <v>2272895760</v>
      </c>
      <c r="J51" s="1050">
        <f>J49+J50</f>
        <v>1059845164</v>
      </c>
    </row>
    <row r="52" spans="1:13" x14ac:dyDescent="0.25">
      <c r="A52" s="1013" t="s">
        <v>956</v>
      </c>
      <c r="B52" s="1054"/>
      <c r="C52" s="1054"/>
      <c r="D52" s="1054"/>
      <c r="E52" s="1055"/>
      <c r="F52" s="1069" t="s">
        <v>793</v>
      </c>
      <c r="G52" s="1056"/>
      <c r="H52" s="1056"/>
      <c r="I52" s="1056"/>
      <c r="J52" s="1057"/>
    </row>
    <row r="53" spans="1:13" ht="27.6" x14ac:dyDescent="0.25">
      <c r="A53" s="1043" t="s">
        <v>591</v>
      </c>
      <c r="B53" s="1032"/>
      <c r="C53" s="1032"/>
      <c r="D53" s="1037">
        <f>112806354-31410961+320179500-320179500+19587409+170036339+590000000+76775000</f>
        <v>937794141</v>
      </c>
      <c r="E53" s="1038">
        <f>SUM(B53:D53)</f>
        <v>937794141</v>
      </c>
      <c r="F53" s="1036" t="s">
        <v>592</v>
      </c>
      <c r="G53" s="1032"/>
      <c r="H53" s="1032"/>
      <c r="I53" s="1037">
        <v>1091409244</v>
      </c>
      <c r="J53" s="1038">
        <f>SUM(G53:I53)</f>
        <v>1091409244</v>
      </c>
    </row>
    <row r="54" spans="1:13" x14ac:dyDescent="0.25">
      <c r="A54" s="1058" t="s">
        <v>957</v>
      </c>
      <c r="B54" s="1032"/>
      <c r="C54" s="1032"/>
      <c r="D54" s="1037">
        <f>47500000+17100000</f>
        <v>64600000</v>
      </c>
      <c r="E54" s="1038">
        <f>SUM(B54:D54)</f>
        <v>64600000</v>
      </c>
      <c r="F54" s="1041" t="s">
        <v>594</v>
      </c>
      <c r="G54" s="1032">
        <v>800000</v>
      </c>
      <c r="H54" s="1032"/>
      <c r="I54" s="1037"/>
      <c r="J54" s="1038">
        <f t="shared" ref="J54:J60" si="3">SUM(G54:I54)</f>
        <v>800000</v>
      </c>
    </row>
    <row r="55" spans="1:13" ht="27.6" x14ac:dyDescent="0.25">
      <c r="A55" s="1058" t="s">
        <v>958</v>
      </c>
      <c r="B55" s="1032"/>
      <c r="C55" s="1070"/>
      <c r="D55" s="1071">
        <f>'2.sz.tábla   (2)'!C69</f>
        <v>275818959</v>
      </c>
      <c r="E55" s="1038">
        <f>SUM(B55:D55)</f>
        <v>275818959</v>
      </c>
      <c r="F55" s="1041" t="s">
        <v>596</v>
      </c>
      <c r="G55" s="1032"/>
      <c r="H55" s="1032"/>
      <c r="I55" s="1037"/>
      <c r="J55" s="1038">
        <f t="shared" si="3"/>
        <v>0</v>
      </c>
    </row>
    <row r="56" spans="1:13" x14ac:dyDescent="0.25">
      <c r="A56" s="1072"/>
      <c r="B56" s="1032"/>
      <c r="C56" s="1032"/>
      <c r="D56" s="1037"/>
      <c r="E56" s="1038"/>
      <c r="F56" s="1041" t="s">
        <v>960</v>
      </c>
      <c r="G56" s="1032"/>
      <c r="H56" s="1032"/>
      <c r="I56" s="1037"/>
      <c r="J56" s="1038">
        <f t="shared" si="3"/>
        <v>0</v>
      </c>
    </row>
    <row r="57" spans="1:13" ht="27.6" x14ac:dyDescent="0.25">
      <c r="A57" s="1072"/>
      <c r="B57" s="1032"/>
      <c r="C57" s="1032"/>
      <c r="D57" s="1037"/>
      <c r="E57" s="1038"/>
      <c r="F57" s="1041" t="s">
        <v>961</v>
      </c>
      <c r="G57" s="1032"/>
      <c r="H57" s="1032"/>
      <c r="I57" s="1037">
        <v>384498407</v>
      </c>
      <c r="J57" s="1038">
        <f t="shared" si="3"/>
        <v>384498407</v>
      </c>
    </row>
    <row r="58" spans="1:13" ht="27.6" x14ac:dyDescent="0.25">
      <c r="A58" s="1072"/>
      <c r="B58" s="1032"/>
      <c r="C58" s="1032"/>
      <c r="D58" s="1037"/>
      <c r="E58" s="1038"/>
      <c r="F58" s="1059" t="s">
        <v>962</v>
      </c>
      <c r="G58" s="1032"/>
      <c r="H58" s="1032"/>
      <c r="I58" s="1037">
        <v>0</v>
      </c>
      <c r="J58" s="1038">
        <f t="shared" si="3"/>
        <v>0</v>
      </c>
    </row>
    <row r="59" spans="1:13" ht="27.6" x14ac:dyDescent="0.25">
      <c r="A59" s="1073"/>
      <c r="B59" s="1032"/>
      <c r="C59" s="1032"/>
      <c r="D59" s="1037"/>
      <c r="E59" s="1038"/>
      <c r="F59" s="509" t="s">
        <v>705</v>
      </c>
      <c r="G59" s="1032"/>
      <c r="H59" s="1032"/>
      <c r="I59" s="1037">
        <v>0</v>
      </c>
      <c r="J59" s="1038">
        <f t="shared" si="3"/>
        <v>0</v>
      </c>
    </row>
    <row r="60" spans="1:13" ht="27.6" x14ac:dyDescent="0.25">
      <c r="A60" s="1073"/>
      <c r="B60" s="1032"/>
      <c r="C60" s="1032"/>
      <c r="D60" s="1037"/>
      <c r="E60" s="1038"/>
      <c r="F60" s="509" t="s">
        <v>205</v>
      </c>
      <c r="G60" s="1032"/>
      <c r="H60" s="1032"/>
      <c r="I60" s="1037">
        <v>515486968</v>
      </c>
      <c r="J60" s="1038">
        <f t="shared" si="3"/>
        <v>515486968</v>
      </c>
    </row>
    <row r="61" spans="1:13" ht="27.6" x14ac:dyDescent="0.25">
      <c r="A61" s="1064" t="s">
        <v>973</v>
      </c>
      <c r="B61" s="1048">
        <f>SUM(B53:B59)</f>
        <v>0</v>
      </c>
      <c r="C61" s="1048">
        <f>SUM(C53:C59)</f>
        <v>0</v>
      </c>
      <c r="D61" s="1049">
        <f>SUM(D53:D59)</f>
        <v>1278213100</v>
      </c>
      <c r="E61" s="1050">
        <f>SUM(E53:E59)</f>
        <v>1278213100</v>
      </c>
      <c r="F61" s="1018" t="s">
        <v>974</v>
      </c>
      <c r="G61" s="1048">
        <f>SUM(G53:G59)</f>
        <v>800000</v>
      </c>
      <c r="H61" s="1048">
        <f>SUM(H53:H59)</f>
        <v>0</v>
      </c>
      <c r="I61" s="1049">
        <f>SUM(I53:I60)</f>
        <v>1991394619</v>
      </c>
      <c r="J61" s="1050">
        <f>SUM(J53:J60)</f>
        <v>1992194619</v>
      </c>
    </row>
    <row r="62" spans="1:13" x14ac:dyDescent="0.25">
      <c r="A62" s="1028" t="s">
        <v>952</v>
      </c>
      <c r="B62" s="1032">
        <v>600000</v>
      </c>
      <c r="C62" s="1032"/>
      <c r="D62" s="1037">
        <f>'2.sz.tábla   (2)'!C77-'9. sz. tábla (2)'!D32</f>
        <v>507920010</v>
      </c>
      <c r="E62" s="1038">
        <f>SUM(B62:D62)</f>
        <v>508520010</v>
      </c>
      <c r="F62" s="1052" t="s">
        <v>953</v>
      </c>
      <c r="G62" s="1032"/>
      <c r="H62" s="1032"/>
      <c r="I62" s="1037"/>
      <c r="J62" s="1057"/>
    </row>
    <row r="63" spans="1:13" x14ac:dyDescent="0.25">
      <c r="A63" s="1028"/>
      <c r="B63" s="1032"/>
      <c r="C63" s="1032"/>
      <c r="D63" s="1037"/>
      <c r="E63" s="1038"/>
      <c r="F63" s="1041"/>
      <c r="G63" s="1032"/>
      <c r="H63" s="1032"/>
      <c r="I63" s="1037"/>
      <c r="J63" s="1057"/>
    </row>
    <row r="64" spans="1:13" ht="41.4" x14ac:dyDescent="0.25">
      <c r="A64" s="1074" t="s">
        <v>975</v>
      </c>
      <c r="B64" s="1048">
        <f>B61+B62</f>
        <v>600000</v>
      </c>
      <c r="C64" s="1048">
        <f>C61+C62</f>
        <v>0</v>
      </c>
      <c r="D64" s="1049">
        <f>D61+D62</f>
        <v>1786133110</v>
      </c>
      <c r="E64" s="1050">
        <f>E61+E62</f>
        <v>1786733110</v>
      </c>
      <c r="F64" s="1061" t="s">
        <v>976</v>
      </c>
      <c r="G64" s="1048">
        <f>G61+G62</f>
        <v>800000</v>
      </c>
      <c r="H64" s="1048">
        <f>H61+H62</f>
        <v>0</v>
      </c>
      <c r="I64" s="1049">
        <f>I61+I62</f>
        <v>1991394619</v>
      </c>
      <c r="J64" s="1050">
        <f>J61+J62</f>
        <v>1992194619</v>
      </c>
    </row>
    <row r="65" spans="1:10" x14ac:dyDescent="0.25">
      <c r="A65" s="1075"/>
      <c r="B65" s="1076">
        <f>B64+B51</f>
        <v>76018294</v>
      </c>
      <c r="C65" s="1076">
        <f>C64+C51</f>
        <v>0</v>
      </c>
      <c r="D65" s="1076">
        <f>D64+D51</f>
        <v>4772860111</v>
      </c>
      <c r="E65" s="1076">
        <f>E64+E51</f>
        <v>4848878405</v>
      </c>
      <c r="F65" s="1077"/>
      <c r="G65" s="1063">
        <f>G64+G51</f>
        <v>98096404</v>
      </c>
      <c r="H65" s="1063">
        <f>H64+H51</f>
        <v>0</v>
      </c>
      <c r="I65" s="1063">
        <f>I64+I51</f>
        <v>4264290379</v>
      </c>
      <c r="J65" s="1063">
        <f>J64+J51</f>
        <v>3052039783</v>
      </c>
    </row>
    <row r="66" spans="1:10" x14ac:dyDescent="0.25">
      <c r="A66" s="1075"/>
      <c r="B66" s="1076"/>
      <c r="C66" s="1076"/>
      <c r="D66" s="1076"/>
      <c r="E66" s="1076"/>
      <c r="F66" s="1077"/>
      <c r="G66" s="1063"/>
      <c r="H66" s="1063"/>
      <c r="I66" s="1063"/>
      <c r="J66" s="1063"/>
    </row>
    <row r="67" spans="1:10" x14ac:dyDescent="0.25">
      <c r="A67" s="1075"/>
      <c r="B67" s="1076"/>
      <c r="C67" s="1076"/>
      <c r="D67" s="1076"/>
      <c r="E67" s="1076"/>
      <c r="F67" s="1077"/>
      <c r="G67" s="1063"/>
      <c r="H67" s="1063"/>
      <c r="I67" s="1063"/>
      <c r="J67" s="1063"/>
    </row>
    <row r="68" spans="1:10" ht="15.75" customHeight="1" x14ac:dyDescent="0.3">
      <c r="A68" s="1572" t="s">
        <v>977</v>
      </c>
      <c r="B68" s="1572"/>
      <c r="C68" s="1572"/>
      <c r="D68" s="1572"/>
      <c r="E68" s="1572"/>
      <c r="F68" s="1572"/>
      <c r="G68" s="1572"/>
    </row>
    <row r="70" spans="1:10" s="1023" customFormat="1" ht="27.6" x14ac:dyDescent="0.25">
      <c r="A70" s="1064" t="s">
        <v>567</v>
      </c>
      <c r="B70" s="1014" t="s">
        <v>792</v>
      </c>
      <c r="C70" s="1015" t="s">
        <v>378</v>
      </c>
      <c r="D70" s="1016" t="s">
        <v>790</v>
      </c>
      <c r="E70" s="1017" t="s">
        <v>209</v>
      </c>
      <c r="F70" s="1065" t="s">
        <v>568</v>
      </c>
      <c r="G70" s="1019" t="s">
        <v>792</v>
      </c>
      <c r="H70" s="1020" t="s">
        <v>378</v>
      </c>
      <c r="I70" s="1021" t="s">
        <v>790</v>
      </c>
      <c r="J70" s="1022" t="s">
        <v>209</v>
      </c>
    </row>
    <row r="71" spans="1:10" x14ac:dyDescent="0.25">
      <c r="A71" s="1078" t="s">
        <v>51</v>
      </c>
      <c r="B71" s="1025"/>
      <c r="C71" s="1025"/>
      <c r="D71" s="1026"/>
      <c r="E71" s="1027"/>
      <c r="F71" s="1065" t="s">
        <v>789</v>
      </c>
      <c r="G71" s="1066"/>
      <c r="H71" s="1066"/>
      <c r="I71" s="1067"/>
      <c r="J71" s="1057"/>
    </row>
    <row r="72" spans="1:10" ht="27.6" x14ac:dyDescent="0.25">
      <c r="A72" s="1079" t="s">
        <v>949</v>
      </c>
      <c r="B72" s="1032"/>
      <c r="C72" s="1032">
        <f>'[2]3.sz. tábla  (2)'!C12*0.2656+21508949*0.351</f>
        <v>55810763.198200002</v>
      </c>
      <c r="D72" s="1037"/>
      <c r="E72" s="1038">
        <f>SUM(B72:D72)</f>
        <v>55810763.198200002</v>
      </c>
      <c r="F72" s="1036" t="s">
        <v>406</v>
      </c>
      <c r="G72" s="1032"/>
      <c r="H72" s="1032">
        <v>69749788</v>
      </c>
      <c r="I72" s="1037"/>
      <c r="J72" s="1038">
        <f t="shared" ref="J72:J78" si="4">SUM(G72:I72)</f>
        <v>69749788</v>
      </c>
    </row>
    <row r="73" spans="1:10" x14ac:dyDescent="0.25">
      <c r="A73" s="1072" t="s">
        <v>570</v>
      </c>
      <c r="B73" s="1032"/>
      <c r="C73" s="1032">
        <v>500000</v>
      </c>
      <c r="D73" s="1037"/>
      <c r="E73" s="1038">
        <f>SUM(B73:D73)</f>
        <v>500000</v>
      </c>
      <c r="F73" s="1080" t="s">
        <v>395</v>
      </c>
      <c r="G73" s="1032"/>
      <c r="H73" s="1032">
        <v>17065119</v>
      </c>
      <c r="I73" s="1037"/>
      <c r="J73" s="1038">
        <f t="shared" si="4"/>
        <v>17065119</v>
      </c>
    </row>
    <row r="74" spans="1:10" x14ac:dyDescent="0.25">
      <c r="A74" s="1042" t="s">
        <v>572</v>
      </c>
      <c r="B74" s="1032">
        <v>0</v>
      </c>
      <c r="C74" s="1032"/>
      <c r="D74" s="1037"/>
      <c r="E74" s="1038">
        <f>SUM(B74:D74)</f>
        <v>0</v>
      </c>
      <c r="F74" s="1080" t="s">
        <v>575</v>
      </c>
      <c r="G74" s="1032"/>
      <c r="H74" s="1032">
        <v>16903821</v>
      </c>
      <c r="I74" s="1037"/>
      <c r="J74" s="1038">
        <f t="shared" si="4"/>
        <v>16903821</v>
      </c>
    </row>
    <row r="75" spans="1:10" ht="27.6" x14ac:dyDescent="0.25">
      <c r="A75" s="1043" t="s">
        <v>576</v>
      </c>
      <c r="B75" s="1032"/>
      <c r="C75" s="1032"/>
      <c r="D75" s="1037"/>
      <c r="E75" s="1038"/>
      <c r="F75" s="1081" t="s">
        <v>427</v>
      </c>
      <c r="G75" s="1032"/>
      <c r="H75" s="1032"/>
      <c r="I75" s="1037"/>
      <c r="J75" s="1038">
        <f t="shared" si="4"/>
        <v>0</v>
      </c>
    </row>
    <row r="76" spans="1:10" x14ac:dyDescent="0.25">
      <c r="A76" s="1072"/>
      <c r="B76" s="1032"/>
      <c r="C76" s="1032"/>
      <c r="D76" s="1037"/>
      <c r="E76" s="1038"/>
      <c r="F76" s="1080" t="s">
        <v>402</v>
      </c>
      <c r="G76" s="1032"/>
      <c r="H76" s="1032"/>
      <c r="I76" s="1037"/>
      <c r="J76" s="1038">
        <f t="shared" si="4"/>
        <v>0</v>
      </c>
    </row>
    <row r="77" spans="1:10" x14ac:dyDescent="0.25">
      <c r="A77" s="1082"/>
      <c r="B77" s="1032"/>
      <c r="C77" s="1032"/>
      <c r="D77" s="1037"/>
      <c r="E77" s="1038"/>
      <c r="F77" s="509" t="s">
        <v>665</v>
      </c>
      <c r="G77" s="1032"/>
      <c r="H77" s="1032"/>
      <c r="I77" s="1037"/>
      <c r="J77" s="1038">
        <f t="shared" si="4"/>
        <v>0</v>
      </c>
    </row>
    <row r="78" spans="1:10" ht="27.6" x14ac:dyDescent="0.25">
      <c r="A78" s="1082"/>
      <c r="B78" s="1032"/>
      <c r="C78" s="1032"/>
      <c r="D78" s="1037"/>
      <c r="E78" s="1038"/>
      <c r="F78" s="509" t="s">
        <v>666</v>
      </c>
      <c r="G78" s="1032"/>
      <c r="H78" s="1032">
        <v>738995</v>
      </c>
      <c r="I78" s="1037"/>
      <c r="J78" s="1038">
        <f t="shared" si="4"/>
        <v>738995</v>
      </c>
    </row>
    <row r="79" spans="1:10" ht="27.6" x14ac:dyDescent="0.25">
      <c r="A79" s="1079"/>
      <c r="B79" s="1032"/>
      <c r="C79" s="1044"/>
      <c r="D79" s="1045"/>
      <c r="E79" s="1046"/>
      <c r="F79" s="515" t="s">
        <v>667</v>
      </c>
      <c r="G79" s="1032"/>
      <c r="H79" s="1032"/>
      <c r="I79" s="1037"/>
      <c r="J79" s="1057"/>
    </row>
    <row r="80" spans="1:10" ht="27.6" x14ac:dyDescent="0.25">
      <c r="A80" s="1043"/>
      <c r="B80" s="1032"/>
      <c r="C80" s="1032"/>
      <c r="D80" s="1037"/>
      <c r="E80" s="1038"/>
      <c r="F80" s="509" t="s">
        <v>668</v>
      </c>
      <c r="G80" s="1032"/>
      <c r="H80" s="1032"/>
      <c r="I80" s="1037"/>
      <c r="J80" s="1057"/>
    </row>
    <row r="81" spans="1:10" x14ac:dyDescent="0.25">
      <c r="A81" s="1083"/>
      <c r="B81" s="1032"/>
      <c r="C81" s="1032"/>
      <c r="D81" s="1037"/>
      <c r="E81" s="1038"/>
      <c r="F81" s="516" t="s">
        <v>651</v>
      </c>
      <c r="G81" s="1032"/>
      <c r="H81" s="1032"/>
      <c r="I81" s="1037"/>
      <c r="J81" s="1057"/>
    </row>
    <row r="82" spans="1:10" ht="41.4" x14ac:dyDescent="0.25">
      <c r="A82" s="1064" t="s">
        <v>978</v>
      </c>
      <c r="B82" s="1048">
        <f>SUM(B72:B81)</f>
        <v>0</v>
      </c>
      <c r="C82" s="1048">
        <f>SUM(C72:C81)</f>
        <v>56310763.198200002</v>
      </c>
      <c r="D82" s="1049">
        <f>SUM(D72:D81)</f>
        <v>0</v>
      </c>
      <c r="E82" s="1050">
        <f>SUM(E72:E81)</f>
        <v>56310763.198200002</v>
      </c>
      <c r="F82" s="1065" t="s">
        <v>979</v>
      </c>
      <c r="G82" s="1048">
        <f>SUM(G72:G81)</f>
        <v>0</v>
      </c>
      <c r="H82" s="1048">
        <f>SUM(H72:H81)</f>
        <v>104457723</v>
      </c>
      <c r="I82" s="1049">
        <f>SUM(I72:I81)</f>
        <v>0</v>
      </c>
      <c r="J82" s="1050">
        <f>SUM(J72:J81)</f>
        <v>104457723</v>
      </c>
    </row>
    <row r="83" spans="1:10" x14ac:dyDescent="0.25">
      <c r="A83" s="1028" t="s">
        <v>952</v>
      </c>
      <c r="B83" s="1032"/>
      <c r="C83" s="1032"/>
      <c r="D83" s="1037"/>
      <c r="E83" s="1038">
        <f>SUM(B83:D83)</f>
        <v>0</v>
      </c>
      <c r="F83" s="1084" t="s">
        <v>953</v>
      </c>
      <c r="G83" s="1032"/>
      <c r="H83" s="1032"/>
      <c r="I83" s="1037"/>
      <c r="J83" s="1057"/>
    </row>
    <row r="84" spans="1:10" ht="41.4" x14ac:dyDescent="0.25">
      <c r="A84" s="1064" t="s">
        <v>980</v>
      </c>
      <c r="B84" s="1048">
        <f>B82+B83</f>
        <v>0</v>
      </c>
      <c r="C84" s="1048">
        <f>C82+C83</f>
        <v>56310763.198200002</v>
      </c>
      <c r="D84" s="1049">
        <f>D82+D83</f>
        <v>0</v>
      </c>
      <c r="E84" s="1050">
        <f>E82+E83</f>
        <v>56310763.198200002</v>
      </c>
      <c r="F84" s="1065" t="s">
        <v>981</v>
      </c>
      <c r="G84" s="1048">
        <f>G82+G83</f>
        <v>0</v>
      </c>
      <c r="H84" s="1048">
        <f>H82+H83</f>
        <v>104457723</v>
      </c>
      <c r="I84" s="1049">
        <f>I82+I83</f>
        <v>0</v>
      </c>
      <c r="J84" s="1050">
        <f>J82+J83</f>
        <v>104457723</v>
      </c>
    </row>
    <row r="85" spans="1:10" x14ac:dyDescent="0.25">
      <c r="A85" s="1013" t="s">
        <v>956</v>
      </c>
      <c r="B85" s="1054"/>
      <c r="C85" s="1054"/>
      <c r="D85" s="1054"/>
      <c r="E85" s="1055"/>
      <c r="F85" s="1069" t="s">
        <v>793</v>
      </c>
      <c r="G85" s="1056"/>
      <c r="H85" s="1056"/>
      <c r="I85" s="1056"/>
      <c r="J85" s="1057"/>
    </row>
    <row r="86" spans="1:10" ht="27.6" x14ac:dyDescent="0.25">
      <c r="A86" s="1043" t="s">
        <v>591</v>
      </c>
      <c r="B86" s="1048"/>
      <c r="C86" s="1048"/>
      <c r="D86" s="1049"/>
      <c r="E86" s="1050"/>
      <c r="F86" s="1036" t="s">
        <v>592</v>
      </c>
      <c r="G86" s="1032"/>
      <c r="H86" s="1032"/>
      <c r="I86" s="1037"/>
      <c r="J86" s="1038">
        <f t="shared" ref="J86:J91" si="5">SUM(G86:I86)</f>
        <v>0</v>
      </c>
    </row>
    <row r="87" spans="1:10" x14ac:dyDescent="0.25">
      <c r="A87" s="1058" t="s">
        <v>957</v>
      </c>
      <c r="B87" s="1032"/>
      <c r="C87" s="1032"/>
      <c r="D87" s="1037"/>
      <c r="E87" s="1038"/>
      <c r="F87" s="1041" t="s">
        <v>594</v>
      </c>
      <c r="G87" s="1032"/>
      <c r="H87" s="1032">
        <v>2088099</v>
      </c>
      <c r="I87" s="1037"/>
      <c r="J87" s="1038">
        <f t="shared" si="5"/>
        <v>2088099</v>
      </c>
    </row>
    <row r="88" spans="1:10" ht="27.6" x14ac:dyDescent="0.25">
      <c r="A88" s="1058" t="s">
        <v>958</v>
      </c>
      <c r="B88" s="1085"/>
      <c r="C88" s="1085"/>
      <c r="D88" s="1086"/>
      <c r="E88" s="1087"/>
      <c r="F88" s="1041" t="s">
        <v>596</v>
      </c>
      <c r="G88" s="1032"/>
      <c r="H88" s="1032"/>
      <c r="I88" s="1037"/>
      <c r="J88" s="1038">
        <f t="shared" si="5"/>
        <v>0</v>
      </c>
    </row>
    <row r="89" spans="1:10" x14ac:dyDescent="0.25">
      <c r="A89" s="1039"/>
      <c r="B89" s="1032"/>
      <c r="C89" s="1032"/>
      <c r="D89" s="1037"/>
      <c r="E89" s="1038"/>
      <c r="F89" s="1041" t="s">
        <v>960</v>
      </c>
      <c r="G89" s="1032"/>
      <c r="H89" s="1032"/>
      <c r="I89" s="1037"/>
      <c r="J89" s="1038">
        <f t="shared" si="5"/>
        <v>0</v>
      </c>
    </row>
    <row r="90" spans="1:10" ht="27.6" x14ac:dyDescent="0.25">
      <c r="A90" s="1064" t="s">
        <v>973</v>
      </c>
      <c r="B90" s="1048">
        <f>SUM(B86:B88)</f>
        <v>0</v>
      </c>
      <c r="C90" s="1048">
        <f>SUM(C86:C88)</f>
        <v>0</v>
      </c>
      <c r="D90" s="1049">
        <f>SUM(D86:D88)</f>
        <v>0</v>
      </c>
      <c r="E90" s="1050">
        <f>SUM(E86:E88)</f>
        <v>0</v>
      </c>
      <c r="F90" s="1041" t="s">
        <v>961</v>
      </c>
      <c r="G90" s="1032"/>
      <c r="H90" s="1032"/>
      <c r="I90" s="1037"/>
      <c r="J90" s="1038">
        <f t="shared" si="5"/>
        <v>0</v>
      </c>
    </row>
    <row r="91" spans="1:10" ht="27.6" x14ac:dyDescent="0.25">
      <c r="A91" s="1028" t="s">
        <v>952</v>
      </c>
      <c r="B91" s="1032"/>
      <c r="C91" s="1032">
        <f>'[2]2.sz.tábla   (2)'!F76*0.2656</f>
        <v>585462.07999999996</v>
      </c>
      <c r="D91" s="1037"/>
      <c r="E91" s="1038">
        <f>SUM(B91:D91)</f>
        <v>585462.07999999996</v>
      </c>
      <c r="F91" s="1059" t="s">
        <v>962</v>
      </c>
      <c r="G91" s="1032"/>
      <c r="H91" s="1032"/>
      <c r="I91" s="1037"/>
      <c r="J91" s="1038">
        <f t="shared" si="5"/>
        <v>0</v>
      </c>
    </row>
    <row r="92" spans="1:10" ht="27.6" x14ac:dyDescent="0.25">
      <c r="A92" s="1060"/>
      <c r="B92" s="1032"/>
      <c r="C92" s="1032"/>
      <c r="D92" s="1037"/>
      <c r="E92" s="1038"/>
      <c r="F92" s="509" t="s">
        <v>600</v>
      </c>
      <c r="G92" s="1032"/>
      <c r="H92" s="1032"/>
      <c r="I92" s="1037"/>
      <c r="J92" s="1057"/>
    </row>
    <row r="93" spans="1:10" ht="41.4" x14ac:dyDescent="0.25">
      <c r="A93" s="1053" t="s">
        <v>982</v>
      </c>
      <c r="B93" s="1048">
        <f>SUM(B86:B92)</f>
        <v>0</v>
      </c>
      <c r="C93" s="1049">
        <f>SUM(C86:C92)</f>
        <v>585462.07999999996</v>
      </c>
      <c r="D93" s="1049">
        <f>SUM(D86:D92)</f>
        <v>0</v>
      </c>
      <c r="E93" s="1050">
        <f>SUM(E86:E92)</f>
        <v>585462.07999999996</v>
      </c>
      <c r="F93" s="1061" t="s">
        <v>983</v>
      </c>
      <c r="G93" s="1048">
        <f>SUM(G86:G92)</f>
        <v>0</v>
      </c>
      <c r="H93" s="1049">
        <f>SUM(H86:H92)</f>
        <v>2088099</v>
      </c>
      <c r="I93" s="1049">
        <f>SUM(I86:I92)</f>
        <v>0</v>
      </c>
      <c r="J93" s="1050">
        <f>SUM(J86:J92)</f>
        <v>2088099</v>
      </c>
    </row>
    <row r="94" spans="1:10" x14ac:dyDescent="0.25">
      <c r="B94" s="1062">
        <f>B93+B84+B64+B51+B33+B21</f>
        <v>213547217</v>
      </c>
      <c r="C94" s="1062">
        <f>C93+C84+C64+C51+C33+C21</f>
        <v>246864778</v>
      </c>
      <c r="D94" s="1062">
        <f>D93+D84+D64+D51+D33+D21</f>
        <v>9683095504</v>
      </c>
      <c r="E94" s="1062">
        <f>E93+E84+E64+E51+E33+E21</f>
        <v>10143507499</v>
      </c>
      <c r="G94" s="1063">
        <f>G93+G84+G64+G51+G33+G21</f>
        <v>304047046</v>
      </c>
      <c r="H94" s="1063">
        <f>H93+H84+H64+H51+H33+H21</f>
        <v>404863819</v>
      </c>
      <c r="I94" s="1063">
        <f>I93+I84+I64+I51+I33+I21</f>
        <v>9434596634</v>
      </c>
      <c r="J94" s="1063">
        <f>SUM(G94:I94)</f>
        <v>10143507499</v>
      </c>
    </row>
    <row r="95" spans="1:10" x14ac:dyDescent="0.25">
      <c r="A95" s="1088" t="s">
        <v>984</v>
      </c>
      <c r="B95" s="1062">
        <f>B94-G94</f>
        <v>-90499829</v>
      </c>
      <c r="C95" s="1062">
        <f>C94-H94</f>
        <v>-157999041</v>
      </c>
      <c r="D95" s="1062">
        <f>D94-I94</f>
        <v>248498870</v>
      </c>
      <c r="E95" s="1062">
        <f>J94-E94</f>
        <v>0</v>
      </c>
      <c r="J95" s="1063"/>
    </row>
  </sheetData>
  <sheetProtection selectLockedCells="1" selectUnlockedCells="1"/>
  <mergeCells count="4">
    <mergeCell ref="A1:J3"/>
    <mergeCell ref="A5:G5"/>
    <mergeCell ref="A35:G35"/>
    <mergeCell ref="A68:G68"/>
  </mergeCells>
  <pageMargins left="0.75" right="0.75" top="1" bottom="1" header="0.5" footer="0.51180555555555551"/>
  <pageSetup paperSize="9" scale="62" firstPageNumber="0" orientation="landscape" r:id="rId1"/>
  <headerFooter alignWithMargins="0">
    <oddHeader xml:space="preserve">&amp;C9. melléklet az önkormányzat 2017. évi költségvetéséről szóló 8/2017. (II.24.) önkormányzati rendeletéhez
&amp;R
&amp;P. oldal
</oddHeader>
  </headerFooter>
  <rowBreaks count="2" manualBreakCount="2">
    <brk id="34" max="9" man="1"/>
    <brk id="65" max="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2"/>
  <sheetViews>
    <sheetView view="pageLayout" topLeftCell="B1" zoomScaleNormal="100" workbookViewId="0">
      <selection activeCell="H60" sqref="H60"/>
    </sheetView>
  </sheetViews>
  <sheetFormatPr defaultRowHeight="13.8" x14ac:dyDescent="0.25"/>
  <cols>
    <col min="1" max="1" width="9.33203125" style="1404" bestFit="1" customWidth="1"/>
    <col min="2" max="2" width="32" style="1404" bestFit="1" customWidth="1"/>
    <col min="3" max="3" width="14.109375" style="1404" bestFit="1" customWidth="1"/>
    <col min="4" max="4" width="11.33203125" style="1404" bestFit="1" customWidth="1"/>
    <col min="5" max="5" width="9.44140625" style="1404" bestFit="1" customWidth="1"/>
    <col min="6" max="6" width="10.88671875" style="1460" customWidth="1"/>
    <col min="7" max="9" width="10.109375" style="1404" bestFit="1" customWidth="1"/>
    <col min="10" max="10" width="12.5546875" style="1404" bestFit="1" customWidth="1"/>
    <col min="11" max="12" width="11.33203125" style="1404" bestFit="1" customWidth="1"/>
    <col min="13" max="256" width="9.109375" style="1146"/>
    <col min="257" max="257" width="9.33203125" style="1146" bestFit="1" customWidth="1"/>
    <col min="258" max="258" width="32" style="1146" bestFit="1" customWidth="1"/>
    <col min="259" max="259" width="14.109375" style="1146" bestFit="1" customWidth="1"/>
    <col min="260" max="260" width="11.33203125" style="1146" bestFit="1" customWidth="1"/>
    <col min="261" max="261" width="9.44140625" style="1146" bestFit="1" customWidth="1"/>
    <col min="262" max="262" width="11.33203125" style="1146" bestFit="1" customWidth="1"/>
    <col min="263" max="266" width="9.44140625" style="1146" bestFit="1" customWidth="1"/>
    <col min="267" max="268" width="11.33203125" style="1146" bestFit="1" customWidth="1"/>
    <col min="269" max="512" width="9.109375" style="1146"/>
    <col min="513" max="513" width="9.33203125" style="1146" bestFit="1" customWidth="1"/>
    <col min="514" max="514" width="32" style="1146" bestFit="1" customWidth="1"/>
    <col min="515" max="515" width="14.109375" style="1146" bestFit="1" customWidth="1"/>
    <col min="516" max="516" width="11.33203125" style="1146" bestFit="1" customWidth="1"/>
    <col min="517" max="517" width="9.44140625" style="1146" bestFit="1" customWidth="1"/>
    <col min="518" max="518" width="11.33203125" style="1146" bestFit="1" customWidth="1"/>
    <col min="519" max="522" width="9.44140625" style="1146" bestFit="1" customWidth="1"/>
    <col min="523" max="524" width="11.33203125" style="1146" bestFit="1" customWidth="1"/>
    <col min="525" max="768" width="9.109375" style="1146"/>
    <col min="769" max="769" width="9.33203125" style="1146" bestFit="1" customWidth="1"/>
    <col min="770" max="770" width="32" style="1146" bestFit="1" customWidth="1"/>
    <col min="771" max="771" width="14.109375" style="1146" bestFit="1" customWidth="1"/>
    <col min="772" max="772" width="11.33203125" style="1146" bestFit="1" customWidth="1"/>
    <col min="773" max="773" width="9.44140625" style="1146" bestFit="1" customWidth="1"/>
    <col min="774" max="774" width="11.33203125" style="1146" bestFit="1" customWidth="1"/>
    <col min="775" max="778" width="9.44140625" style="1146" bestFit="1" customWidth="1"/>
    <col min="779" max="780" width="11.33203125" style="1146" bestFit="1" customWidth="1"/>
    <col min="781" max="1024" width="9.109375" style="1146"/>
    <col min="1025" max="1025" width="9.33203125" style="1146" bestFit="1" customWidth="1"/>
    <col min="1026" max="1026" width="32" style="1146" bestFit="1" customWidth="1"/>
    <col min="1027" max="1027" width="14.109375" style="1146" bestFit="1" customWidth="1"/>
    <col min="1028" max="1028" width="11.33203125" style="1146" bestFit="1" customWidth="1"/>
    <col min="1029" max="1029" width="9.44140625" style="1146" bestFit="1" customWidth="1"/>
    <col min="1030" max="1030" width="11.33203125" style="1146" bestFit="1" customWidth="1"/>
    <col min="1031" max="1034" width="9.44140625" style="1146" bestFit="1" customWidth="1"/>
    <col min="1035" max="1036" width="11.33203125" style="1146" bestFit="1" customWidth="1"/>
    <col min="1037" max="1280" width="9.109375" style="1146"/>
    <col min="1281" max="1281" width="9.33203125" style="1146" bestFit="1" customWidth="1"/>
    <col min="1282" max="1282" width="32" style="1146" bestFit="1" customWidth="1"/>
    <col min="1283" max="1283" width="14.109375" style="1146" bestFit="1" customWidth="1"/>
    <col min="1284" max="1284" width="11.33203125" style="1146" bestFit="1" customWidth="1"/>
    <col min="1285" max="1285" width="9.44140625" style="1146" bestFit="1" customWidth="1"/>
    <col min="1286" max="1286" width="11.33203125" style="1146" bestFit="1" customWidth="1"/>
    <col min="1287" max="1290" width="9.44140625" style="1146" bestFit="1" customWidth="1"/>
    <col min="1291" max="1292" width="11.33203125" style="1146" bestFit="1" customWidth="1"/>
    <col min="1293" max="1536" width="9.109375" style="1146"/>
    <col min="1537" max="1537" width="9.33203125" style="1146" bestFit="1" customWidth="1"/>
    <col min="1538" max="1538" width="32" style="1146" bestFit="1" customWidth="1"/>
    <col min="1539" max="1539" width="14.109375" style="1146" bestFit="1" customWidth="1"/>
    <col min="1540" max="1540" width="11.33203125" style="1146" bestFit="1" customWidth="1"/>
    <col min="1541" max="1541" width="9.44140625" style="1146" bestFit="1" customWidth="1"/>
    <col min="1542" max="1542" width="11.33203125" style="1146" bestFit="1" customWidth="1"/>
    <col min="1543" max="1546" width="9.44140625" style="1146" bestFit="1" customWidth="1"/>
    <col min="1547" max="1548" width="11.33203125" style="1146" bestFit="1" customWidth="1"/>
    <col min="1549" max="1792" width="9.109375" style="1146"/>
    <col min="1793" max="1793" width="9.33203125" style="1146" bestFit="1" customWidth="1"/>
    <col min="1794" max="1794" width="32" style="1146" bestFit="1" customWidth="1"/>
    <col min="1795" max="1795" width="14.109375" style="1146" bestFit="1" customWidth="1"/>
    <col min="1796" max="1796" width="11.33203125" style="1146" bestFit="1" customWidth="1"/>
    <col min="1797" max="1797" width="9.44140625" style="1146" bestFit="1" customWidth="1"/>
    <col min="1798" max="1798" width="11.33203125" style="1146" bestFit="1" customWidth="1"/>
    <col min="1799" max="1802" width="9.44140625" style="1146" bestFit="1" customWidth="1"/>
    <col min="1803" max="1804" width="11.33203125" style="1146" bestFit="1" customWidth="1"/>
    <col min="1805" max="2048" width="9.109375" style="1146"/>
    <col min="2049" max="2049" width="9.33203125" style="1146" bestFit="1" customWidth="1"/>
    <col min="2050" max="2050" width="32" style="1146" bestFit="1" customWidth="1"/>
    <col min="2051" max="2051" width="14.109375" style="1146" bestFit="1" customWidth="1"/>
    <col min="2052" max="2052" width="11.33203125" style="1146" bestFit="1" customWidth="1"/>
    <col min="2053" max="2053" width="9.44140625" style="1146" bestFit="1" customWidth="1"/>
    <col min="2054" max="2054" width="11.33203125" style="1146" bestFit="1" customWidth="1"/>
    <col min="2055" max="2058" width="9.44140625" style="1146" bestFit="1" customWidth="1"/>
    <col min="2059" max="2060" width="11.33203125" style="1146" bestFit="1" customWidth="1"/>
    <col min="2061" max="2304" width="9.109375" style="1146"/>
    <col min="2305" max="2305" width="9.33203125" style="1146" bestFit="1" customWidth="1"/>
    <col min="2306" max="2306" width="32" style="1146" bestFit="1" customWidth="1"/>
    <col min="2307" max="2307" width="14.109375" style="1146" bestFit="1" customWidth="1"/>
    <col min="2308" max="2308" width="11.33203125" style="1146" bestFit="1" customWidth="1"/>
    <col min="2309" max="2309" width="9.44140625" style="1146" bestFit="1" customWidth="1"/>
    <col min="2310" max="2310" width="11.33203125" style="1146" bestFit="1" customWidth="1"/>
    <col min="2311" max="2314" width="9.44140625" style="1146" bestFit="1" customWidth="1"/>
    <col min="2315" max="2316" width="11.33203125" style="1146" bestFit="1" customWidth="1"/>
    <col min="2317" max="2560" width="9.109375" style="1146"/>
    <col min="2561" max="2561" width="9.33203125" style="1146" bestFit="1" customWidth="1"/>
    <col min="2562" max="2562" width="32" style="1146" bestFit="1" customWidth="1"/>
    <col min="2563" max="2563" width="14.109375" style="1146" bestFit="1" customWidth="1"/>
    <col min="2564" max="2564" width="11.33203125" style="1146" bestFit="1" customWidth="1"/>
    <col min="2565" max="2565" width="9.44140625" style="1146" bestFit="1" customWidth="1"/>
    <col min="2566" max="2566" width="11.33203125" style="1146" bestFit="1" customWidth="1"/>
    <col min="2567" max="2570" width="9.44140625" style="1146" bestFit="1" customWidth="1"/>
    <col min="2571" max="2572" width="11.33203125" style="1146" bestFit="1" customWidth="1"/>
    <col min="2573" max="2816" width="9.109375" style="1146"/>
    <col min="2817" max="2817" width="9.33203125" style="1146" bestFit="1" customWidth="1"/>
    <col min="2818" max="2818" width="32" style="1146" bestFit="1" customWidth="1"/>
    <col min="2819" max="2819" width="14.109375" style="1146" bestFit="1" customWidth="1"/>
    <col min="2820" max="2820" width="11.33203125" style="1146" bestFit="1" customWidth="1"/>
    <col min="2821" max="2821" width="9.44140625" style="1146" bestFit="1" customWidth="1"/>
    <col min="2822" max="2822" width="11.33203125" style="1146" bestFit="1" customWidth="1"/>
    <col min="2823" max="2826" width="9.44140625" style="1146" bestFit="1" customWidth="1"/>
    <col min="2827" max="2828" width="11.33203125" style="1146" bestFit="1" customWidth="1"/>
    <col min="2829" max="3072" width="9.109375" style="1146"/>
    <col min="3073" max="3073" width="9.33203125" style="1146" bestFit="1" customWidth="1"/>
    <col min="3074" max="3074" width="32" style="1146" bestFit="1" customWidth="1"/>
    <col min="3075" max="3075" width="14.109375" style="1146" bestFit="1" customWidth="1"/>
    <col min="3076" max="3076" width="11.33203125" style="1146" bestFit="1" customWidth="1"/>
    <col min="3077" max="3077" width="9.44140625" style="1146" bestFit="1" customWidth="1"/>
    <col min="3078" max="3078" width="11.33203125" style="1146" bestFit="1" customWidth="1"/>
    <col min="3079" max="3082" width="9.44140625" style="1146" bestFit="1" customWidth="1"/>
    <col min="3083" max="3084" width="11.33203125" style="1146" bestFit="1" customWidth="1"/>
    <col min="3085" max="3328" width="9.109375" style="1146"/>
    <col min="3329" max="3329" width="9.33203125" style="1146" bestFit="1" customWidth="1"/>
    <col min="3330" max="3330" width="32" style="1146" bestFit="1" customWidth="1"/>
    <col min="3331" max="3331" width="14.109375" style="1146" bestFit="1" customWidth="1"/>
    <col min="3332" max="3332" width="11.33203125" style="1146" bestFit="1" customWidth="1"/>
    <col min="3333" max="3333" width="9.44140625" style="1146" bestFit="1" customWidth="1"/>
    <col min="3334" max="3334" width="11.33203125" style="1146" bestFit="1" customWidth="1"/>
    <col min="3335" max="3338" width="9.44140625" style="1146" bestFit="1" customWidth="1"/>
    <col min="3339" max="3340" width="11.33203125" style="1146" bestFit="1" customWidth="1"/>
    <col min="3341" max="3584" width="9.109375" style="1146"/>
    <col min="3585" max="3585" width="9.33203125" style="1146" bestFit="1" customWidth="1"/>
    <col min="3586" max="3586" width="32" style="1146" bestFit="1" customWidth="1"/>
    <col min="3587" max="3587" width="14.109375" style="1146" bestFit="1" customWidth="1"/>
    <col min="3588" max="3588" width="11.33203125" style="1146" bestFit="1" customWidth="1"/>
    <col min="3589" max="3589" width="9.44140625" style="1146" bestFit="1" customWidth="1"/>
    <col min="3590" max="3590" width="11.33203125" style="1146" bestFit="1" customWidth="1"/>
    <col min="3591" max="3594" width="9.44140625" style="1146" bestFit="1" customWidth="1"/>
    <col min="3595" max="3596" width="11.33203125" style="1146" bestFit="1" customWidth="1"/>
    <col min="3597" max="3840" width="9.109375" style="1146"/>
    <col min="3841" max="3841" width="9.33203125" style="1146" bestFit="1" customWidth="1"/>
    <col min="3842" max="3842" width="32" style="1146" bestFit="1" customWidth="1"/>
    <col min="3843" max="3843" width="14.109375" style="1146" bestFit="1" customWidth="1"/>
    <col min="3844" max="3844" width="11.33203125" style="1146" bestFit="1" customWidth="1"/>
    <col min="3845" max="3845" width="9.44140625" style="1146" bestFit="1" customWidth="1"/>
    <col min="3846" max="3846" width="11.33203125" style="1146" bestFit="1" customWidth="1"/>
    <col min="3847" max="3850" width="9.44140625" style="1146" bestFit="1" customWidth="1"/>
    <col min="3851" max="3852" width="11.33203125" style="1146" bestFit="1" customWidth="1"/>
    <col min="3853" max="4096" width="9.109375" style="1146"/>
    <col min="4097" max="4097" width="9.33203125" style="1146" bestFit="1" customWidth="1"/>
    <col min="4098" max="4098" width="32" style="1146" bestFit="1" customWidth="1"/>
    <col min="4099" max="4099" width="14.109375" style="1146" bestFit="1" customWidth="1"/>
    <col min="4100" max="4100" width="11.33203125" style="1146" bestFit="1" customWidth="1"/>
    <col min="4101" max="4101" width="9.44140625" style="1146" bestFit="1" customWidth="1"/>
    <col min="4102" max="4102" width="11.33203125" style="1146" bestFit="1" customWidth="1"/>
    <col min="4103" max="4106" width="9.44140625" style="1146" bestFit="1" customWidth="1"/>
    <col min="4107" max="4108" width="11.33203125" style="1146" bestFit="1" customWidth="1"/>
    <col min="4109" max="4352" width="9.109375" style="1146"/>
    <col min="4353" max="4353" width="9.33203125" style="1146" bestFit="1" customWidth="1"/>
    <col min="4354" max="4354" width="32" style="1146" bestFit="1" customWidth="1"/>
    <col min="4355" max="4355" width="14.109375" style="1146" bestFit="1" customWidth="1"/>
    <col min="4356" max="4356" width="11.33203125" style="1146" bestFit="1" customWidth="1"/>
    <col min="4357" max="4357" width="9.44140625" style="1146" bestFit="1" customWidth="1"/>
    <col min="4358" max="4358" width="11.33203125" style="1146" bestFit="1" customWidth="1"/>
    <col min="4359" max="4362" width="9.44140625" style="1146" bestFit="1" customWidth="1"/>
    <col min="4363" max="4364" width="11.33203125" style="1146" bestFit="1" customWidth="1"/>
    <col min="4365" max="4608" width="9.109375" style="1146"/>
    <col min="4609" max="4609" width="9.33203125" style="1146" bestFit="1" customWidth="1"/>
    <col min="4610" max="4610" width="32" style="1146" bestFit="1" customWidth="1"/>
    <col min="4611" max="4611" width="14.109375" style="1146" bestFit="1" customWidth="1"/>
    <col min="4612" max="4612" width="11.33203125" style="1146" bestFit="1" customWidth="1"/>
    <col min="4613" max="4613" width="9.44140625" style="1146" bestFit="1" customWidth="1"/>
    <col min="4614" max="4614" width="11.33203125" style="1146" bestFit="1" customWidth="1"/>
    <col min="4615" max="4618" width="9.44140625" style="1146" bestFit="1" customWidth="1"/>
    <col min="4619" max="4620" width="11.33203125" style="1146" bestFit="1" customWidth="1"/>
    <col min="4621" max="4864" width="9.109375" style="1146"/>
    <col min="4865" max="4865" width="9.33203125" style="1146" bestFit="1" customWidth="1"/>
    <col min="4866" max="4866" width="32" style="1146" bestFit="1" customWidth="1"/>
    <col min="4867" max="4867" width="14.109375" style="1146" bestFit="1" customWidth="1"/>
    <col min="4868" max="4868" width="11.33203125" style="1146" bestFit="1" customWidth="1"/>
    <col min="4869" max="4869" width="9.44140625" style="1146" bestFit="1" customWidth="1"/>
    <col min="4870" max="4870" width="11.33203125" style="1146" bestFit="1" customWidth="1"/>
    <col min="4871" max="4874" width="9.44140625" style="1146" bestFit="1" customWidth="1"/>
    <col min="4875" max="4876" width="11.33203125" style="1146" bestFit="1" customWidth="1"/>
    <col min="4877" max="5120" width="9.109375" style="1146"/>
    <col min="5121" max="5121" width="9.33203125" style="1146" bestFit="1" customWidth="1"/>
    <col min="5122" max="5122" width="32" style="1146" bestFit="1" customWidth="1"/>
    <col min="5123" max="5123" width="14.109375" style="1146" bestFit="1" customWidth="1"/>
    <col min="5124" max="5124" width="11.33203125" style="1146" bestFit="1" customWidth="1"/>
    <col min="5125" max="5125" width="9.44140625" style="1146" bestFit="1" customWidth="1"/>
    <col min="5126" max="5126" width="11.33203125" style="1146" bestFit="1" customWidth="1"/>
    <col min="5127" max="5130" width="9.44140625" style="1146" bestFit="1" customWidth="1"/>
    <col min="5131" max="5132" width="11.33203125" style="1146" bestFit="1" customWidth="1"/>
    <col min="5133" max="5376" width="9.109375" style="1146"/>
    <col min="5377" max="5377" width="9.33203125" style="1146" bestFit="1" customWidth="1"/>
    <col min="5378" max="5378" width="32" style="1146" bestFit="1" customWidth="1"/>
    <col min="5379" max="5379" width="14.109375" style="1146" bestFit="1" customWidth="1"/>
    <col min="5380" max="5380" width="11.33203125" style="1146" bestFit="1" customWidth="1"/>
    <col min="5381" max="5381" width="9.44140625" style="1146" bestFit="1" customWidth="1"/>
    <col min="5382" max="5382" width="11.33203125" style="1146" bestFit="1" customWidth="1"/>
    <col min="5383" max="5386" width="9.44140625" style="1146" bestFit="1" customWidth="1"/>
    <col min="5387" max="5388" width="11.33203125" style="1146" bestFit="1" customWidth="1"/>
    <col min="5389" max="5632" width="9.109375" style="1146"/>
    <col min="5633" max="5633" width="9.33203125" style="1146" bestFit="1" customWidth="1"/>
    <col min="5634" max="5634" width="32" style="1146" bestFit="1" customWidth="1"/>
    <col min="5635" max="5635" width="14.109375" style="1146" bestFit="1" customWidth="1"/>
    <col min="5636" max="5636" width="11.33203125" style="1146" bestFit="1" customWidth="1"/>
    <col min="5637" max="5637" width="9.44140625" style="1146" bestFit="1" customWidth="1"/>
    <col min="5638" max="5638" width="11.33203125" style="1146" bestFit="1" customWidth="1"/>
    <col min="5639" max="5642" width="9.44140625" style="1146" bestFit="1" customWidth="1"/>
    <col min="5643" max="5644" width="11.33203125" style="1146" bestFit="1" customWidth="1"/>
    <col min="5645" max="5888" width="9.109375" style="1146"/>
    <col min="5889" max="5889" width="9.33203125" style="1146" bestFit="1" customWidth="1"/>
    <col min="5890" max="5890" width="32" style="1146" bestFit="1" customWidth="1"/>
    <col min="5891" max="5891" width="14.109375" style="1146" bestFit="1" customWidth="1"/>
    <col min="5892" max="5892" width="11.33203125" style="1146" bestFit="1" customWidth="1"/>
    <col min="5893" max="5893" width="9.44140625" style="1146" bestFit="1" customWidth="1"/>
    <col min="5894" max="5894" width="11.33203125" style="1146" bestFit="1" customWidth="1"/>
    <col min="5895" max="5898" width="9.44140625" style="1146" bestFit="1" customWidth="1"/>
    <col min="5899" max="5900" width="11.33203125" style="1146" bestFit="1" customWidth="1"/>
    <col min="5901" max="6144" width="9.109375" style="1146"/>
    <col min="6145" max="6145" width="9.33203125" style="1146" bestFit="1" customWidth="1"/>
    <col min="6146" max="6146" width="32" style="1146" bestFit="1" customWidth="1"/>
    <col min="6147" max="6147" width="14.109375" style="1146" bestFit="1" customWidth="1"/>
    <col min="6148" max="6148" width="11.33203125" style="1146" bestFit="1" customWidth="1"/>
    <col min="6149" max="6149" width="9.44140625" style="1146" bestFit="1" customWidth="1"/>
    <col min="6150" max="6150" width="11.33203125" style="1146" bestFit="1" customWidth="1"/>
    <col min="6151" max="6154" width="9.44140625" style="1146" bestFit="1" customWidth="1"/>
    <col min="6155" max="6156" width="11.33203125" style="1146" bestFit="1" customWidth="1"/>
    <col min="6157" max="6400" width="9.109375" style="1146"/>
    <col min="6401" max="6401" width="9.33203125" style="1146" bestFit="1" customWidth="1"/>
    <col min="6402" max="6402" width="32" style="1146" bestFit="1" customWidth="1"/>
    <col min="6403" max="6403" width="14.109375" style="1146" bestFit="1" customWidth="1"/>
    <col min="6404" max="6404" width="11.33203125" style="1146" bestFit="1" customWidth="1"/>
    <col min="6405" max="6405" width="9.44140625" style="1146" bestFit="1" customWidth="1"/>
    <col min="6406" max="6406" width="11.33203125" style="1146" bestFit="1" customWidth="1"/>
    <col min="6407" max="6410" width="9.44140625" style="1146" bestFit="1" customWidth="1"/>
    <col min="6411" max="6412" width="11.33203125" style="1146" bestFit="1" customWidth="1"/>
    <col min="6413" max="6656" width="9.109375" style="1146"/>
    <col min="6657" max="6657" width="9.33203125" style="1146" bestFit="1" customWidth="1"/>
    <col min="6658" max="6658" width="32" style="1146" bestFit="1" customWidth="1"/>
    <col min="6659" max="6659" width="14.109375" style="1146" bestFit="1" customWidth="1"/>
    <col min="6660" max="6660" width="11.33203125" style="1146" bestFit="1" customWidth="1"/>
    <col min="6661" max="6661" width="9.44140625" style="1146" bestFit="1" customWidth="1"/>
    <col min="6662" max="6662" width="11.33203125" style="1146" bestFit="1" customWidth="1"/>
    <col min="6663" max="6666" width="9.44140625" style="1146" bestFit="1" customWidth="1"/>
    <col min="6667" max="6668" width="11.33203125" style="1146" bestFit="1" customWidth="1"/>
    <col min="6669" max="6912" width="9.109375" style="1146"/>
    <col min="6913" max="6913" width="9.33203125" style="1146" bestFit="1" customWidth="1"/>
    <col min="6914" max="6914" width="32" style="1146" bestFit="1" customWidth="1"/>
    <col min="6915" max="6915" width="14.109375" style="1146" bestFit="1" customWidth="1"/>
    <col min="6916" max="6916" width="11.33203125" style="1146" bestFit="1" customWidth="1"/>
    <col min="6917" max="6917" width="9.44140625" style="1146" bestFit="1" customWidth="1"/>
    <col min="6918" max="6918" width="11.33203125" style="1146" bestFit="1" customWidth="1"/>
    <col min="6919" max="6922" width="9.44140625" style="1146" bestFit="1" customWidth="1"/>
    <col min="6923" max="6924" width="11.33203125" style="1146" bestFit="1" customWidth="1"/>
    <col min="6925" max="7168" width="9.109375" style="1146"/>
    <col min="7169" max="7169" width="9.33203125" style="1146" bestFit="1" customWidth="1"/>
    <col min="7170" max="7170" width="32" style="1146" bestFit="1" customWidth="1"/>
    <col min="7171" max="7171" width="14.109375" style="1146" bestFit="1" customWidth="1"/>
    <col min="7172" max="7172" width="11.33203125" style="1146" bestFit="1" customWidth="1"/>
    <col min="7173" max="7173" width="9.44140625" style="1146" bestFit="1" customWidth="1"/>
    <col min="7174" max="7174" width="11.33203125" style="1146" bestFit="1" customWidth="1"/>
    <col min="7175" max="7178" width="9.44140625" style="1146" bestFit="1" customWidth="1"/>
    <col min="7179" max="7180" width="11.33203125" style="1146" bestFit="1" customWidth="1"/>
    <col min="7181" max="7424" width="9.109375" style="1146"/>
    <col min="7425" max="7425" width="9.33203125" style="1146" bestFit="1" customWidth="1"/>
    <col min="7426" max="7426" width="32" style="1146" bestFit="1" customWidth="1"/>
    <col min="7427" max="7427" width="14.109375" style="1146" bestFit="1" customWidth="1"/>
    <col min="7428" max="7428" width="11.33203125" style="1146" bestFit="1" customWidth="1"/>
    <col min="7429" max="7429" width="9.44140625" style="1146" bestFit="1" customWidth="1"/>
    <col min="7430" max="7430" width="11.33203125" style="1146" bestFit="1" customWidth="1"/>
    <col min="7431" max="7434" width="9.44140625" style="1146" bestFit="1" customWidth="1"/>
    <col min="7435" max="7436" width="11.33203125" style="1146" bestFit="1" customWidth="1"/>
    <col min="7437" max="7680" width="9.109375" style="1146"/>
    <col min="7681" max="7681" width="9.33203125" style="1146" bestFit="1" customWidth="1"/>
    <col min="7682" max="7682" width="32" style="1146" bestFit="1" customWidth="1"/>
    <col min="7683" max="7683" width="14.109375" style="1146" bestFit="1" customWidth="1"/>
    <col min="7684" max="7684" width="11.33203125" style="1146" bestFit="1" customWidth="1"/>
    <col min="7685" max="7685" width="9.44140625" style="1146" bestFit="1" customWidth="1"/>
    <col min="7686" max="7686" width="11.33203125" style="1146" bestFit="1" customWidth="1"/>
    <col min="7687" max="7690" width="9.44140625" style="1146" bestFit="1" customWidth="1"/>
    <col min="7691" max="7692" width="11.33203125" style="1146" bestFit="1" customWidth="1"/>
    <col min="7693" max="7936" width="9.109375" style="1146"/>
    <col min="7937" max="7937" width="9.33203125" style="1146" bestFit="1" customWidth="1"/>
    <col min="7938" max="7938" width="32" style="1146" bestFit="1" customWidth="1"/>
    <col min="7939" max="7939" width="14.109375" style="1146" bestFit="1" customWidth="1"/>
    <col min="7940" max="7940" width="11.33203125" style="1146" bestFit="1" customWidth="1"/>
    <col min="7941" max="7941" width="9.44140625" style="1146" bestFit="1" customWidth="1"/>
    <col min="7942" max="7942" width="11.33203125" style="1146" bestFit="1" customWidth="1"/>
    <col min="7943" max="7946" width="9.44140625" style="1146" bestFit="1" customWidth="1"/>
    <col min="7947" max="7948" width="11.33203125" style="1146" bestFit="1" customWidth="1"/>
    <col min="7949" max="8192" width="9.109375" style="1146"/>
    <col min="8193" max="8193" width="9.33203125" style="1146" bestFit="1" customWidth="1"/>
    <col min="8194" max="8194" width="32" style="1146" bestFit="1" customWidth="1"/>
    <col min="8195" max="8195" width="14.109375" style="1146" bestFit="1" customWidth="1"/>
    <col min="8196" max="8196" width="11.33203125" style="1146" bestFit="1" customWidth="1"/>
    <col min="8197" max="8197" width="9.44140625" style="1146" bestFit="1" customWidth="1"/>
    <col min="8198" max="8198" width="11.33203125" style="1146" bestFit="1" customWidth="1"/>
    <col min="8199" max="8202" width="9.44140625" style="1146" bestFit="1" customWidth="1"/>
    <col min="8203" max="8204" width="11.33203125" style="1146" bestFit="1" customWidth="1"/>
    <col min="8205" max="8448" width="9.109375" style="1146"/>
    <col min="8449" max="8449" width="9.33203125" style="1146" bestFit="1" customWidth="1"/>
    <col min="8450" max="8450" width="32" style="1146" bestFit="1" customWidth="1"/>
    <col min="8451" max="8451" width="14.109375" style="1146" bestFit="1" customWidth="1"/>
    <col min="8452" max="8452" width="11.33203125" style="1146" bestFit="1" customWidth="1"/>
    <col min="8453" max="8453" width="9.44140625" style="1146" bestFit="1" customWidth="1"/>
    <col min="8454" max="8454" width="11.33203125" style="1146" bestFit="1" customWidth="1"/>
    <col min="8455" max="8458" width="9.44140625" style="1146" bestFit="1" customWidth="1"/>
    <col min="8459" max="8460" width="11.33203125" style="1146" bestFit="1" customWidth="1"/>
    <col min="8461" max="8704" width="9.109375" style="1146"/>
    <col min="8705" max="8705" width="9.33203125" style="1146" bestFit="1" customWidth="1"/>
    <col min="8706" max="8706" width="32" style="1146" bestFit="1" customWidth="1"/>
    <col min="8707" max="8707" width="14.109375" style="1146" bestFit="1" customWidth="1"/>
    <col min="8708" max="8708" width="11.33203125" style="1146" bestFit="1" customWidth="1"/>
    <col min="8709" max="8709" width="9.44140625" style="1146" bestFit="1" customWidth="1"/>
    <col min="8710" max="8710" width="11.33203125" style="1146" bestFit="1" customWidth="1"/>
    <col min="8711" max="8714" width="9.44140625" style="1146" bestFit="1" customWidth="1"/>
    <col min="8715" max="8716" width="11.33203125" style="1146" bestFit="1" customWidth="1"/>
    <col min="8717" max="8960" width="9.109375" style="1146"/>
    <col min="8961" max="8961" width="9.33203125" style="1146" bestFit="1" customWidth="1"/>
    <col min="8962" max="8962" width="32" style="1146" bestFit="1" customWidth="1"/>
    <col min="8963" max="8963" width="14.109375" style="1146" bestFit="1" customWidth="1"/>
    <col min="8964" max="8964" width="11.33203125" style="1146" bestFit="1" customWidth="1"/>
    <col min="8965" max="8965" width="9.44140625" style="1146" bestFit="1" customWidth="1"/>
    <col min="8966" max="8966" width="11.33203125" style="1146" bestFit="1" customWidth="1"/>
    <col min="8967" max="8970" width="9.44140625" style="1146" bestFit="1" customWidth="1"/>
    <col min="8971" max="8972" width="11.33203125" style="1146" bestFit="1" customWidth="1"/>
    <col min="8973" max="9216" width="9.109375" style="1146"/>
    <col min="9217" max="9217" width="9.33203125" style="1146" bestFit="1" customWidth="1"/>
    <col min="9218" max="9218" width="32" style="1146" bestFit="1" customWidth="1"/>
    <col min="9219" max="9219" width="14.109375" style="1146" bestFit="1" customWidth="1"/>
    <col min="9220" max="9220" width="11.33203125" style="1146" bestFit="1" customWidth="1"/>
    <col min="9221" max="9221" width="9.44140625" style="1146" bestFit="1" customWidth="1"/>
    <col min="9222" max="9222" width="11.33203125" style="1146" bestFit="1" customWidth="1"/>
    <col min="9223" max="9226" width="9.44140625" style="1146" bestFit="1" customWidth="1"/>
    <col min="9227" max="9228" width="11.33203125" style="1146" bestFit="1" customWidth="1"/>
    <col min="9229" max="9472" width="9.109375" style="1146"/>
    <col min="9473" max="9473" width="9.33203125" style="1146" bestFit="1" customWidth="1"/>
    <col min="9474" max="9474" width="32" style="1146" bestFit="1" customWidth="1"/>
    <col min="9475" max="9475" width="14.109375" style="1146" bestFit="1" customWidth="1"/>
    <col min="9476" max="9476" width="11.33203125" style="1146" bestFit="1" customWidth="1"/>
    <col min="9477" max="9477" width="9.44140625" style="1146" bestFit="1" customWidth="1"/>
    <col min="9478" max="9478" width="11.33203125" style="1146" bestFit="1" customWidth="1"/>
    <col min="9479" max="9482" width="9.44140625" style="1146" bestFit="1" customWidth="1"/>
    <col min="9483" max="9484" width="11.33203125" style="1146" bestFit="1" customWidth="1"/>
    <col min="9485" max="9728" width="9.109375" style="1146"/>
    <col min="9729" max="9729" width="9.33203125" style="1146" bestFit="1" customWidth="1"/>
    <col min="9730" max="9730" width="32" style="1146" bestFit="1" customWidth="1"/>
    <col min="9731" max="9731" width="14.109375" style="1146" bestFit="1" customWidth="1"/>
    <col min="9732" max="9732" width="11.33203125" style="1146" bestFit="1" customWidth="1"/>
    <col min="9733" max="9733" width="9.44140625" style="1146" bestFit="1" customWidth="1"/>
    <col min="9734" max="9734" width="11.33203125" style="1146" bestFit="1" customWidth="1"/>
    <col min="9735" max="9738" width="9.44140625" style="1146" bestFit="1" customWidth="1"/>
    <col min="9739" max="9740" width="11.33203125" style="1146" bestFit="1" customWidth="1"/>
    <col min="9741" max="9984" width="9.109375" style="1146"/>
    <col min="9985" max="9985" width="9.33203125" style="1146" bestFit="1" customWidth="1"/>
    <col min="9986" max="9986" width="32" style="1146" bestFit="1" customWidth="1"/>
    <col min="9987" max="9987" width="14.109375" style="1146" bestFit="1" customWidth="1"/>
    <col min="9988" max="9988" width="11.33203125" style="1146" bestFit="1" customWidth="1"/>
    <col min="9989" max="9989" width="9.44140625" style="1146" bestFit="1" customWidth="1"/>
    <col min="9990" max="9990" width="11.33203125" style="1146" bestFit="1" customWidth="1"/>
    <col min="9991" max="9994" width="9.44140625" style="1146" bestFit="1" customWidth="1"/>
    <col min="9995" max="9996" width="11.33203125" style="1146" bestFit="1" customWidth="1"/>
    <col min="9997" max="10240" width="9.109375" style="1146"/>
    <col min="10241" max="10241" width="9.33203125" style="1146" bestFit="1" customWidth="1"/>
    <col min="10242" max="10242" width="32" style="1146" bestFit="1" customWidth="1"/>
    <col min="10243" max="10243" width="14.109375" style="1146" bestFit="1" customWidth="1"/>
    <col min="10244" max="10244" width="11.33203125" style="1146" bestFit="1" customWidth="1"/>
    <col min="10245" max="10245" width="9.44140625" style="1146" bestFit="1" customWidth="1"/>
    <col min="10246" max="10246" width="11.33203125" style="1146" bestFit="1" customWidth="1"/>
    <col min="10247" max="10250" width="9.44140625" style="1146" bestFit="1" customWidth="1"/>
    <col min="10251" max="10252" width="11.33203125" style="1146" bestFit="1" customWidth="1"/>
    <col min="10253" max="10496" width="9.109375" style="1146"/>
    <col min="10497" max="10497" width="9.33203125" style="1146" bestFit="1" customWidth="1"/>
    <col min="10498" max="10498" width="32" style="1146" bestFit="1" customWidth="1"/>
    <col min="10499" max="10499" width="14.109375" style="1146" bestFit="1" customWidth="1"/>
    <col min="10500" max="10500" width="11.33203125" style="1146" bestFit="1" customWidth="1"/>
    <col min="10501" max="10501" width="9.44140625" style="1146" bestFit="1" customWidth="1"/>
    <col min="10502" max="10502" width="11.33203125" style="1146" bestFit="1" customWidth="1"/>
    <col min="10503" max="10506" width="9.44140625" style="1146" bestFit="1" customWidth="1"/>
    <col min="10507" max="10508" width="11.33203125" style="1146" bestFit="1" customWidth="1"/>
    <col min="10509" max="10752" width="9.109375" style="1146"/>
    <col min="10753" max="10753" width="9.33203125" style="1146" bestFit="1" customWidth="1"/>
    <col min="10754" max="10754" width="32" style="1146" bestFit="1" customWidth="1"/>
    <col min="10755" max="10755" width="14.109375" style="1146" bestFit="1" customWidth="1"/>
    <col min="10756" max="10756" width="11.33203125" style="1146" bestFit="1" customWidth="1"/>
    <col min="10757" max="10757" width="9.44140625" style="1146" bestFit="1" customWidth="1"/>
    <col min="10758" max="10758" width="11.33203125" style="1146" bestFit="1" customWidth="1"/>
    <col min="10759" max="10762" width="9.44140625" style="1146" bestFit="1" customWidth="1"/>
    <col min="10763" max="10764" width="11.33203125" style="1146" bestFit="1" customWidth="1"/>
    <col min="10765" max="11008" width="9.109375" style="1146"/>
    <col min="11009" max="11009" width="9.33203125" style="1146" bestFit="1" customWidth="1"/>
    <col min="11010" max="11010" width="32" style="1146" bestFit="1" customWidth="1"/>
    <col min="11011" max="11011" width="14.109375" style="1146" bestFit="1" customWidth="1"/>
    <col min="11012" max="11012" width="11.33203125" style="1146" bestFit="1" customWidth="1"/>
    <col min="11013" max="11013" width="9.44140625" style="1146" bestFit="1" customWidth="1"/>
    <col min="11014" max="11014" width="11.33203125" style="1146" bestFit="1" customWidth="1"/>
    <col min="11015" max="11018" width="9.44140625" style="1146" bestFit="1" customWidth="1"/>
    <col min="11019" max="11020" width="11.33203125" style="1146" bestFit="1" customWidth="1"/>
    <col min="11021" max="11264" width="9.109375" style="1146"/>
    <col min="11265" max="11265" width="9.33203125" style="1146" bestFit="1" customWidth="1"/>
    <col min="11266" max="11266" width="32" style="1146" bestFit="1" customWidth="1"/>
    <col min="11267" max="11267" width="14.109375" style="1146" bestFit="1" customWidth="1"/>
    <col min="11268" max="11268" width="11.33203125" style="1146" bestFit="1" customWidth="1"/>
    <col min="11269" max="11269" width="9.44140625" style="1146" bestFit="1" customWidth="1"/>
    <col min="11270" max="11270" width="11.33203125" style="1146" bestFit="1" customWidth="1"/>
    <col min="11271" max="11274" width="9.44140625" style="1146" bestFit="1" customWidth="1"/>
    <col min="11275" max="11276" width="11.33203125" style="1146" bestFit="1" customWidth="1"/>
    <col min="11277" max="11520" width="9.109375" style="1146"/>
    <col min="11521" max="11521" width="9.33203125" style="1146" bestFit="1" customWidth="1"/>
    <col min="11522" max="11522" width="32" style="1146" bestFit="1" customWidth="1"/>
    <col min="11523" max="11523" width="14.109375" style="1146" bestFit="1" customWidth="1"/>
    <col min="11524" max="11524" width="11.33203125" style="1146" bestFit="1" customWidth="1"/>
    <col min="11525" max="11525" width="9.44140625" style="1146" bestFit="1" customWidth="1"/>
    <col min="11526" max="11526" width="11.33203125" style="1146" bestFit="1" customWidth="1"/>
    <col min="11527" max="11530" width="9.44140625" style="1146" bestFit="1" customWidth="1"/>
    <col min="11531" max="11532" width="11.33203125" style="1146" bestFit="1" customWidth="1"/>
    <col min="11533" max="11776" width="9.109375" style="1146"/>
    <col min="11777" max="11777" width="9.33203125" style="1146" bestFit="1" customWidth="1"/>
    <col min="11778" max="11778" width="32" style="1146" bestFit="1" customWidth="1"/>
    <col min="11779" max="11779" width="14.109375" style="1146" bestFit="1" customWidth="1"/>
    <col min="11780" max="11780" width="11.33203125" style="1146" bestFit="1" customWidth="1"/>
    <col min="11781" max="11781" width="9.44140625" style="1146" bestFit="1" customWidth="1"/>
    <col min="11782" max="11782" width="11.33203125" style="1146" bestFit="1" customWidth="1"/>
    <col min="11783" max="11786" width="9.44140625" style="1146" bestFit="1" customWidth="1"/>
    <col min="11787" max="11788" width="11.33203125" style="1146" bestFit="1" customWidth="1"/>
    <col min="11789" max="12032" width="9.109375" style="1146"/>
    <col min="12033" max="12033" width="9.33203125" style="1146" bestFit="1" customWidth="1"/>
    <col min="12034" max="12034" width="32" style="1146" bestFit="1" customWidth="1"/>
    <col min="12035" max="12035" width="14.109375" style="1146" bestFit="1" customWidth="1"/>
    <col min="12036" max="12036" width="11.33203125" style="1146" bestFit="1" customWidth="1"/>
    <col min="12037" max="12037" width="9.44140625" style="1146" bestFit="1" customWidth="1"/>
    <col min="12038" max="12038" width="11.33203125" style="1146" bestFit="1" customWidth="1"/>
    <col min="12039" max="12042" width="9.44140625" style="1146" bestFit="1" customWidth="1"/>
    <col min="12043" max="12044" width="11.33203125" style="1146" bestFit="1" customWidth="1"/>
    <col min="12045" max="12288" width="9.109375" style="1146"/>
    <col min="12289" max="12289" width="9.33203125" style="1146" bestFit="1" customWidth="1"/>
    <col min="12290" max="12290" width="32" style="1146" bestFit="1" customWidth="1"/>
    <col min="12291" max="12291" width="14.109375" style="1146" bestFit="1" customWidth="1"/>
    <col min="12292" max="12292" width="11.33203125" style="1146" bestFit="1" customWidth="1"/>
    <col min="12293" max="12293" width="9.44140625" style="1146" bestFit="1" customWidth="1"/>
    <col min="12294" max="12294" width="11.33203125" style="1146" bestFit="1" customWidth="1"/>
    <col min="12295" max="12298" width="9.44140625" style="1146" bestFit="1" customWidth="1"/>
    <col min="12299" max="12300" width="11.33203125" style="1146" bestFit="1" customWidth="1"/>
    <col min="12301" max="12544" width="9.109375" style="1146"/>
    <col min="12545" max="12545" width="9.33203125" style="1146" bestFit="1" customWidth="1"/>
    <col min="12546" max="12546" width="32" style="1146" bestFit="1" customWidth="1"/>
    <col min="12547" max="12547" width="14.109375" style="1146" bestFit="1" customWidth="1"/>
    <col min="12548" max="12548" width="11.33203125" style="1146" bestFit="1" customWidth="1"/>
    <col min="12549" max="12549" width="9.44140625" style="1146" bestFit="1" customWidth="1"/>
    <col min="12550" max="12550" width="11.33203125" style="1146" bestFit="1" customWidth="1"/>
    <col min="12551" max="12554" width="9.44140625" style="1146" bestFit="1" customWidth="1"/>
    <col min="12555" max="12556" width="11.33203125" style="1146" bestFit="1" customWidth="1"/>
    <col min="12557" max="12800" width="9.109375" style="1146"/>
    <col min="12801" max="12801" width="9.33203125" style="1146" bestFit="1" customWidth="1"/>
    <col min="12802" max="12802" width="32" style="1146" bestFit="1" customWidth="1"/>
    <col min="12803" max="12803" width="14.109375" style="1146" bestFit="1" customWidth="1"/>
    <col min="12804" max="12804" width="11.33203125" style="1146" bestFit="1" customWidth="1"/>
    <col min="12805" max="12805" width="9.44140625" style="1146" bestFit="1" customWidth="1"/>
    <col min="12806" max="12806" width="11.33203125" style="1146" bestFit="1" customWidth="1"/>
    <col min="12807" max="12810" width="9.44140625" style="1146" bestFit="1" customWidth="1"/>
    <col min="12811" max="12812" width="11.33203125" style="1146" bestFit="1" customWidth="1"/>
    <col min="12813" max="13056" width="9.109375" style="1146"/>
    <col min="13057" max="13057" width="9.33203125" style="1146" bestFit="1" customWidth="1"/>
    <col min="13058" max="13058" width="32" style="1146" bestFit="1" customWidth="1"/>
    <col min="13059" max="13059" width="14.109375" style="1146" bestFit="1" customWidth="1"/>
    <col min="13060" max="13060" width="11.33203125" style="1146" bestFit="1" customWidth="1"/>
    <col min="13061" max="13061" width="9.44140625" style="1146" bestFit="1" customWidth="1"/>
    <col min="13062" max="13062" width="11.33203125" style="1146" bestFit="1" customWidth="1"/>
    <col min="13063" max="13066" width="9.44140625" style="1146" bestFit="1" customWidth="1"/>
    <col min="13067" max="13068" width="11.33203125" style="1146" bestFit="1" customWidth="1"/>
    <col min="13069" max="13312" width="9.109375" style="1146"/>
    <col min="13313" max="13313" width="9.33203125" style="1146" bestFit="1" customWidth="1"/>
    <col min="13314" max="13314" width="32" style="1146" bestFit="1" customWidth="1"/>
    <col min="13315" max="13315" width="14.109375" style="1146" bestFit="1" customWidth="1"/>
    <col min="13316" max="13316" width="11.33203125" style="1146" bestFit="1" customWidth="1"/>
    <col min="13317" max="13317" width="9.44140625" style="1146" bestFit="1" customWidth="1"/>
    <col min="13318" max="13318" width="11.33203125" style="1146" bestFit="1" customWidth="1"/>
    <col min="13319" max="13322" width="9.44140625" style="1146" bestFit="1" customWidth="1"/>
    <col min="13323" max="13324" width="11.33203125" style="1146" bestFit="1" customWidth="1"/>
    <col min="13325" max="13568" width="9.109375" style="1146"/>
    <col min="13569" max="13569" width="9.33203125" style="1146" bestFit="1" customWidth="1"/>
    <col min="13570" max="13570" width="32" style="1146" bestFit="1" customWidth="1"/>
    <col min="13571" max="13571" width="14.109375" style="1146" bestFit="1" customWidth="1"/>
    <col min="13572" max="13572" width="11.33203125" style="1146" bestFit="1" customWidth="1"/>
    <col min="13573" max="13573" width="9.44140625" style="1146" bestFit="1" customWidth="1"/>
    <col min="13574" max="13574" width="11.33203125" style="1146" bestFit="1" customWidth="1"/>
    <col min="13575" max="13578" width="9.44140625" style="1146" bestFit="1" customWidth="1"/>
    <col min="13579" max="13580" width="11.33203125" style="1146" bestFit="1" customWidth="1"/>
    <col min="13581" max="13824" width="9.109375" style="1146"/>
    <col min="13825" max="13825" width="9.33203125" style="1146" bestFit="1" customWidth="1"/>
    <col min="13826" max="13826" width="32" style="1146" bestFit="1" customWidth="1"/>
    <col min="13827" max="13827" width="14.109375" style="1146" bestFit="1" customWidth="1"/>
    <col min="13828" max="13828" width="11.33203125" style="1146" bestFit="1" customWidth="1"/>
    <col min="13829" max="13829" width="9.44140625" style="1146" bestFit="1" customWidth="1"/>
    <col min="13830" max="13830" width="11.33203125" style="1146" bestFit="1" customWidth="1"/>
    <col min="13831" max="13834" width="9.44140625" style="1146" bestFit="1" customWidth="1"/>
    <col min="13835" max="13836" width="11.33203125" style="1146" bestFit="1" customWidth="1"/>
    <col min="13837" max="14080" width="9.109375" style="1146"/>
    <col min="14081" max="14081" width="9.33203125" style="1146" bestFit="1" customWidth="1"/>
    <col min="14082" max="14082" width="32" style="1146" bestFit="1" customWidth="1"/>
    <col min="14083" max="14083" width="14.109375" style="1146" bestFit="1" customWidth="1"/>
    <col min="14084" max="14084" width="11.33203125" style="1146" bestFit="1" customWidth="1"/>
    <col min="14085" max="14085" width="9.44140625" style="1146" bestFit="1" customWidth="1"/>
    <col min="14086" max="14086" width="11.33203125" style="1146" bestFit="1" customWidth="1"/>
    <col min="14087" max="14090" width="9.44140625" style="1146" bestFit="1" customWidth="1"/>
    <col min="14091" max="14092" width="11.33203125" style="1146" bestFit="1" customWidth="1"/>
    <col min="14093" max="14336" width="9.109375" style="1146"/>
    <col min="14337" max="14337" width="9.33203125" style="1146" bestFit="1" customWidth="1"/>
    <col min="14338" max="14338" width="32" style="1146" bestFit="1" customWidth="1"/>
    <col min="14339" max="14339" width="14.109375" style="1146" bestFit="1" customWidth="1"/>
    <col min="14340" max="14340" width="11.33203125" style="1146" bestFit="1" customWidth="1"/>
    <col min="14341" max="14341" width="9.44140625" style="1146" bestFit="1" customWidth="1"/>
    <col min="14342" max="14342" width="11.33203125" style="1146" bestFit="1" customWidth="1"/>
    <col min="14343" max="14346" width="9.44140625" style="1146" bestFit="1" customWidth="1"/>
    <col min="14347" max="14348" width="11.33203125" style="1146" bestFit="1" customWidth="1"/>
    <col min="14349" max="14592" width="9.109375" style="1146"/>
    <col min="14593" max="14593" width="9.33203125" style="1146" bestFit="1" customWidth="1"/>
    <col min="14594" max="14594" width="32" style="1146" bestFit="1" customWidth="1"/>
    <col min="14595" max="14595" width="14.109375" style="1146" bestFit="1" customWidth="1"/>
    <col min="14596" max="14596" width="11.33203125" style="1146" bestFit="1" customWidth="1"/>
    <col min="14597" max="14597" width="9.44140625" style="1146" bestFit="1" customWidth="1"/>
    <col min="14598" max="14598" width="11.33203125" style="1146" bestFit="1" customWidth="1"/>
    <col min="14599" max="14602" width="9.44140625" style="1146" bestFit="1" customWidth="1"/>
    <col min="14603" max="14604" width="11.33203125" style="1146" bestFit="1" customWidth="1"/>
    <col min="14605" max="14848" width="9.109375" style="1146"/>
    <col min="14849" max="14849" width="9.33203125" style="1146" bestFit="1" customWidth="1"/>
    <col min="14850" max="14850" width="32" style="1146" bestFit="1" customWidth="1"/>
    <col min="14851" max="14851" width="14.109375" style="1146" bestFit="1" customWidth="1"/>
    <col min="14852" max="14852" width="11.33203125" style="1146" bestFit="1" customWidth="1"/>
    <col min="14853" max="14853" width="9.44140625" style="1146" bestFit="1" customWidth="1"/>
    <col min="14854" max="14854" width="11.33203125" style="1146" bestFit="1" customWidth="1"/>
    <col min="14855" max="14858" width="9.44140625" style="1146" bestFit="1" customWidth="1"/>
    <col min="14859" max="14860" width="11.33203125" style="1146" bestFit="1" customWidth="1"/>
    <col min="14861" max="15104" width="9.109375" style="1146"/>
    <col min="15105" max="15105" width="9.33203125" style="1146" bestFit="1" customWidth="1"/>
    <col min="15106" max="15106" width="32" style="1146" bestFit="1" customWidth="1"/>
    <col min="15107" max="15107" width="14.109375" style="1146" bestFit="1" customWidth="1"/>
    <col min="15108" max="15108" width="11.33203125" style="1146" bestFit="1" customWidth="1"/>
    <col min="15109" max="15109" width="9.44140625" style="1146" bestFit="1" customWidth="1"/>
    <col min="15110" max="15110" width="11.33203125" style="1146" bestFit="1" customWidth="1"/>
    <col min="15111" max="15114" width="9.44140625" style="1146" bestFit="1" customWidth="1"/>
    <col min="15115" max="15116" width="11.33203125" style="1146" bestFit="1" customWidth="1"/>
    <col min="15117" max="15360" width="9.109375" style="1146"/>
    <col min="15361" max="15361" width="9.33203125" style="1146" bestFit="1" customWidth="1"/>
    <col min="15362" max="15362" width="32" style="1146" bestFit="1" customWidth="1"/>
    <col min="15363" max="15363" width="14.109375" style="1146" bestFit="1" customWidth="1"/>
    <col min="15364" max="15364" width="11.33203125" style="1146" bestFit="1" customWidth="1"/>
    <col min="15365" max="15365" width="9.44140625" style="1146" bestFit="1" customWidth="1"/>
    <col min="15366" max="15366" width="11.33203125" style="1146" bestFit="1" customWidth="1"/>
    <col min="15367" max="15370" width="9.44140625" style="1146" bestFit="1" customWidth="1"/>
    <col min="15371" max="15372" width="11.33203125" style="1146" bestFit="1" customWidth="1"/>
    <col min="15373" max="15616" width="9.109375" style="1146"/>
    <col min="15617" max="15617" width="9.33203125" style="1146" bestFit="1" customWidth="1"/>
    <col min="15618" max="15618" width="32" style="1146" bestFit="1" customWidth="1"/>
    <col min="15619" max="15619" width="14.109375" style="1146" bestFit="1" customWidth="1"/>
    <col min="15620" max="15620" width="11.33203125" style="1146" bestFit="1" customWidth="1"/>
    <col min="15621" max="15621" width="9.44140625" style="1146" bestFit="1" customWidth="1"/>
    <col min="15622" max="15622" width="11.33203125" style="1146" bestFit="1" customWidth="1"/>
    <col min="15623" max="15626" width="9.44140625" style="1146" bestFit="1" customWidth="1"/>
    <col min="15627" max="15628" width="11.33203125" style="1146" bestFit="1" customWidth="1"/>
    <col min="15629" max="15872" width="9.109375" style="1146"/>
    <col min="15873" max="15873" width="9.33203125" style="1146" bestFit="1" customWidth="1"/>
    <col min="15874" max="15874" width="32" style="1146" bestFit="1" customWidth="1"/>
    <col min="15875" max="15875" width="14.109375" style="1146" bestFit="1" customWidth="1"/>
    <col min="15876" max="15876" width="11.33203125" style="1146" bestFit="1" customWidth="1"/>
    <col min="15877" max="15877" width="9.44140625" style="1146" bestFit="1" customWidth="1"/>
    <col min="15878" max="15878" width="11.33203125" style="1146" bestFit="1" customWidth="1"/>
    <col min="15879" max="15882" width="9.44140625" style="1146" bestFit="1" customWidth="1"/>
    <col min="15883" max="15884" width="11.33203125" style="1146" bestFit="1" customWidth="1"/>
    <col min="15885" max="16128" width="9.109375" style="1146"/>
    <col min="16129" max="16129" width="9.33203125" style="1146" bestFit="1" customWidth="1"/>
    <col min="16130" max="16130" width="32" style="1146" bestFit="1" customWidth="1"/>
    <col min="16131" max="16131" width="14.109375" style="1146" bestFit="1" customWidth="1"/>
    <col min="16132" max="16132" width="11.33203125" style="1146" bestFit="1" customWidth="1"/>
    <col min="16133" max="16133" width="9.44140625" style="1146" bestFit="1" customWidth="1"/>
    <col min="16134" max="16134" width="11.33203125" style="1146" bestFit="1" customWidth="1"/>
    <col min="16135" max="16138" width="9.44140625" style="1146" bestFit="1" customWidth="1"/>
    <col min="16139" max="16140" width="11.33203125" style="1146" bestFit="1" customWidth="1"/>
    <col min="16141" max="16384" width="9.109375" style="1146"/>
  </cols>
  <sheetData>
    <row r="1" spans="1:12" x14ac:dyDescent="0.25">
      <c r="A1" s="1573" t="s">
        <v>1137</v>
      </c>
      <c r="B1" s="1573"/>
      <c r="C1" s="1573"/>
      <c r="D1" s="1573"/>
      <c r="E1" s="1573"/>
      <c r="F1" s="1573"/>
      <c r="G1" s="1573"/>
      <c r="H1" s="1573"/>
      <c r="I1" s="1573"/>
      <c r="J1" s="1573"/>
      <c r="K1" s="1573"/>
      <c r="L1" s="1573"/>
    </row>
    <row r="2" spans="1:12" x14ac:dyDescent="0.25">
      <c r="A2" s="1573" t="s">
        <v>1138</v>
      </c>
      <c r="B2" s="1573"/>
      <c r="C2" s="1573"/>
      <c r="D2" s="1573"/>
      <c r="E2" s="1573"/>
      <c r="F2" s="1573"/>
      <c r="G2" s="1573"/>
      <c r="H2" s="1573"/>
      <c r="I2" s="1573"/>
      <c r="J2" s="1573"/>
      <c r="K2" s="1573"/>
      <c r="L2" s="1573"/>
    </row>
    <row r="3" spans="1:12" x14ac:dyDescent="0.25">
      <c r="A3" s="1284"/>
      <c r="B3" s="1284"/>
      <c r="C3" s="1284"/>
      <c r="D3" s="1284"/>
      <c r="E3" s="1284"/>
      <c r="F3" s="1285"/>
      <c r="G3" s="1284"/>
      <c r="H3" s="1284"/>
      <c r="I3" s="1284"/>
      <c r="J3" s="1284"/>
      <c r="K3" s="1284"/>
      <c r="L3" s="1284"/>
    </row>
    <row r="4" spans="1:12" x14ac:dyDescent="0.25">
      <c r="A4" s="1286" t="s">
        <v>327</v>
      </c>
      <c r="B4" s="1287" t="s">
        <v>1139</v>
      </c>
      <c r="C4" s="1287" t="s">
        <v>1140</v>
      </c>
      <c r="D4" s="1574" t="s">
        <v>1141</v>
      </c>
      <c r="E4" s="1576" t="s">
        <v>1142</v>
      </c>
      <c r="F4" s="1288"/>
      <c r="G4" s="1289"/>
      <c r="H4" s="1289"/>
      <c r="I4" s="1289"/>
      <c r="J4" s="1577" t="s">
        <v>1143</v>
      </c>
      <c r="K4" s="1578" t="s">
        <v>1144</v>
      </c>
      <c r="L4" s="1577" t="s">
        <v>1145</v>
      </c>
    </row>
    <row r="5" spans="1:12" ht="27.75" customHeight="1" x14ac:dyDescent="0.25">
      <c r="A5" s="1290"/>
      <c r="B5" s="1291"/>
      <c r="C5" s="1292" t="s">
        <v>1146</v>
      </c>
      <c r="D5" s="1575"/>
      <c r="E5" s="1576"/>
      <c r="F5" s="1293" t="s">
        <v>1034</v>
      </c>
      <c r="G5" s="1294" t="s">
        <v>1035</v>
      </c>
      <c r="H5" s="1294" t="s">
        <v>1036</v>
      </c>
      <c r="I5" s="1294" t="s">
        <v>1037</v>
      </c>
      <c r="J5" s="1577"/>
      <c r="K5" s="1578"/>
      <c r="L5" s="1577"/>
    </row>
    <row r="6" spans="1:12" ht="27.6" x14ac:dyDescent="0.25">
      <c r="A6" s="1295"/>
      <c r="B6" s="1296"/>
      <c r="C6" s="1297" t="s">
        <v>1147</v>
      </c>
      <c r="D6" s="1298" t="s">
        <v>1148</v>
      </c>
      <c r="E6" s="1576"/>
      <c r="F6" s="1299"/>
      <c r="G6" s="1300"/>
      <c r="H6" s="1300"/>
      <c r="I6" s="1300"/>
      <c r="J6" s="1577"/>
      <c r="K6" s="1578"/>
      <c r="L6" s="1577"/>
    </row>
    <row r="7" spans="1:12" x14ac:dyDescent="0.25">
      <c r="A7" s="1301" t="s">
        <v>1067</v>
      </c>
      <c r="B7" s="1302" t="s">
        <v>706</v>
      </c>
      <c r="C7" s="1302" t="s">
        <v>707</v>
      </c>
      <c r="D7" s="1302" t="s">
        <v>1068</v>
      </c>
      <c r="E7" s="1302" t="s">
        <v>1069</v>
      </c>
      <c r="F7" s="1303" t="s">
        <v>1093</v>
      </c>
      <c r="G7" s="1304" t="s">
        <v>1094</v>
      </c>
      <c r="H7" s="1304" t="s">
        <v>1095</v>
      </c>
      <c r="I7" s="1304" t="s">
        <v>1103</v>
      </c>
      <c r="J7" s="1304" t="s">
        <v>1105</v>
      </c>
      <c r="K7" s="1305" t="s">
        <v>1107</v>
      </c>
      <c r="L7" s="1306" t="s">
        <v>1109</v>
      </c>
    </row>
    <row r="8" spans="1:12" x14ac:dyDescent="0.25">
      <c r="A8" s="1286" t="s">
        <v>1067</v>
      </c>
      <c r="B8" s="1307" t="s">
        <v>1149</v>
      </c>
      <c r="C8" s="1308"/>
      <c r="D8" s="1309"/>
      <c r="E8" s="1310"/>
      <c r="F8" s="1311"/>
      <c r="G8" s="1312"/>
      <c r="H8" s="1312"/>
      <c r="I8" s="1312"/>
      <c r="J8" s="1312"/>
      <c r="K8" s="1312"/>
      <c r="L8" s="1313"/>
    </row>
    <row r="9" spans="1:12" x14ac:dyDescent="0.25">
      <c r="A9" s="1290"/>
      <c r="B9" s="1314" t="s">
        <v>1150</v>
      </c>
      <c r="C9" s="1315"/>
      <c r="D9" s="1316"/>
      <c r="E9" s="1316"/>
      <c r="F9" s="1317"/>
      <c r="G9" s="1318"/>
      <c r="H9" s="1318"/>
      <c r="I9" s="1318"/>
      <c r="J9" s="1318"/>
      <c r="K9" s="1319"/>
      <c r="L9" s="1313"/>
    </row>
    <row r="10" spans="1:12" x14ac:dyDescent="0.25">
      <c r="A10" s="1320"/>
      <c r="B10" s="1321"/>
      <c r="C10" s="1321"/>
      <c r="D10" s="1321"/>
      <c r="E10" s="1321"/>
      <c r="F10" s="1322"/>
      <c r="G10" s="1323"/>
      <c r="H10" s="1323"/>
      <c r="I10" s="1323"/>
      <c r="J10" s="1323"/>
      <c r="K10" s="1324"/>
      <c r="L10" s="1313"/>
    </row>
    <row r="11" spans="1:12" x14ac:dyDescent="0.25">
      <c r="A11" s="1286" t="s">
        <v>706</v>
      </c>
      <c r="B11" s="1325" t="s">
        <v>1151</v>
      </c>
      <c r="C11" s="1308"/>
      <c r="D11" s="1326"/>
      <c r="E11" s="1326"/>
      <c r="F11" s="1327"/>
      <c r="G11" s="1328"/>
      <c r="H11" s="1328"/>
      <c r="I11" s="1328"/>
      <c r="J11" s="1328"/>
      <c r="K11" s="1329"/>
      <c r="L11" s="1313"/>
    </row>
    <row r="12" spans="1:12" x14ac:dyDescent="0.25">
      <c r="A12" s="1290"/>
      <c r="B12" s="1330" t="s">
        <v>1152</v>
      </c>
      <c r="C12" s="1315"/>
      <c r="D12" s="1331">
        <f>D18+D24+D26+D28</f>
        <v>743854</v>
      </c>
      <c r="E12" s="1331">
        <f t="shared" ref="E12:J12" si="0">E18+E24+E26+E28</f>
        <v>0</v>
      </c>
      <c r="F12" s="1332">
        <f>F18+F24+F26+F28</f>
        <v>92829</v>
      </c>
      <c r="G12" s="1331">
        <f t="shared" si="0"/>
        <v>90872</v>
      </c>
      <c r="H12" s="1331">
        <f t="shared" si="0"/>
        <v>88915</v>
      </c>
      <c r="I12" s="1331">
        <f t="shared" si="0"/>
        <v>87188</v>
      </c>
      <c r="J12" s="1331">
        <f t="shared" si="0"/>
        <v>482472</v>
      </c>
      <c r="K12" s="1331">
        <f>K18+K24+K26+K28</f>
        <v>749447</v>
      </c>
      <c r="L12" s="1331">
        <f>D12+E12+F12+K12</f>
        <v>1586130</v>
      </c>
    </row>
    <row r="13" spans="1:12" x14ac:dyDescent="0.25">
      <c r="A13" s="1320" t="s">
        <v>707</v>
      </c>
      <c r="B13" s="1333" t="s">
        <v>1153</v>
      </c>
      <c r="C13" s="1334">
        <v>2005</v>
      </c>
      <c r="D13" s="1335">
        <v>91120</v>
      </c>
      <c r="E13" s="1335"/>
      <c r="F13" s="1336"/>
      <c r="G13" s="1337"/>
      <c r="H13" s="1337"/>
      <c r="I13" s="1337"/>
      <c r="J13" s="1338"/>
      <c r="K13" s="1339">
        <f>G13+H13+I13+J13</f>
        <v>0</v>
      </c>
      <c r="L13" s="1340">
        <f>D13+E13+F13+K13</f>
        <v>91120</v>
      </c>
    </row>
    <row r="14" spans="1:12" ht="27.6" x14ac:dyDescent="0.25">
      <c r="A14" s="1320" t="s">
        <v>1068</v>
      </c>
      <c r="B14" s="1341" t="s">
        <v>1154</v>
      </c>
      <c r="C14" s="1342">
        <v>2005</v>
      </c>
      <c r="D14" s="1335">
        <v>11224</v>
      </c>
      <c r="E14" s="1335">
        <v>0</v>
      </c>
      <c r="F14" s="1336"/>
      <c r="G14" s="1337"/>
      <c r="H14" s="1337"/>
      <c r="I14" s="1337"/>
      <c r="J14" s="1338"/>
      <c r="K14" s="1339">
        <f t="shared" ref="K14:K17" si="1">G14+H14+I14+J14</f>
        <v>0</v>
      </c>
      <c r="L14" s="1340">
        <f t="shared" ref="L14:L17" si="2">D14+E14+F14+K14</f>
        <v>11224</v>
      </c>
    </row>
    <row r="15" spans="1:12" ht="27.6" x14ac:dyDescent="0.25">
      <c r="A15" s="1320" t="s">
        <v>1069</v>
      </c>
      <c r="B15" s="1341" t="s">
        <v>1155</v>
      </c>
      <c r="C15" s="1342">
        <v>2006</v>
      </c>
      <c r="D15" s="1335">
        <v>98236</v>
      </c>
      <c r="E15" s="1335">
        <v>0</v>
      </c>
      <c r="F15" s="1336"/>
      <c r="G15" s="1337"/>
      <c r="H15" s="1337"/>
      <c r="I15" s="1337"/>
      <c r="J15" s="1338"/>
      <c r="K15" s="1339">
        <f t="shared" si="1"/>
        <v>0</v>
      </c>
      <c r="L15" s="1340">
        <f t="shared" si="2"/>
        <v>98236</v>
      </c>
    </row>
    <row r="16" spans="1:12" x14ac:dyDescent="0.25">
      <c r="A16" s="1320" t="s">
        <v>1093</v>
      </c>
      <c r="B16" s="1341" t="s">
        <v>1156</v>
      </c>
      <c r="C16" s="1342">
        <v>2008</v>
      </c>
      <c r="D16" s="1335">
        <v>76025</v>
      </c>
      <c r="E16" s="1335">
        <v>0</v>
      </c>
      <c r="F16" s="1336"/>
      <c r="G16" s="1337"/>
      <c r="H16" s="1337"/>
      <c r="I16" s="1337"/>
      <c r="J16" s="1338"/>
      <c r="K16" s="1339">
        <f t="shared" si="1"/>
        <v>0</v>
      </c>
      <c r="L16" s="1340">
        <f t="shared" si="2"/>
        <v>76025</v>
      </c>
    </row>
    <row r="17" spans="1:12" x14ac:dyDescent="0.25">
      <c r="A17" s="1320" t="s">
        <v>1094</v>
      </c>
      <c r="B17" s="1341" t="s">
        <v>1101</v>
      </c>
      <c r="C17" s="1342">
        <v>2014</v>
      </c>
      <c r="D17" s="1335">
        <v>257575</v>
      </c>
      <c r="E17" s="1335"/>
      <c r="F17" s="1336">
        <v>74242</v>
      </c>
      <c r="G17" s="1337">
        <v>74242</v>
      </c>
      <c r="H17" s="1337">
        <v>74242</v>
      </c>
      <c r="I17" s="1337">
        <v>74242</v>
      </c>
      <c r="J17" s="1343">
        <v>445457</v>
      </c>
      <c r="K17" s="1339">
        <f t="shared" si="1"/>
        <v>668183</v>
      </c>
      <c r="L17" s="1340">
        <f t="shared" si="2"/>
        <v>1000000</v>
      </c>
    </row>
    <row r="18" spans="1:12" x14ac:dyDescent="0.25">
      <c r="A18" s="1301" t="s">
        <v>1095</v>
      </c>
      <c r="B18" s="1344" t="s">
        <v>1157</v>
      </c>
      <c r="C18" s="1306"/>
      <c r="D18" s="1345">
        <f>SUM(D13:D17)</f>
        <v>534180</v>
      </c>
      <c r="E18" s="1345">
        <f>SUM(E13:E16)</f>
        <v>0</v>
      </c>
      <c r="F18" s="1346">
        <f t="shared" ref="F18:L18" si="3">SUM(F13:F17)</f>
        <v>74242</v>
      </c>
      <c r="G18" s="1345">
        <f t="shared" si="3"/>
        <v>74242</v>
      </c>
      <c r="H18" s="1345">
        <f t="shared" si="3"/>
        <v>74242</v>
      </c>
      <c r="I18" s="1345">
        <f t="shared" si="3"/>
        <v>74242</v>
      </c>
      <c r="J18" s="1345">
        <f t="shared" si="3"/>
        <v>445457</v>
      </c>
      <c r="K18" s="1345">
        <f t="shared" si="3"/>
        <v>668183</v>
      </c>
      <c r="L18" s="1345">
        <f t="shared" si="3"/>
        <v>1276605</v>
      </c>
    </row>
    <row r="19" spans="1:12" x14ac:dyDescent="0.25">
      <c r="A19" s="1320" t="s">
        <v>1103</v>
      </c>
      <c r="B19" s="1341" t="s">
        <v>1158</v>
      </c>
      <c r="C19" s="1342">
        <v>2005</v>
      </c>
      <c r="D19" s="1335">
        <v>34151</v>
      </c>
      <c r="E19" s="1335">
        <v>0</v>
      </c>
      <c r="F19" s="1336"/>
      <c r="G19" s="1337"/>
      <c r="H19" s="1337"/>
      <c r="I19" s="1337"/>
      <c r="J19" s="1338"/>
      <c r="K19" s="1339">
        <v>0</v>
      </c>
      <c r="L19" s="1340">
        <v>34151</v>
      </c>
    </row>
    <row r="20" spans="1:12" ht="27.6" x14ac:dyDescent="0.25">
      <c r="A20" s="1320" t="s">
        <v>1105</v>
      </c>
      <c r="B20" s="1341" t="s">
        <v>1159</v>
      </c>
      <c r="C20" s="1342">
        <v>2005</v>
      </c>
      <c r="D20" s="1335">
        <v>3650</v>
      </c>
      <c r="E20" s="1335">
        <v>0</v>
      </c>
      <c r="F20" s="1336"/>
      <c r="G20" s="1337"/>
      <c r="H20" s="1337"/>
      <c r="I20" s="1337"/>
      <c r="J20" s="1338"/>
      <c r="K20" s="1339">
        <v>0</v>
      </c>
      <c r="L20" s="1340">
        <v>3650</v>
      </c>
    </row>
    <row r="21" spans="1:12" ht="27.6" x14ac:dyDescent="0.25">
      <c r="A21" s="1320" t="s">
        <v>1107</v>
      </c>
      <c r="B21" s="1341" t="s">
        <v>1160</v>
      </c>
      <c r="C21" s="1342">
        <v>2006</v>
      </c>
      <c r="D21" s="1335">
        <v>27478</v>
      </c>
      <c r="E21" s="1335">
        <v>0</v>
      </c>
      <c r="F21" s="1336"/>
      <c r="G21" s="1337"/>
      <c r="H21" s="1337"/>
      <c r="I21" s="1337"/>
      <c r="J21" s="1338"/>
      <c r="K21" s="1339">
        <v>0</v>
      </c>
      <c r="L21" s="1340">
        <v>27478</v>
      </c>
    </row>
    <row r="22" spans="1:12" ht="27.6" x14ac:dyDescent="0.25">
      <c r="A22" s="1320" t="s">
        <v>1109</v>
      </c>
      <c r="B22" s="1341" t="s">
        <v>1161</v>
      </c>
      <c r="C22" s="1347">
        <v>2008</v>
      </c>
      <c r="D22" s="1335">
        <v>13991</v>
      </c>
      <c r="E22" s="1335">
        <v>0</v>
      </c>
      <c r="F22" s="1336"/>
      <c r="G22" s="1337"/>
      <c r="H22" s="1337"/>
      <c r="I22" s="1337"/>
      <c r="J22" s="1338"/>
      <c r="K22" s="1339">
        <v>0</v>
      </c>
      <c r="L22" s="1340">
        <v>13991</v>
      </c>
    </row>
    <row r="23" spans="1:12" s="1354" customFormat="1" ht="27.6" x14ac:dyDescent="0.25">
      <c r="A23" s="1348" t="s">
        <v>1111</v>
      </c>
      <c r="B23" s="1349" t="s">
        <v>1104</v>
      </c>
      <c r="C23" s="1350">
        <v>2014</v>
      </c>
      <c r="D23" s="1351">
        <v>50007</v>
      </c>
      <c r="E23" s="1351">
        <v>0</v>
      </c>
      <c r="F23" s="1336">
        <v>18587</v>
      </c>
      <c r="G23" s="1336">
        <v>16630</v>
      </c>
      <c r="H23" s="1336">
        <v>14673</v>
      </c>
      <c r="I23" s="1336">
        <v>12946</v>
      </c>
      <c r="J23" s="1352">
        <v>37015</v>
      </c>
      <c r="K23" s="1353">
        <f>G23+H23+I23+J23</f>
        <v>81264</v>
      </c>
      <c r="L23" s="1346">
        <f>D23+E23+F23+K23</f>
        <v>149858</v>
      </c>
    </row>
    <row r="24" spans="1:12" x14ac:dyDescent="0.25">
      <c r="A24" s="1301">
        <v>14</v>
      </c>
      <c r="B24" s="1344" t="s">
        <v>1162</v>
      </c>
      <c r="C24" s="1306"/>
      <c r="D24" s="1345">
        <f>SUM(D19:D23)</f>
        <v>129277</v>
      </c>
      <c r="E24" s="1345">
        <f>SUM(E19:E23)</f>
        <v>0</v>
      </c>
      <c r="F24" s="1346">
        <f t="shared" ref="F24:L24" si="4">SUM(F19:F23)</f>
        <v>18587</v>
      </c>
      <c r="G24" s="1345">
        <f t="shared" si="4"/>
        <v>16630</v>
      </c>
      <c r="H24" s="1345">
        <f t="shared" si="4"/>
        <v>14673</v>
      </c>
      <c r="I24" s="1345">
        <f t="shared" si="4"/>
        <v>12946</v>
      </c>
      <c r="J24" s="1345">
        <f t="shared" si="4"/>
        <v>37015</v>
      </c>
      <c r="K24" s="1345">
        <f t="shared" si="4"/>
        <v>81264</v>
      </c>
      <c r="L24" s="1345">
        <f t="shared" si="4"/>
        <v>229128</v>
      </c>
    </row>
    <row r="25" spans="1:12" x14ac:dyDescent="0.25">
      <c r="A25" s="1320">
        <v>15</v>
      </c>
      <c r="B25" s="1341" t="s">
        <v>1163</v>
      </c>
      <c r="C25" s="1347">
        <v>2006</v>
      </c>
      <c r="D25" s="1335">
        <v>59185</v>
      </c>
      <c r="E25" s="1335"/>
      <c r="F25" s="1336">
        <v>0</v>
      </c>
      <c r="G25" s="1337">
        <v>0</v>
      </c>
      <c r="H25" s="1337"/>
      <c r="I25" s="1337"/>
      <c r="J25" s="1338"/>
      <c r="K25" s="1355">
        <f>F25+G25+J25+H25</f>
        <v>0</v>
      </c>
      <c r="L25" s="1335">
        <v>59185</v>
      </c>
    </row>
    <row r="26" spans="1:12" ht="27.6" x14ac:dyDescent="0.25">
      <c r="A26" s="1301">
        <v>16</v>
      </c>
      <c r="B26" s="1344" t="s">
        <v>1164</v>
      </c>
      <c r="C26" s="1306"/>
      <c r="D26" s="1345">
        <f t="shared" ref="D26:L26" si="5">SUM(D25)</f>
        <v>59185</v>
      </c>
      <c r="E26" s="1345">
        <f t="shared" si="5"/>
        <v>0</v>
      </c>
      <c r="F26" s="1346">
        <f t="shared" si="5"/>
        <v>0</v>
      </c>
      <c r="G26" s="1345">
        <f t="shared" si="5"/>
        <v>0</v>
      </c>
      <c r="H26" s="1345"/>
      <c r="I26" s="1345"/>
      <c r="J26" s="1345">
        <f t="shared" si="5"/>
        <v>0</v>
      </c>
      <c r="K26" s="1345">
        <f t="shared" si="5"/>
        <v>0</v>
      </c>
      <c r="L26" s="1345">
        <f t="shared" si="5"/>
        <v>59185</v>
      </c>
    </row>
    <row r="27" spans="1:12" ht="27.6" x14ac:dyDescent="0.25">
      <c r="A27" s="1320">
        <v>17</v>
      </c>
      <c r="B27" s="1341" t="s">
        <v>1165</v>
      </c>
      <c r="C27" s="1347">
        <v>2006</v>
      </c>
      <c r="D27" s="1335">
        <v>21212</v>
      </c>
      <c r="E27" s="1335">
        <v>0</v>
      </c>
      <c r="F27" s="1336">
        <v>0</v>
      </c>
      <c r="G27" s="1337">
        <v>0</v>
      </c>
      <c r="H27" s="1337"/>
      <c r="I27" s="1337"/>
      <c r="J27" s="1338"/>
      <c r="K27" s="1355">
        <f>F27+G27+J27+H27</f>
        <v>0</v>
      </c>
      <c r="L27" s="1335">
        <v>21212</v>
      </c>
    </row>
    <row r="28" spans="1:12" ht="27.6" x14ac:dyDescent="0.25">
      <c r="A28" s="1301">
        <v>18</v>
      </c>
      <c r="B28" s="1344" t="s">
        <v>1166</v>
      </c>
      <c r="C28" s="1306"/>
      <c r="D28" s="1345">
        <f t="shared" ref="D28:L28" si="6">SUM(D27)</f>
        <v>21212</v>
      </c>
      <c r="E28" s="1345">
        <f t="shared" si="6"/>
        <v>0</v>
      </c>
      <c r="F28" s="1356">
        <f t="shared" si="6"/>
        <v>0</v>
      </c>
      <c r="G28" s="1357">
        <f t="shared" si="6"/>
        <v>0</v>
      </c>
      <c r="H28" s="1357"/>
      <c r="I28" s="1357"/>
      <c r="J28" s="1357">
        <f t="shared" si="6"/>
        <v>0</v>
      </c>
      <c r="K28" s="1357">
        <f t="shared" si="6"/>
        <v>0</v>
      </c>
      <c r="L28" s="1357">
        <f t="shared" si="6"/>
        <v>21212</v>
      </c>
    </row>
    <row r="29" spans="1:12" x14ac:dyDescent="0.25">
      <c r="A29" s="1301" t="s">
        <v>1067</v>
      </c>
      <c r="B29" s="1302" t="s">
        <v>706</v>
      </c>
      <c r="C29" s="1302" t="s">
        <v>707</v>
      </c>
      <c r="D29" s="1302" t="s">
        <v>1068</v>
      </c>
      <c r="E29" s="1302" t="s">
        <v>1069</v>
      </c>
      <c r="F29" s="1303" t="s">
        <v>1093</v>
      </c>
      <c r="G29" s="1304" t="s">
        <v>1094</v>
      </c>
      <c r="H29" s="1304" t="s">
        <v>1095</v>
      </c>
      <c r="I29" s="1304" t="s">
        <v>1103</v>
      </c>
      <c r="J29" s="1304" t="s">
        <v>1105</v>
      </c>
      <c r="K29" s="1305" t="s">
        <v>1107</v>
      </c>
      <c r="L29" s="1306" t="s">
        <v>1109</v>
      </c>
    </row>
    <row r="30" spans="1:12" x14ac:dyDescent="0.25">
      <c r="A30" s="1320">
        <v>19</v>
      </c>
      <c r="B30" s="1358" t="s">
        <v>1167</v>
      </c>
      <c r="C30" s="1359"/>
      <c r="D30" s="1331">
        <f t="shared" ref="D30:K30" si="7">SUM(D31:D101)</f>
        <v>1542862</v>
      </c>
      <c r="E30" s="1331">
        <f t="shared" si="7"/>
        <v>110930</v>
      </c>
      <c r="F30" s="1332">
        <f t="shared" si="7"/>
        <v>834040.2</v>
      </c>
      <c r="G30" s="1331">
        <f t="shared" si="7"/>
        <v>511570.2</v>
      </c>
      <c r="H30" s="1331">
        <f t="shared" si="7"/>
        <v>112314.2</v>
      </c>
      <c r="I30" s="1331">
        <f t="shared" si="7"/>
        <v>84942.2</v>
      </c>
      <c r="J30" s="1331">
        <f t="shared" si="7"/>
        <v>264361.2</v>
      </c>
      <c r="K30" s="1331">
        <f t="shared" si="7"/>
        <v>973187.8</v>
      </c>
      <c r="L30" s="1331">
        <f>D30+E30+F30+K30</f>
        <v>3461020</v>
      </c>
    </row>
    <row r="31" spans="1:12" ht="27.6" x14ac:dyDescent="0.25">
      <c r="A31" s="1320">
        <v>20</v>
      </c>
      <c r="B31" s="1360" t="s">
        <v>1168</v>
      </c>
      <c r="C31" s="1320" t="s">
        <v>1113</v>
      </c>
      <c r="D31" s="1361">
        <v>12000</v>
      </c>
      <c r="E31" s="1361">
        <v>0</v>
      </c>
      <c r="F31" s="1362">
        <v>0</v>
      </c>
      <c r="G31" s="1363">
        <v>0</v>
      </c>
      <c r="H31" s="1363"/>
      <c r="I31" s="1363"/>
      <c r="J31" s="1364"/>
      <c r="K31" s="1355">
        <f>G31+H31+I31+J31</f>
        <v>0</v>
      </c>
      <c r="L31" s="1335">
        <f>D31+E31+F31+K31</f>
        <v>12000</v>
      </c>
    </row>
    <row r="32" spans="1:12" ht="27.6" x14ac:dyDescent="0.25">
      <c r="A32" s="1320">
        <v>21</v>
      </c>
      <c r="B32" s="1360" t="s">
        <v>1169</v>
      </c>
      <c r="C32" s="1320" t="s">
        <v>1113</v>
      </c>
      <c r="D32" s="1361">
        <v>12000</v>
      </c>
      <c r="E32" s="1361"/>
      <c r="F32" s="1362">
        <v>0</v>
      </c>
      <c r="G32" s="1363">
        <v>0</v>
      </c>
      <c r="H32" s="1363"/>
      <c r="I32" s="1363"/>
      <c r="J32" s="1364"/>
      <c r="K32" s="1355">
        <f t="shared" ref="K32:K40" si="8">G32+H32+I32+J32</f>
        <v>0</v>
      </c>
      <c r="L32" s="1335">
        <f t="shared" ref="L32:L47" si="9">D32+E32+F32+K32</f>
        <v>12000</v>
      </c>
    </row>
    <row r="33" spans="1:12" ht="27.6" x14ac:dyDescent="0.25">
      <c r="A33" s="1320">
        <v>22</v>
      </c>
      <c r="B33" s="1360" t="s">
        <v>1170</v>
      </c>
      <c r="C33" s="1320" t="s">
        <v>1113</v>
      </c>
      <c r="D33" s="1361">
        <v>17000</v>
      </c>
      <c r="E33" s="1361">
        <v>0</v>
      </c>
      <c r="F33" s="1362">
        <v>0</v>
      </c>
      <c r="G33" s="1363">
        <v>0</v>
      </c>
      <c r="H33" s="1363"/>
      <c r="I33" s="1363"/>
      <c r="J33" s="1364"/>
      <c r="K33" s="1355">
        <f t="shared" si="8"/>
        <v>0</v>
      </c>
      <c r="L33" s="1335">
        <f t="shared" si="9"/>
        <v>17000</v>
      </c>
    </row>
    <row r="34" spans="1:12" ht="27.6" x14ac:dyDescent="0.25">
      <c r="A34" s="1320">
        <v>23</v>
      </c>
      <c r="B34" s="1360" t="s">
        <v>1171</v>
      </c>
      <c r="C34" s="1320" t="s">
        <v>1172</v>
      </c>
      <c r="D34" s="1361">
        <v>3600</v>
      </c>
      <c r="E34" s="1361">
        <v>0</v>
      </c>
      <c r="F34" s="1362">
        <v>400</v>
      </c>
      <c r="G34" s="1363">
        <v>0</v>
      </c>
      <c r="H34" s="1363"/>
      <c r="I34" s="1363"/>
      <c r="J34" s="1364"/>
      <c r="K34" s="1355">
        <f t="shared" si="8"/>
        <v>0</v>
      </c>
      <c r="L34" s="1335">
        <f t="shared" si="9"/>
        <v>4000</v>
      </c>
    </row>
    <row r="35" spans="1:12" ht="27.6" x14ac:dyDescent="0.25">
      <c r="A35" s="1320">
        <v>24</v>
      </c>
      <c r="B35" s="1360" t="s">
        <v>1173</v>
      </c>
      <c r="C35" s="1320" t="s">
        <v>1172</v>
      </c>
      <c r="D35" s="1361">
        <v>3600</v>
      </c>
      <c r="E35" s="1361">
        <v>0</v>
      </c>
      <c r="F35" s="1362">
        <v>400</v>
      </c>
      <c r="G35" s="1363">
        <v>0</v>
      </c>
      <c r="H35" s="1363"/>
      <c r="I35" s="1363"/>
      <c r="J35" s="1364"/>
      <c r="K35" s="1355">
        <f t="shared" si="8"/>
        <v>0</v>
      </c>
      <c r="L35" s="1335">
        <f t="shared" si="9"/>
        <v>4000</v>
      </c>
    </row>
    <row r="36" spans="1:12" ht="27.6" x14ac:dyDescent="0.25">
      <c r="A36" s="1320">
        <v>25</v>
      </c>
      <c r="B36" s="1360" t="s">
        <v>1174</v>
      </c>
      <c r="C36" s="1320" t="s">
        <v>1172</v>
      </c>
      <c r="D36" s="1361">
        <v>10800</v>
      </c>
      <c r="E36" s="1361">
        <v>0</v>
      </c>
      <c r="F36" s="1362">
        <v>1200</v>
      </c>
      <c r="G36" s="1363">
        <v>0</v>
      </c>
      <c r="H36" s="1363"/>
      <c r="I36" s="1363"/>
      <c r="J36" s="1364"/>
      <c r="K36" s="1355">
        <f t="shared" si="8"/>
        <v>0</v>
      </c>
      <c r="L36" s="1335">
        <f t="shared" si="9"/>
        <v>12000</v>
      </c>
    </row>
    <row r="37" spans="1:12" ht="27.6" x14ac:dyDescent="0.25">
      <c r="A37" s="1320">
        <v>26</v>
      </c>
      <c r="B37" s="1360" t="s">
        <v>1175</v>
      </c>
      <c r="C37" s="1320" t="s">
        <v>1172</v>
      </c>
      <c r="D37" s="1361">
        <v>3360</v>
      </c>
      <c r="E37" s="1361">
        <v>420</v>
      </c>
      <c r="F37" s="1362">
        <v>420</v>
      </c>
      <c r="G37" s="1363">
        <v>0</v>
      </c>
      <c r="H37" s="1363"/>
      <c r="I37" s="1363"/>
      <c r="J37" s="1364"/>
      <c r="K37" s="1355">
        <f t="shared" si="8"/>
        <v>0</v>
      </c>
      <c r="L37" s="1335">
        <f t="shared" si="9"/>
        <v>4200</v>
      </c>
    </row>
    <row r="38" spans="1:12" ht="27.6" x14ac:dyDescent="0.25">
      <c r="A38" s="1320">
        <v>27</v>
      </c>
      <c r="B38" s="1360" t="s">
        <v>1176</v>
      </c>
      <c r="C38" s="1320" t="s">
        <v>1172</v>
      </c>
      <c r="D38" s="1361">
        <v>7992</v>
      </c>
      <c r="E38" s="1361">
        <v>999</v>
      </c>
      <c r="F38" s="1362">
        <v>999</v>
      </c>
      <c r="G38" s="1363">
        <v>0</v>
      </c>
      <c r="H38" s="1363"/>
      <c r="I38" s="1363"/>
      <c r="J38" s="1364"/>
      <c r="K38" s="1355">
        <f t="shared" si="8"/>
        <v>0</v>
      </c>
      <c r="L38" s="1335">
        <f t="shared" si="9"/>
        <v>9990</v>
      </c>
    </row>
    <row r="39" spans="1:12" ht="27.6" x14ac:dyDescent="0.25">
      <c r="A39" s="1320">
        <v>28</v>
      </c>
      <c r="B39" s="1360" t="s">
        <v>1177</v>
      </c>
      <c r="C39" s="1320" t="s">
        <v>1172</v>
      </c>
      <c r="D39" s="1361">
        <v>1920</v>
      </c>
      <c r="E39" s="1361">
        <v>240</v>
      </c>
      <c r="F39" s="1362">
        <v>240</v>
      </c>
      <c r="G39" s="1363">
        <v>0</v>
      </c>
      <c r="H39" s="1363"/>
      <c r="I39" s="1363"/>
      <c r="J39" s="1364">
        <v>0</v>
      </c>
      <c r="K39" s="1355">
        <f t="shared" si="8"/>
        <v>0</v>
      </c>
      <c r="L39" s="1335">
        <f t="shared" si="9"/>
        <v>2400</v>
      </c>
    </row>
    <row r="40" spans="1:12" ht="69" x14ac:dyDescent="0.25">
      <c r="A40" s="1320">
        <v>29</v>
      </c>
      <c r="B40" s="1365" t="s">
        <v>1178</v>
      </c>
      <c r="C40" s="1320" t="s">
        <v>1050</v>
      </c>
      <c r="D40" s="1361">
        <v>16483</v>
      </c>
      <c r="E40" s="1361">
        <v>0</v>
      </c>
      <c r="F40" s="1362">
        <v>2747</v>
      </c>
      <c r="G40" s="1363">
        <v>2747</v>
      </c>
      <c r="H40" s="1363">
        <v>2747</v>
      </c>
      <c r="I40" s="1363">
        <v>1672</v>
      </c>
      <c r="J40" s="1364">
        <v>0</v>
      </c>
      <c r="K40" s="1355">
        <f t="shared" si="8"/>
        <v>7166</v>
      </c>
      <c r="L40" s="1335">
        <f t="shared" si="9"/>
        <v>26396</v>
      </c>
    </row>
    <row r="41" spans="1:12" ht="59.25" customHeight="1" x14ac:dyDescent="0.25">
      <c r="A41" s="1320">
        <v>30</v>
      </c>
      <c r="B41" s="1360" t="s">
        <v>1179</v>
      </c>
      <c r="C41" s="1320" t="s">
        <v>1050</v>
      </c>
      <c r="D41" s="1361">
        <v>51820</v>
      </c>
      <c r="E41" s="1361"/>
      <c r="F41" s="1362">
        <v>0</v>
      </c>
      <c r="G41" s="1363">
        <v>128160</v>
      </c>
      <c r="H41" s="1363"/>
      <c r="I41" s="1363"/>
      <c r="J41" s="1363">
        <v>0</v>
      </c>
      <c r="K41" s="1355">
        <f t="shared" ref="K41" si="10">F41+G41+J41+H41</f>
        <v>128160</v>
      </c>
      <c r="L41" s="1335">
        <f t="shared" si="9"/>
        <v>179980</v>
      </c>
    </row>
    <row r="42" spans="1:12" s="1354" customFormat="1" ht="27.6" x14ac:dyDescent="0.25">
      <c r="A42" s="1348">
        <v>31</v>
      </c>
      <c r="B42" s="1366" t="s">
        <v>1180</v>
      </c>
      <c r="C42" s="1348" t="s">
        <v>1050</v>
      </c>
      <c r="D42" s="1367">
        <v>20584</v>
      </c>
      <c r="E42" s="1367">
        <v>0</v>
      </c>
      <c r="F42" s="1368">
        <v>1964</v>
      </c>
      <c r="G42" s="1368">
        <v>1964</v>
      </c>
      <c r="H42" s="1368">
        <v>1964</v>
      </c>
      <c r="I42" s="1368">
        <v>1964</v>
      </c>
      <c r="J42" s="1369">
        <v>94272</v>
      </c>
      <c r="K42" s="1370">
        <f>G42+H42+I42+J42</f>
        <v>100164</v>
      </c>
      <c r="L42" s="1371">
        <f>D42+E42+F42+K42</f>
        <v>122712</v>
      </c>
    </row>
    <row r="43" spans="1:12" ht="27.6" x14ac:dyDescent="0.25">
      <c r="A43" s="1320">
        <v>32</v>
      </c>
      <c r="B43" s="1360" t="s">
        <v>1181</v>
      </c>
      <c r="C43" s="1320">
        <v>2009</v>
      </c>
      <c r="D43" s="1372">
        <v>10472</v>
      </c>
      <c r="E43" s="1372"/>
      <c r="F43" s="1373">
        <v>1496</v>
      </c>
      <c r="G43" s="1374">
        <v>1496</v>
      </c>
      <c r="H43" s="1374">
        <v>1496</v>
      </c>
      <c r="I43" s="1374"/>
      <c r="J43" s="1364">
        <v>0</v>
      </c>
      <c r="K43" s="1375">
        <f>G43+H43+I43+J43</f>
        <v>2992</v>
      </c>
      <c r="L43" s="1335">
        <f t="shared" si="9"/>
        <v>14960</v>
      </c>
    </row>
    <row r="44" spans="1:12" ht="27.6" x14ac:dyDescent="0.25">
      <c r="A44" s="1320">
        <v>33</v>
      </c>
      <c r="B44" s="1360" t="s">
        <v>1182</v>
      </c>
      <c r="C44" s="1320">
        <v>2009</v>
      </c>
      <c r="D44" s="1372">
        <v>11123</v>
      </c>
      <c r="E44" s="1372"/>
      <c r="F44" s="1373">
        <v>1589</v>
      </c>
      <c r="G44" s="1374">
        <v>1589</v>
      </c>
      <c r="H44" s="1374">
        <v>1589</v>
      </c>
      <c r="I44" s="1374"/>
      <c r="J44" s="1364">
        <v>0</v>
      </c>
      <c r="K44" s="1375">
        <f t="shared" ref="K44:K47" si="11">G44+H44+I44+J44</f>
        <v>3178</v>
      </c>
      <c r="L44" s="1335">
        <f t="shared" si="9"/>
        <v>15890</v>
      </c>
    </row>
    <row r="45" spans="1:12" ht="27.6" x14ac:dyDescent="0.25">
      <c r="A45" s="1320">
        <v>34</v>
      </c>
      <c r="B45" s="1360" t="s">
        <v>1183</v>
      </c>
      <c r="C45" s="1320" t="s">
        <v>1184</v>
      </c>
      <c r="D45" s="1372">
        <v>8341</v>
      </c>
      <c r="E45" s="1372">
        <v>1390</v>
      </c>
      <c r="F45" s="1373">
        <v>1390</v>
      </c>
      <c r="G45" s="1374">
        <v>1390</v>
      </c>
      <c r="H45" s="1374">
        <v>1394</v>
      </c>
      <c r="I45" s="1374"/>
      <c r="J45" s="1364">
        <v>0</v>
      </c>
      <c r="K45" s="1375">
        <f t="shared" si="11"/>
        <v>2784</v>
      </c>
      <c r="L45" s="1335">
        <f t="shared" si="9"/>
        <v>13905</v>
      </c>
    </row>
    <row r="46" spans="1:12" ht="27.6" x14ac:dyDescent="0.25">
      <c r="A46" s="1320">
        <v>35</v>
      </c>
      <c r="B46" s="1360" t="s">
        <v>1185</v>
      </c>
      <c r="C46" s="1320" t="s">
        <v>1184</v>
      </c>
      <c r="D46" s="1372">
        <v>16235</v>
      </c>
      <c r="E46" s="1372">
        <v>0</v>
      </c>
      <c r="F46" s="1373">
        <v>2320</v>
      </c>
      <c r="G46" s="1374">
        <v>2320</v>
      </c>
      <c r="H46" s="1374">
        <v>2320</v>
      </c>
      <c r="I46" s="1374"/>
      <c r="J46" s="1364">
        <v>0</v>
      </c>
      <c r="K46" s="1375">
        <f>G46+H46+I46+J46</f>
        <v>4640</v>
      </c>
      <c r="L46" s="1335">
        <f t="shared" si="9"/>
        <v>23195</v>
      </c>
    </row>
    <row r="47" spans="1:12" ht="27.6" x14ac:dyDescent="0.25">
      <c r="A47" s="1320">
        <v>36</v>
      </c>
      <c r="B47" s="1360" t="s">
        <v>1186</v>
      </c>
      <c r="C47" s="1320" t="s">
        <v>1184</v>
      </c>
      <c r="D47" s="1372">
        <v>10493</v>
      </c>
      <c r="E47" s="1372"/>
      <c r="F47" s="1373">
        <v>1499</v>
      </c>
      <c r="G47" s="1374">
        <v>1499</v>
      </c>
      <c r="H47" s="1374">
        <v>1498</v>
      </c>
      <c r="I47" s="1374"/>
      <c r="J47" s="1364">
        <v>0</v>
      </c>
      <c r="K47" s="1375">
        <f t="shared" si="11"/>
        <v>2997</v>
      </c>
      <c r="L47" s="1335">
        <f t="shared" si="9"/>
        <v>14989</v>
      </c>
    </row>
    <row r="48" spans="1:12" x14ac:dyDescent="0.25">
      <c r="A48" s="1301" t="s">
        <v>1067</v>
      </c>
      <c r="B48" s="1302" t="s">
        <v>706</v>
      </c>
      <c r="C48" s="1302" t="s">
        <v>707</v>
      </c>
      <c r="D48" s="1302" t="s">
        <v>1068</v>
      </c>
      <c r="E48" s="1302" t="s">
        <v>1069</v>
      </c>
      <c r="F48" s="1303" t="s">
        <v>1093</v>
      </c>
      <c r="G48" s="1304" t="s">
        <v>1094</v>
      </c>
      <c r="H48" s="1304" t="s">
        <v>1095</v>
      </c>
      <c r="I48" s="1304" t="s">
        <v>1103</v>
      </c>
      <c r="J48" s="1304" t="s">
        <v>1105</v>
      </c>
      <c r="K48" s="1305" t="s">
        <v>1107</v>
      </c>
      <c r="L48" s="1306" t="s">
        <v>1109</v>
      </c>
    </row>
    <row r="49" spans="1:12" s="1354" customFormat="1" ht="41.4" x14ac:dyDescent="0.25">
      <c r="A49" s="1348">
        <v>37</v>
      </c>
      <c r="B49" s="1366" t="s">
        <v>1187</v>
      </c>
      <c r="C49" s="1348">
        <v>2009</v>
      </c>
      <c r="D49" s="1376">
        <v>139362</v>
      </c>
      <c r="E49" s="1376"/>
      <c r="F49" s="1373">
        <v>19500</v>
      </c>
      <c r="G49" s="1373"/>
      <c r="H49" s="1373"/>
      <c r="I49" s="1373"/>
      <c r="J49" s="1377"/>
      <c r="K49" s="1375">
        <f>G49+H49+I49+J49</f>
        <v>0</v>
      </c>
      <c r="L49" s="1351">
        <f>D49+E49+F49</f>
        <v>158862</v>
      </c>
    </row>
    <row r="50" spans="1:12" ht="55.2" x14ac:dyDescent="0.25">
      <c r="A50" s="1348">
        <v>38</v>
      </c>
      <c r="B50" s="1378" t="s">
        <v>1188</v>
      </c>
      <c r="C50" s="1379">
        <v>2010</v>
      </c>
      <c r="D50" s="1380">
        <v>25624</v>
      </c>
      <c r="E50" s="1381">
        <v>1676</v>
      </c>
      <c r="F50" s="1381"/>
      <c r="G50" s="1381"/>
      <c r="H50" s="1381"/>
      <c r="I50" s="1381"/>
      <c r="J50" s="1377"/>
      <c r="K50" s="1375">
        <f t="shared" ref="K50:K59" si="12">G50+H50+I50+J50</f>
        <v>0</v>
      </c>
      <c r="L50" s="1351">
        <f t="shared" ref="L50:L51" si="13">D50+E50+F50</f>
        <v>27300</v>
      </c>
    </row>
    <row r="51" spans="1:12" ht="27.6" x14ac:dyDescent="0.25">
      <c r="A51" s="1348">
        <v>39</v>
      </c>
      <c r="B51" s="1349" t="s">
        <v>1189</v>
      </c>
      <c r="C51" s="1348">
        <v>2011</v>
      </c>
      <c r="D51" s="1382">
        <v>9510</v>
      </c>
      <c r="E51" s="1382">
        <v>254</v>
      </c>
      <c r="F51" s="1377"/>
      <c r="G51" s="1377"/>
      <c r="H51" s="1377"/>
      <c r="I51" s="1377"/>
      <c r="J51" s="1377"/>
      <c r="K51" s="1375">
        <f t="shared" si="12"/>
        <v>0</v>
      </c>
      <c r="L51" s="1351">
        <f t="shared" si="13"/>
        <v>9764</v>
      </c>
    </row>
    <row r="52" spans="1:12" s="1354" customFormat="1" ht="27.6" x14ac:dyDescent="0.25">
      <c r="A52" s="1348">
        <v>40</v>
      </c>
      <c r="B52" s="1378" t="s">
        <v>1190</v>
      </c>
      <c r="C52" s="1379">
        <v>2011</v>
      </c>
      <c r="D52" s="1380">
        <v>2400</v>
      </c>
      <c r="E52" s="1381">
        <v>4800</v>
      </c>
      <c r="F52" s="1381">
        <v>1200</v>
      </c>
      <c r="G52" s="1381">
        <v>1200</v>
      </c>
      <c r="H52" s="1381">
        <v>1200</v>
      </c>
      <c r="I52" s="1381">
        <v>1200</v>
      </c>
      <c r="J52" s="1377">
        <v>0</v>
      </c>
      <c r="K52" s="1375">
        <f t="shared" si="12"/>
        <v>3600</v>
      </c>
      <c r="L52" s="1351">
        <f>D52+E52+F52+K52</f>
        <v>12000</v>
      </c>
    </row>
    <row r="53" spans="1:12" s="1390" customFormat="1" ht="27.6" x14ac:dyDescent="0.25">
      <c r="A53" s="1383">
        <v>41</v>
      </c>
      <c r="B53" s="1384" t="s">
        <v>1191</v>
      </c>
      <c r="C53" s="1385">
        <v>2011</v>
      </c>
      <c r="D53" s="1386"/>
      <c r="E53" s="1387"/>
      <c r="F53" s="1388"/>
      <c r="G53" s="1387">
        <v>12000</v>
      </c>
      <c r="H53" s="1387">
        <v>12000</v>
      </c>
      <c r="I53" s="1387"/>
      <c r="J53" s="1389">
        <v>0</v>
      </c>
      <c r="K53" s="1375">
        <f t="shared" si="12"/>
        <v>24000</v>
      </c>
      <c r="L53" s="1351">
        <f t="shared" ref="L53:L59" si="14">D53+E53+F53+K53</f>
        <v>24000</v>
      </c>
    </row>
    <row r="54" spans="1:12" ht="69" x14ac:dyDescent="0.25">
      <c r="A54" s="1348">
        <v>42</v>
      </c>
      <c r="B54" s="1349" t="s">
        <v>1192</v>
      </c>
      <c r="C54" s="1348">
        <v>2011</v>
      </c>
      <c r="D54" s="1382">
        <v>339350</v>
      </c>
      <c r="E54" s="1382">
        <v>15000</v>
      </c>
      <c r="F54" s="1377"/>
      <c r="G54" s="1377"/>
      <c r="H54" s="1377"/>
      <c r="I54" s="1377"/>
      <c r="J54" s="1377"/>
      <c r="K54" s="1375">
        <f t="shared" si="12"/>
        <v>0</v>
      </c>
      <c r="L54" s="1351">
        <f t="shared" si="14"/>
        <v>354350</v>
      </c>
    </row>
    <row r="55" spans="1:12" s="1354" customFormat="1" ht="41.4" x14ac:dyDescent="0.25">
      <c r="A55" s="1348">
        <v>43</v>
      </c>
      <c r="B55" s="1391" t="s">
        <v>1193</v>
      </c>
      <c r="C55" s="1348">
        <v>2012</v>
      </c>
      <c r="D55" s="1382"/>
      <c r="E55" s="1382"/>
      <c r="F55" s="1377">
        <v>33600</v>
      </c>
      <c r="G55" s="1377"/>
      <c r="H55" s="1377"/>
      <c r="I55" s="1377"/>
      <c r="J55" s="1377"/>
      <c r="K55" s="1375">
        <f t="shared" si="12"/>
        <v>0</v>
      </c>
      <c r="L55" s="1351">
        <f t="shared" si="14"/>
        <v>33600</v>
      </c>
    </row>
    <row r="56" spans="1:12" ht="55.2" x14ac:dyDescent="0.25">
      <c r="A56" s="1320">
        <v>44</v>
      </c>
      <c r="B56" s="1365" t="s">
        <v>1194</v>
      </c>
      <c r="C56" s="1392">
        <v>2013</v>
      </c>
      <c r="D56" s="1393">
        <v>50000</v>
      </c>
      <c r="E56" s="1393"/>
      <c r="F56" s="1377">
        <v>124270</v>
      </c>
      <c r="G56" s="1364"/>
      <c r="H56" s="1364"/>
      <c r="I56" s="1364"/>
      <c r="J56" s="1364"/>
      <c r="K56" s="1375">
        <f t="shared" si="12"/>
        <v>0</v>
      </c>
      <c r="L56" s="1351">
        <f t="shared" si="14"/>
        <v>174270</v>
      </c>
    </row>
    <row r="57" spans="1:12" ht="55.2" x14ac:dyDescent="0.25">
      <c r="A57" s="1320">
        <v>45</v>
      </c>
      <c r="B57" s="1365" t="s">
        <v>1195</v>
      </c>
      <c r="C57" s="1392">
        <v>2013</v>
      </c>
      <c r="D57" s="1393">
        <v>3600</v>
      </c>
      <c r="E57" s="1393"/>
      <c r="F57" s="1377">
        <v>1200</v>
      </c>
      <c r="G57" s="1364">
        <v>1200</v>
      </c>
      <c r="H57" s="1364">
        <v>1200</v>
      </c>
      <c r="I57" s="1364">
        <v>1200</v>
      </c>
      <c r="J57" s="1364">
        <v>3600</v>
      </c>
      <c r="K57" s="1375">
        <f t="shared" si="12"/>
        <v>7200</v>
      </c>
      <c r="L57" s="1351">
        <f t="shared" si="14"/>
        <v>12000</v>
      </c>
    </row>
    <row r="58" spans="1:12" ht="41.4" x14ac:dyDescent="0.25">
      <c r="A58" s="1320">
        <v>46</v>
      </c>
      <c r="B58" s="1365" t="s">
        <v>1196</v>
      </c>
      <c r="C58" s="1392">
        <v>2014</v>
      </c>
      <c r="D58" s="1393">
        <v>21000</v>
      </c>
      <c r="E58" s="1393">
        <v>5000</v>
      </c>
      <c r="F58" s="1377">
        <v>10000</v>
      </c>
      <c r="G58" s="1364">
        <v>10000</v>
      </c>
      <c r="H58" s="1364">
        <v>10000</v>
      </c>
      <c r="I58" s="1364">
        <v>4000</v>
      </c>
      <c r="J58" s="1364">
        <v>0</v>
      </c>
      <c r="K58" s="1375">
        <f t="shared" si="12"/>
        <v>24000</v>
      </c>
      <c r="L58" s="1351">
        <f t="shared" si="14"/>
        <v>60000</v>
      </c>
    </row>
    <row r="59" spans="1:12" ht="41.4" x14ac:dyDescent="0.25">
      <c r="A59" s="1320">
        <v>47</v>
      </c>
      <c r="B59" s="1365" t="s">
        <v>1196</v>
      </c>
      <c r="C59" s="1392">
        <v>2015</v>
      </c>
      <c r="D59" s="1393">
        <v>12000</v>
      </c>
      <c r="E59" s="1393"/>
      <c r="F59" s="1377">
        <v>6000</v>
      </c>
      <c r="G59" s="1364">
        <v>6000</v>
      </c>
      <c r="H59" s="1364">
        <v>6000</v>
      </c>
      <c r="I59" s="1364">
        <v>6000</v>
      </c>
      <c r="J59" s="1364">
        <v>50000</v>
      </c>
      <c r="K59" s="1375">
        <f t="shared" si="12"/>
        <v>68000</v>
      </c>
      <c r="L59" s="1351">
        <f t="shared" si="14"/>
        <v>86000</v>
      </c>
    </row>
    <row r="60" spans="1:12" s="1354" customFormat="1" ht="41.4" x14ac:dyDescent="0.25">
      <c r="A60" s="1348">
        <v>48</v>
      </c>
      <c r="B60" s="1394" t="s">
        <v>1197</v>
      </c>
      <c r="C60" s="1348">
        <v>2014</v>
      </c>
      <c r="D60" s="1382">
        <v>1143</v>
      </c>
      <c r="E60" s="1382">
        <v>8569</v>
      </c>
      <c r="F60" s="1377"/>
      <c r="G60" s="1377"/>
      <c r="H60" s="1377"/>
      <c r="I60" s="1377"/>
      <c r="J60" s="1377"/>
      <c r="K60" s="1375">
        <f>G60+H60+I60+J60</f>
        <v>0</v>
      </c>
      <c r="L60" s="1351">
        <f>D60+E60+F60+K60</f>
        <v>9712</v>
      </c>
    </row>
    <row r="61" spans="1:12" s="1354" customFormat="1" ht="41.4" x14ac:dyDescent="0.25">
      <c r="A61" s="1348">
        <v>49</v>
      </c>
      <c r="B61" s="1391" t="s">
        <v>1198</v>
      </c>
      <c r="C61" s="1348">
        <v>2014</v>
      </c>
      <c r="D61" s="1382">
        <v>34733</v>
      </c>
      <c r="E61" s="1382">
        <v>44670</v>
      </c>
      <c r="F61" s="1377">
        <f>148590-E61-D61</f>
        <v>69187</v>
      </c>
      <c r="G61" s="1377">
        <v>0</v>
      </c>
      <c r="H61" s="1377"/>
      <c r="I61" s="1377"/>
      <c r="J61" s="1377"/>
      <c r="K61" s="1375">
        <f t="shared" ref="K61:K79" si="15">G61+H61+I61+J61</f>
        <v>0</v>
      </c>
      <c r="L61" s="1351">
        <f t="shared" ref="L61:L79" si="16">D61+E61+F61+K61</f>
        <v>148590</v>
      </c>
    </row>
    <row r="62" spans="1:12" x14ac:dyDescent="0.25">
      <c r="A62" s="1301" t="s">
        <v>1067</v>
      </c>
      <c r="B62" s="1302" t="s">
        <v>706</v>
      </c>
      <c r="C62" s="1302" t="s">
        <v>707</v>
      </c>
      <c r="D62" s="1302" t="s">
        <v>1068</v>
      </c>
      <c r="E62" s="1302" t="s">
        <v>1069</v>
      </c>
      <c r="F62" s="1303" t="s">
        <v>1093</v>
      </c>
      <c r="G62" s="1304" t="s">
        <v>1094</v>
      </c>
      <c r="H62" s="1304" t="s">
        <v>1095</v>
      </c>
      <c r="I62" s="1304" t="s">
        <v>1103</v>
      </c>
      <c r="J62" s="1304" t="s">
        <v>1105</v>
      </c>
      <c r="K62" s="1305" t="s">
        <v>1107</v>
      </c>
      <c r="L62" s="1306" t="s">
        <v>1109</v>
      </c>
    </row>
    <row r="63" spans="1:12" s="1354" customFormat="1" ht="69" x14ac:dyDescent="0.25">
      <c r="A63" s="1348">
        <v>50</v>
      </c>
      <c r="B63" s="1391" t="s">
        <v>1199</v>
      </c>
      <c r="C63" s="1348">
        <v>2014</v>
      </c>
      <c r="D63" s="1382">
        <v>14160</v>
      </c>
      <c r="E63" s="1382">
        <v>507</v>
      </c>
      <c r="F63" s="1377"/>
      <c r="G63" s="1377"/>
      <c r="H63" s="1377"/>
      <c r="I63" s="1377"/>
      <c r="J63" s="1377"/>
      <c r="K63" s="1375">
        <f t="shared" si="15"/>
        <v>0</v>
      </c>
      <c r="L63" s="1351">
        <f t="shared" si="16"/>
        <v>14667</v>
      </c>
    </row>
    <row r="64" spans="1:12" s="1354" customFormat="1" ht="69" x14ac:dyDescent="0.25">
      <c r="A64" s="1348">
        <v>51</v>
      </c>
      <c r="B64" s="1391" t="s">
        <v>1200</v>
      </c>
      <c r="C64" s="1348">
        <v>2015</v>
      </c>
      <c r="D64" s="1382">
        <v>762</v>
      </c>
      <c r="E64" s="1382"/>
      <c r="F64" s="1377">
        <v>254</v>
      </c>
      <c r="G64" s="1377">
        <v>254</v>
      </c>
      <c r="H64" s="1377">
        <v>0</v>
      </c>
      <c r="I64" s="1377"/>
      <c r="J64" s="1377"/>
      <c r="K64" s="1375">
        <f t="shared" si="15"/>
        <v>254</v>
      </c>
      <c r="L64" s="1351">
        <f t="shared" si="16"/>
        <v>1270</v>
      </c>
    </row>
    <row r="65" spans="1:12" s="1354" customFormat="1" ht="27.6" x14ac:dyDescent="0.25">
      <c r="A65" s="1348">
        <v>52</v>
      </c>
      <c r="B65" s="1391" t="s">
        <v>1201</v>
      </c>
      <c r="C65" s="1348">
        <v>2015</v>
      </c>
      <c r="D65" s="1382">
        <v>168000</v>
      </c>
      <c r="E65" s="1382"/>
      <c r="F65" s="1377">
        <v>89000</v>
      </c>
      <c r="G65" s="1377">
        <v>69000</v>
      </c>
      <c r="H65" s="1377">
        <v>0</v>
      </c>
      <c r="I65" s="1377"/>
      <c r="J65" s="1377"/>
      <c r="K65" s="1375">
        <f t="shared" si="15"/>
        <v>69000</v>
      </c>
      <c r="L65" s="1351">
        <f t="shared" si="16"/>
        <v>326000</v>
      </c>
    </row>
    <row r="66" spans="1:12" ht="27.6" x14ac:dyDescent="0.25">
      <c r="A66" s="1395">
        <v>53</v>
      </c>
      <c r="B66" s="1396" t="s">
        <v>1202</v>
      </c>
      <c r="C66" s="1395">
        <v>2015</v>
      </c>
      <c r="D66" s="1397">
        <v>189888</v>
      </c>
      <c r="E66" s="1397">
        <v>1905</v>
      </c>
      <c r="F66" s="1398"/>
      <c r="G66" s="1397"/>
      <c r="H66" s="1397"/>
      <c r="I66" s="1397"/>
      <c r="J66" s="1397"/>
      <c r="K66" s="1375">
        <f t="shared" si="15"/>
        <v>0</v>
      </c>
      <c r="L66" s="1351">
        <f t="shared" si="16"/>
        <v>191793</v>
      </c>
    </row>
    <row r="67" spans="1:12" ht="27.6" x14ac:dyDescent="0.25">
      <c r="A67" s="1320">
        <v>54</v>
      </c>
      <c r="B67" s="1365" t="s">
        <v>1203</v>
      </c>
      <c r="C67" s="1392" t="s">
        <v>1114</v>
      </c>
      <c r="D67" s="1393">
        <v>6466</v>
      </c>
      <c r="E67" s="1393">
        <v>0</v>
      </c>
      <c r="F67" s="1377">
        <v>4466</v>
      </c>
      <c r="G67" s="1364">
        <v>4465</v>
      </c>
      <c r="H67" s="1364"/>
      <c r="I67" s="1364"/>
      <c r="J67" s="1364"/>
      <c r="K67" s="1375">
        <f t="shared" si="15"/>
        <v>4465</v>
      </c>
      <c r="L67" s="1351">
        <f t="shared" si="16"/>
        <v>15397</v>
      </c>
    </row>
    <row r="68" spans="1:12" s="1404" customFormat="1" ht="41.4" x14ac:dyDescent="0.25">
      <c r="A68" s="1320">
        <v>55</v>
      </c>
      <c r="B68" s="1399" t="s">
        <v>1204</v>
      </c>
      <c r="C68" s="1400" t="s">
        <v>1205</v>
      </c>
      <c r="D68" s="1401">
        <v>15000</v>
      </c>
      <c r="E68" s="1400"/>
      <c r="F68" s="1402">
        <v>15000</v>
      </c>
      <c r="G68" s="1403"/>
      <c r="H68" s="1403"/>
      <c r="I68" s="1403"/>
      <c r="J68" s="1403"/>
      <c r="K68" s="1355">
        <f t="shared" si="15"/>
        <v>0</v>
      </c>
      <c r="L68" s="1335">
        <f t="shared" si="16"/>
        <v>30000</v>
      </c>
    </row>
    <row r="69" spans="1:12" s="1354" customFormat="1" ht="41.4" x14ac:dyDescent="0.25">
      <c r="A69" s="1348">
        <v>56</v>
      </c>
      <c r="B69" s="1391" t="s">
        <v>1206</v>
      </c>
      <c r="C69" s="1348" t="s">
        <v>1205</v>
      </c>
      <c r="D69" s="1382"/>
      <c r="E69" s="1382">
        <v>1500</v>
      </c>
      <c r="F69" s="1377">
        <v>1367</v>
      </c>
      <c r="G69" s="1377"/>
      <c r="H69" s="1377"/>
      <c r="I69" s="1377"/>
      <c r="J69" s="1377"/>
      <c r="K69" s="1355">
        <f t="shared" si="15"/>
        <v>0</v>
      </c>
      <c r="L69" s="1335">
        <f t="shared" si="16"/>
        <v>2867</v>
      </c>
    </row>
    <row r="70" spans="1:12" s="1354" customFormat="1" ht="41.4" x14ac:dyDescent="0.25">
      <c r="A70" s="1348">
        <v>57</v>
      </c>
      <c r="B70" s="1391" t="s">
        <v>1207</v>
      </c>
      <c r="C70" s="1348" t="s">
        <v>1205</v>
      </c>
      <c r="D70" s="1382"/>
      <c r="E70" s="1382">
        <v>11000</v>
      </c>
      <c r="F70" s="1377">
        <v>10700</v>
      </c>
      <c r="G70" s="1377"/>
      <c r="H70" s="1377"/>
      <c r="I70" s="1377"/>
      <c r="J70" s="1377"/>
      <c r="K70" s="1355">
        <f t="shared" si="15"/>
        <v>0</v>
      </c>
      <c r="L70" s="1335">
        <f t="shared" si="16"/>
        <v>21700</v>
      </c>
    </row>
    <row r="71" spans="1:12" ht="57.75" customHeight="1" x14ac:dyDescent="0.25">
      <c r="A71" s="1320">
        <v>58</v>
      </c>
      <c r="B71" s="1365" t="s">
        <v>1208</v>
      </c>
      <c r="C71" s="1392" t="s">
        <v>1205</v>
      </c>
      <c r="D71" s="1393"/>
      <c r="E71" s="1393"/>
      <c r="F71" s="1377"/>
      <c r="G71" s="1364"/>
      <c r="H71" s="1364"/>
      <c r="I71" s="1364"/>
      <c r="J71" s="1364"/>
      <c r="K71" s="1355">
        <f t="shared" si="15"/>
        <v>0</v>
      </c>
      <c r="L71" s="1335">
        <f t="shared" si="16"/>
        <v>0</v>
      </c>
    </row>
    <row r="72" spans="1:12" s="1354" customFormat="1" ht="55.2" x14ac:dyDescent="0.25">
      <c r="A72" s="1348">
        <v>59</v>
      </c>
      <c r="B72" s="1391" t="s">
        <v>1209</v>
      </c>
      <c r="C72" s="1348" t="s">
        <v>1205</v>
      </c>
      <c r="D72" s="1382"/>
      <c r="E72" s="1382">
        <v>1000</v>
      </c>
      <c r="F72" s="1377">
        <v>3000</v>
      </c>
      <c r="G72" s="1377">
        <v>3000</v>
      </c>
      <c r="H72" s="1377">
        <v>3000</v>
      </c>
      <c r="I72" s="1377">
        <v>3000</v>
      </c>
      <c r="J72" s="1377">
        <v>62000</v>
      </c>
      <c r="K72" s="1355">
        <f t="shared" si="15"/>
        <v>71000</v>
      </c>
      <c r="L72" s="1335">
        <f t="shared" si="16"/>
        <v>75000</v>
      </c>
    </row>
    <row r="73" spans="1:12" s="1354" customFormat="1" ht="41.4" x14ac:dyDescent="0.25">
      <c r="A73" s="1348">
        <v>60</v>
      </c>
      <c r="B73" s="1391" t="s">
        <v>1210</v>
      </c>
      <c r="C73" s="1348" t="s">
        <v>1205</v>
      </c>
      <c r="D73" s="1382"/>
      <c r="E73" s="1382"/>
      <c r="F73" s="1377">
        <v>12000</v>
      </c>
      <c r="G73" s="1377">
        <v>12000</v>
      </c>
      <c r="H73" s="1377">
        <v>12000</v>
      </c>
      <c r="I73" s="1377">
        <v>12000</v>
      </c>
      <c r="J73" s="1377">
        <v>12000</v>
      </c>
      <c r="K73" s="1355">
        <f t="shared" si="15"/>
        <v>48000</v>
      </c>
      <c r="L73" s="1335">
        <f t="shared" si="16"/>
        <v>60000</v>
      </c>
    </row>
    <row r="74" spans="1:12" x14ac:dyDescent="0.25">
      <c r="A74" s="1301" t="s">
        <v>1067</v>
      </c>
      <c r="B74" s="1302" t="s">
        <v>706</v>
      </c>
      <c r="C74" s="1302" t="s">
        <v>707</v>
      </c>
      <c r="D74" s="1302" t="s">
        <v>1068</v>
      </c>
      <c r="E74" s="1302" t="s">
        <v>1069</v>
      </c>
      <c r="F74" s="1303" t="s">
        <v>1093</v>
      </c>
      <c r="G74" s="1304" t="s">
        <v>1094</v>
      </c>
      <c r="H74" s="1304" t="s">
        <v>1095</v>
      </c>
      <c r="I74" s="1304" t="s">
        <v>1103</v>
      </c>
      <c r="J74" s="1304" t="s">
        <v>1105</v>
      </c>
      <c r="K74" s="1305" t="s">
        <v>1107</v>
      </c>
      <c r="L74" s="1306" t="s">
        <v>1109</v>
      </c>
    </row>
    <row r="75" spans="1:12" s="1354" customFormat="1" ht="69.75" customHeight="1" x14ac:dyDescent="0.25">
      <c r="A75" s="1348">
        <v>61</v>
      </c>
      <c r="B75" s="1391" t="s">
        <v>1211</v>
      </c>
      <c r="C75" s="1348" t="s">
        <v>1205</v>
      </c>
      <c r="D75" s="1382">
        <v>667</v>
      </c>
      <c r="E75" s="1382"/>
      <c r="F75" s="1377">
        <v>2000</v>
      </c>
      <c r="G75" s="1377">
        <v>2000</v>
      </c>
      <c r="H75" s="1377">
        <v>2000</v>
      </c>
      <c r="I75" s="1377">
        <v>2000</v>
      </c>
      <c r="J75" s="1377">
        <v>41333</v>
      </c>
      <c r="K75" s="1355">
        <f t="shared" si="15"/>
        <v>47333</v>
      </c>
      <c r="L75" s="1335">
        <f t="shared" si="16"/>
        <v>50000</v>
      </c>
    </row>
    <row r="76" spans="1:12" s="1354" customFormat="1" ht="47.25" customHeight="1" x14ac:dyDescent="0.25">
      <c r="A76" s="1348">
        <v>62</v>
      </c>
      <c r="B76" s="1391" t="s">
        <v>1212</v>
      </c>
      <c r="C76" s="1348" t="s">
        <v>1205</v>
      </c>
      <c r="D76" s="1382"/>
      <c r="E76" s="1382"/>
      <c r="F76" s="1377">
        <v>6000</v>
      </c>
      <c r="G76" s="1377"/>
      <c r="H76" s="1377"/>
      <c r="I76" s="1377"/>
      <c r="J76" s="1377"/>
      <c r="K76" s="1355">
        <f t="shared" si="15"/>
        <v>0</v>
      </c>
      <c r="L76" s="1335">
        <f t="shared" si="16"/>
        <v>6000</v>
      </c>
    </row>
    <row r="77" spans="1:12" ht="73.5" customHeight="1" x14ac:dyDescent="0.25">
      <c r="A77" s="1320">
        <v>63</v>
      </c>
      <c r="B77" s="1365" t="s">
        <v>1213</v>
      </c>
      <c r="C77" s="1392">
        <v>2016</v>
      </c>
      <c r="D77" s="1393">
        <v>5400</v>
      </c>
      <c r="E77" s="1393"/>
      <c r="F77" s="1377">
        <v>20000</v>
      </c>
      <c r="G77" s="1364"/>
      <c r="H77" s="1364"/>
      <c r="I77" s="1364"/>
      <c r="J77" s="1364"/>
      <c r="K77" s="1355">
        <f t="shared" si="15"/>
        <v>0</v>
      </c>
      <c r="L77" s="1335">
        <f t="shared" si="16"/>
        <v>25400</v>
      </c>
    </row>
    <row r="78" spans="1:12" s="1354" customFormat="1" ht="27.6" x14ac:dyDescent="0.25">
      <c r="A78" s="1348">
        <v>64</v>
      </c>
      <c r="B78" s="1391" t="s">
        <v>1214</v>
      </c>
      <c r="C78" s="1348" t="s">
        <v>1205</v>
      </c>
      <c r="D78" s="1405">
        <v>26350</v>
      </c>
      <c r="E78" s="1405"/>
      <c r="F78" s="1369">
        <v>50750</v>
      </c>
      <c r="G78" s="1369">
        <v>50750</v>
      </c>
      <c r="H78" s="1369">
        <v>50750</v>
      </c>
      <c r="I78" s="1369">
        <v>50750</v>
      </c>
      <c r="J78" s="1369">
        <v>0</v>
      </c>
      <c r="K78" s="1370">
        <f t="shared" si="15"/>
        <v>152250</v>
      </c>
      <c r="L78" s="1371">
        <f t="shared" si="16"/>
        <v>229350</v>
      </c>
    </row>
    <row r="79" spans="1:12" ht="55.2" x14ac:dyDescent="0.25">
      <c r="A79" s="1320">
        <v>65</v>
      </c>
      <c r="B79" s="1365" t="s">
        <v>1215</v>
      </c>
      <c r="C79" s="1392" t="s">
        <v>1205</v>
      </c>
      <c r="D79" s="1405"/>
      <c r="E79" s="1405"/>
      <c r="F79" s="1369">
        <v>17521</v>
      </c>
      <c r="G79" s="1369"/>
      <c r="H79" s="1369"/>
      <c r="I79" s="1369"/>
      <c r="J79" s="1369"/>
      <c r="K79" s="1370">
        <f t="shared" si="15"/>
        <v>0</v>
      </c>
      <c r="L79" s="1371">
        <f t="shared" si="16"/>
        <v>17521</v>
      </c>
    </row>
    <row r="80" spans="1:12" ht="41.4" x14ac:dyDescent="0.25">
      <c r="A80" s="1320">
        <v>66</v>
      </c>
      <c r="B80" s="1365" t="s">
        <v>1216</v>
      </c>
      <c r="C80" s="1392" t="s">
        <v>1205</v>
      </c>
      <c r="D80" s="1393">
        <v>28862</v>
      </c>
      <c r="E80" s="1393"/>
      <c r="F80" s="1377">
        <v>-20000</v>
      </c>
      <c r="G80" s="1364">
        <v>-10000</v>
      </c>
      <c r="H80" s="1364"/>
      <c r="I80" s="1364"/>
      <c r="J80" s="1364"/>
      <c r="K80" s="1355">
        <f>G80+H80+I80+J80</f>
        <v>-10000</v>
      </c>
      <c r="L80" s="1335">
        <f>D80+E80+F80+K80</f>
        <v>-1138</v>
      </c>
    </row>
    <row r="81" spans="1:12" ht="41.4" x14ac:dyDescent="0.25">
      <c r="A81" s="1320">
        <v>67</v>
      </c>
      <c r="B81" s="1365" t="s">
        <v>1217</v>
      </c>
      <c r="C81" s="1392" t="s">
        <v>1205</v>
      </c>
      <c r="D81" s="1393">
        <v>27500</v>
      </c>
      <c r="E81" s="1393"/>
      <c r="F81" s="1377">
        <v>27500</v>
      </c>
      <c r="G81" s="1364"/>
      <c r="H81" s="1364"/>
      <c r="I81" s="1364"/>
      <c r="J81" s="1364"/>
      <c r="K81" s="1355">
        <f t="shared" ref="K81:K91" si="17">G81+H81+I81+J81</f>
        <v>0</v>
      </c>
      <c r="L81" s="1335">
        <f t="shared" ref="L81:L91" si="18">D81+E81+F81+K81</f>
        <v>55000</v>
      </c>
    </row>
    <row r="82" spans="1:12" ht="27.6" x14ac:dyDescent="0.25">
      <c r="A82" s="1406">
        <v>68</v>
      </c>
      <c r="B82" s="1407" t="s">
        <v>1218</v>
      </c>
      <c r="C82" s="1408" t="s">
        <v>1205</v>
      </c>
      <c r="D82" s="1409"/>
      <c r="E82" s="1393"/>
      <c r="F82" s="1377">
        <v>68071</v>
      </c>
      <c r="G82" s="1364"/>
      <c r="H82" s="1364"/>
      <c r="I82" s="1364"/>
      <c r="J82" s="1364"/>
      <c r="K82" s="1355">
        <f t="shared" si="17"/>
        <v>0</v>
      </c>
      <c r="L82" s="1335">
        <f t="shared" si="18"/>
        <v>68071</v>
      </c>
    </row>
    <row r="83" spans="1:12" ht="41.4" x14ac:dyDescent="0.25">
      <c r="A83" s="1410">
        <v>69</v>
      </c>
      <c r="B83" s="1411" t="s">
        <v>1219</v>
      </c>
      <c r="C83" s="1412" t="s">
        <v>1205</v>
      </c>
      <c r="D83" s="1413">
        <v>15000</v>
      </c>
      <c r="E83" s="1414"/>
      <c r="F83" s="1377">
        <v>-15000</v>
      </c>
      <c r="G83" s="1364"/>
      <c r="H83" s="1364"/>
      <c r="I83" s="1364"/>
      <c r="J83" s="1364"/>
      <c r="K83" s="1355">
        <f t="shared" si="17"/>
        <v>0</v>
      </c>
      <c r="L83" s="1335">
        <f t="shared" si="18"/>
        <v>0</v>
      </c>
    </row>
    <row r="84" spans="1:12" s="1354" customFormat="1" ht="41.4" x14ac:dyDescent="0.25">
      <c r="A84" s="1415">
        <v>70</v>
      </c>
      <c r="B84" s="1416" t="s">
        <v>1220</v>
      </c>
      <c r="C84" s="1415" t="s">
        <v>1205</v>
      </c>
      <c r="D84" s="1417">
        <v>4000</v>
      </c>
      <c r="E84" s="1418"/>
      <c r="F84" s="1377">
        <v>3570</v>
      </c>
      <c r="G84" s="1377"/>
      <c r="H84" s="1377"/>
      <c r="I84" s="1377"/>
      <c r="J84" s="1377"/>
      <c r="K84" s="1355">
        <f t="shared" si="17"/>
        <v>0</v>
      </c>
      <c r="L84" s="1335">
        <f t="shared" si="18"/>
        <v>7570</v>
      </c>
    </row>
    <row r="85" spans="1:12" ht="27.6" x14ac:dyDescent="0.25">
      <c r="A85" s="1419">
        <v>71</v>
      </c>
      <c r="B85" s="1420" t="s">
        <v>1221</v>
      </c>
      <c r="C85" s="1421" t="s">
        <v>1205</v>
      </c>
      <c r="D85" s="1413"/>
      <c r="E85" s="1414"/>
      <c r="F85" s="1377">
        <v>5200</v>
      </c>
      <c r="G85" s="1364"/>
      <c r="H85" s="1364"/>
      <c r="I85" s="1364"/>
      <c r="J85" s="1364"/>
      <c r="K85" s="1355">
        <f t="shared" si="17"/>
        <v>0</v>
      </c>
      <c r="L85" s="1335">
        <f t="shared" si="18"/>
        <v>5200</v>
      </c>
    </row>
    <row r="86" spans="1:12" ht="41.4" x14ac:dyDescent="0.25">
      <c r="A86" s="1422">
        <v>72</v>
      </c>
      <c r="B86" s="1423" t="s">
        <v>1222</v>
      </c>
      <c r="C86" s="1424" t="s">
        <v>1205</v>
      </c>
      <c r="D86" s="1425">
        <v>28862</v>
      </c>
      <c r="E86" s="1426"/>
      <c r="F86" s="1377">
        <v>-20000</v>
      </c>
      <c r="G86" s="1364">
        <v>-10000</v>
      </c>
      <c r="H86" s="1364"/>
      <c r="I86" s="1364"/>
      <c r="J86" s="1364"/>
      <c r="K86" s="1355">
        <f t="shared" si="17"/>
        <v>-10000</v>
      </c>
      <c r="L86" s="1335">
        <f t="shared" si="18"/>
        <v>-1138</v>
      </c>
    </row>
    <row r="87" spans="1:12" ht="55.2" x14ac:dyDescent="0.25">
      <c r="A87" s="1410">
        <v>73</v>
      </c>
      <c r="B87" s="1411" t="s">
        <v>1223</v>
      </c>
      <c r="C87" s="1412" t="s">
        <v>1205</v>
      </c>
      <c r="D87" s="1413">
        <v>90000</v>
      </c>
      <c r="E87" s="1413"/>
      <c r="F87" s="1427"/>
      <c r="G87" s="1428">
        <v>12140</v>
      </c>
      <c r="H87" s="1428"/>
      <c r="I87" s="1428"/>
      <c r="J87" s="1428"/>
      <c r="K87" s="1429">
        <f t="shared" si="17"/>
        <v>12140</v>
      </c>
      <c r="L87" s="1430">
        <f t="shared" si="18"/>
        <v>102140</v>
      </c>
    </row>
    <row r="88" spans="1:12" ht="21" customHeight="1" x14ac:dyDescent="0.25">
      <c r="A88" s="1431" t="s">
        <v>1067</v>
      </c>
      <c r="B88" s="1432" t="s">
        <v>706</v>
      </c>
      <c r="C88" s="1432" t="s">
        <v>707</v>
      </c>
      <c r="D88" s="1432" t="s">
        <v>1068</v>
      </c>
      <c r="E88" s="1432" t="s">
        <v>1069</v>
      </c>
      <c r="F88" s="1433" t="s">
        <v>1093</v>
      </c>
      <c r="G88" s="1434" t="s">
        <v>1094</v>
      </c>
      <c r="H88" s="1434" t="s">
        <v>1095</v>
      </c>
      <c r="I88" s="1434" t="s">
        <v>1103</v>
      </c>
      <c r="J88" s="1434" t="s">
        <v>1105</v>
      </c>
      <c r="K88" s="1434" t="s">
        <v>1107</v>
      </c>
      <c r="L88" s="1435" t="s">
        <v>1109</v>
      </c>
    </row>
    <row r="89" spans="1:12" s="1147" customFormat="1" ht="69" x14ac:dyDescent="0.25">
      <c r="A89" s="1436">
        <v>74</v>
      </c>
      <c r="B89" s="1396" t="s">
        <v>1224</v>
      </c>
      <c r="C89" s="1397" t="s">
        <v>1205</v>
      </c>
      <c r="D89" s="1437">
        <v>65400</v>
      </c>
      <c r="E89" s="1397"/>
      <c r="F89" s="1398">
        <v>63000</v>
      </c>
      <c r="G89" s="1397">
        <v>63000</v>
      </c>
      <c r="H89" s="1397"/>
      <c r="I89" s="1397"/>
      <c r="J89" s="1397"/>
      <c r="K89" s="1438">
        <f t="shared" si="17"/>
        <v>63000</v>
      </c>
      <c r="L89" s="1439">
        <f t="shared" si="18"/>
        <v>191400</v>
      </c>
    </row>
    <row r="90" spans="1:12" s="1147" customFormat="1" ht="55.2" x14ac:dyDescent="0.25">
      <c r="A90" s="1395">
        <v>75</v>
      </c>
      <c r="B90" s="1440" t="s">
        <v>1225</v>
      </c>
      <c r="C90" s="1441"/>
      <c r="D90" s="1441"/>
      <c r="E90" s="1441"/>
      <c r="F90" s="1442">
        <v>6706</v>
      </c>
      <c r="G90" s="1441"/>
      <c r="H90" s="1443"/>
      <c r="I90" s="1443"/>
      <c r="J90" s="1441"/>
      <c r="K90" s="1444">
        <f t="shared" si="17"/>
        <v>0</v>
      </c>
      <c r="L90" s="1445">
        <f t="shared" si="18"/>
        <v>6706</v>
      </c>
    </row>
    <row r="91" spans="1:12" s="1449" customFormat="1" ht="55.2" x14ac:dyDescent="0.25">
      <c r="A91" s="1446">
        <v>76</v>
      </c>
      <c r="B91" s="1447" t="s">
        <v>1226</v>
      </c>
      <c r="C91" s="1446" t="s">
        <v>1205</v>
      </c>
      <c r="D91" s="1417"/>
      <c r="E91" s="1417">
        <v>12000</v>
      </c>
      <c r="F91" s="1398">
        <v>7800</v>
      </c>
      <c r="G91" s="1398"/>
      <c r="H91" s="1448"/>
      <c r="I91" s="1448"/>
      <c r="J91" s="1398"/>
      <c r="K91" s="1355">
        <f t="shared" si="17"/>
        <v>0</v>
      </c>
      <c r="L91" s="1335">
        <f t="shared" si="18"/>
        <v>19800</v>
      </c>
    </row>
    <row r="92" spans="1:12" ht="45" x14ac:dyDescent="0.25">
      <c r="A92" s="1295">
        <v>77</v>
      </c>
      <c r="B92" s="1450" t="s">
        <v>1227</v>
      </c>
      <c r="C92" s="1451" t="s">
        <v>1205</v>
      </c>
      <c r="D92" s="1452"/>
      <c r="E92" s="1452"/>
      <c r="F92" s="1453">
        <v>105421</v>
      </c>
      <c r="G92" s="1454"/>
      <c r="H92" s="1454"/>
      <c r="I92" s="1454"/>
      <c r="J92" s="1454"/>
      <c r="K92" s="1455">
        <f>G92+H92+I92+J92</f>
        <v>0</v>
      </c>
      <c r="L92" s="1335">
        <f>D92+E92+F92+K92</f>
        <v>105421</v>
      </c>
    </row>
    <row r="93" spans="1:12" ht="41.4" x14ac:dyDescent="0.25">
      <c r="A93" s="1295">
        <v>78</v>
      </c>
      <c r="B93" s="1456" t="s">
        <v>1228</v>
      </c>
      <c r="C93" s="1451" t="s">
        <v>1205</v>
      </c>
      <c r="D93" s="1452"/>
      <c r="E93" s="1452"/>
      <c r="F93" s="1453">
        <v>64000</v>
      </c>
      <c r="G93" s="1454"/>
      <c r="H93" s="1454"/>
      <c r="I93" s="1454"/>
      <c r="J93" s="1454"/>
      <c r="K93" s="1455">
        <f t="shared" ref="K93:K101" si="19">G93+H93+I93+J93</f>
        <v>0</v>
      </c>
      <c r="L93" s="1335">
        <f t="shared" ref="L93:L101" si="20">D93+E93+F93+K93</f>
        <v>64000</v>
      </c>
    </row>
    <row r="94" spans="1:12" ht="27.6" x14ac:dyDescent="0.25">
      <c r="A94" s="1295">
        <v>79</v>
      </c>
      <c r="B94" s="1456" t="s">
        <v>1229</v>
      </c>
      <c r="C94" s="1451" t="s">
        <v>1205</v>
      </c>
      <c r="D94" s="1452"/>
      <c r="E94" s="1452"/>
      <c r="F94" s="1453">
        <v>7937</v>
      </c>
      <c r="G94" s="1454"/>
      <c r="H94" s="1454"/>
      <c r="I94" s="1454"/>
      <c r="J94" s="1454"/>
      <c r="K94" s="1455">
        <f t="shared" si="19"/>
        <v>0</v>
      </c>
      <c r="L94" s="1335">
        <f t="shared" si="20"/>
        <v>7937</v>
      </c>
    </row>
    <row r="95" spans="1:12" ht="41.4" x14ac:dyDescent="0.25">
      <c r="A95" s="1320">
        <v>80</v>
      </c>
      <c r="B95" s="1365" t="s">
        <v>1230</v>
      </c>
      <c r="C95" s="1392" t="s">
        <v>1205</v>
      </c>
      <c r="D95" s="1393"/>
      <c r="E95" s="1393"/>
      <c r="F95" s="1377">
        <v>15000</v>
      </c>
      <c r="G95" s="1364"/>
      <c r="H95" s="1364"/>
      <c r="I95" s="1364"/>
      <c r="J95" s="1364"/>
      <c r="K95" s="1455">
        <f t="shared" si="19"/>
        <v>0</v>
      </c>
      <c r="L95" s="1335">
        <f t="shared" si="20"/>
        <v>15000</v>
      </c>
    </row>
    <row r="96" spans="1:12" ht="27.6" x14ac:dyDescent="0.25">
      <c r="A96" s="1320">
        <v>81</v>
      </c>
      <c r="B96" s="1365" t="s">
        <v>1231</v>
      </c>
      <c r="C96" s="1392" t="s">
        <v>1034</v>
      </c>
      <c r="D96" s="1393"/>
      <c r="E96" s="1393"/>
      <c r="F96" s="1377"/>
      <c r="G96" s="1364">
        <v>142240</v>
      </c>
      <c r="H96" s="1364"/>
      <c r="I96" s="1364"/>
      <c r="J96" s="1364"/>
      <c r="K96" s="1455">
        <f t="shared" si="19"/>
        <v>142240</v>
      </c>
      <c r="L96" s="1335">
        <f t="shared" si="20"/>
        <v>142240</v>
      </c>
    </row>
    <row r="97" spans="1:12" ht="27.6" x14ac:dyDescent="0.25">
      <c r="A97" s="1320">
        <v>82</v>
      </c>
      <c r="B97" s="1365" t="s">
        <v>1232</v>
      </c>
      <c r="C97" s="1392" t="s">
        <v>1034</v>
      </c>
      <c r="D97" s="1393"/>
      <c r="E97" s="1457"/>
      <c r="F97" s="1458">
        <v>1156.2</v>
      </c>
      <c r="G97" s="1459">
        <v>1156.2</v>
      </c>
      <c r="H97" s="1459">
        <v>1156.2</v>
      </c>
      <c r="I97" s="1459">
        <v>1156.2</v>
      </c>
      <c r="J97" s="1459">
        <v>1156.2</v>
      </c>
      <c r="K97" s="1455">
        <f t="shared" si="19"/>
        <v>4624.8</v>
      </c>
      <c r="L97" s="1335">
        <f t="shared" si="20"/>
        <v>5781</v>
      </c>
    </row>
    <row r="98" spans="1:12" x14ac:dyDescent="0.25">
      <c r="A98" s="1320"/>
      <c r="B98" s="1365"/>
      <c r="C98" s="1392"/>
      <c r="D98" s="1393"/>
      <c r="E98" s="1393"/>
      <c r="F98" s="1377"/>
      <c r="G98" s="1364"/>
      <c r="H98" s="1364"/>
      <c r="I98" s="1364"/>
      <c r="J98" s="1364"/>
      <c r="K98" s="1455">
        <f t="shared" si="19"/>
        <v>0</v>
      </c>
      <c r="L98" s="1335">
        <f t="shared" si="20"/>
        <v>0</v>
      </c>
    </row>
    <row r="99" spans="1:12" x14ac:dyDescent="0.25">
      <c r="A99" s="1320"/>
      <c r="B99" s="1365"/>
      <c r="C99" s="1392"/>
      <c r="D99" s="1393"/>
      <c r="E99" s="1393"/>
      <c r="F99" s="1377"/>
      <c r="G99" s="1364"/>
      <c r="H99" s="1364"/>
      <c r="I99" s="1364"/>
      <c r="J99" s="1364"/>
      <c r="K99" s="1455">
        <f t="shared" si="19"/>
        <v>0</v>
      </c>
      <c r="L99" s="1335">
        <f t="shared" si="20"/>
        <v>0</v>
      </c>
    </row>
    <row r="100" spans="1:12" x14ac:dyDescent="0.25">
      <c r="A100" s="1320"/>
      <c r="B100" s="1365"/>
      <c r="C100" s="1392"/>
      <c r="D100" s="1393"/>
      <c r="E100" s="1393"/>
      <c r="F100" s="1377"/>
      <c r="G100" s="1364"/>
      <c r="H100" s="1364"/>
      <c r="I100" s="1364"/>
      <c r="J100" s="1364"/>
      <c r="K100" s="1455">
        <f t="shared" si="19"/>
        <v>0</v>
      </c>
      <c r="L100" s="1335">
        <f t="shared" si="20"/>
        <v>0</v>
      </c>
    </row>
    <row r="101" spans="1:12" x14ac:dyDescent="0.25">
      <c r="A101" s="1320"/>
      <c r="B101" s="1365"/>
      <c r="C101" s="1392"/>
      <c r="D101" s="1393"/>
      <c r="E101" s="1393"/>
      <c r="F101" s="1377"/>
      <c r="G101" s="1364"/>
      <c r="H101" s="1364"/>
      <c r="I101" s="1364"/>
      <c r="J101" s="1364"/>
      <c r="K101" s="1455">
        <f t="shared" si="19"/>
        <v>0</v>
      </c>
      <c r="L101" s="1335">
        <f t="shared" si="20"/>
        <v>0</v>
      </c>
    </row>
    <row r="102" spans="1:12" x14ac:dyDescent="0.25">
      <c r="A102" s="1301"/>
      <c r="B102" s="1358" t="s">
        <v>1233</v>
      </c>
      <c r="C102" s="1359"/>
      <c r="D102" s="1345">
        <f t="shared" ref="D102:L102" si="21">D30+D12</f>
        <v>2286716</v>
      </c>
      <c r="E102" s="1345">
        <f t="shared" si="21"/>
        <v>110930</v>
      </c>
      <c r="F102" s="1345">
        <f t="shared" si="21"/>
        <v>926869.2</v>
      </c>
      <c r="G102" s="1345">
        <f t="shared" si="21"/>
        <v>602442.19999999995</v>
      </c>
      <c r="H102" s="1345">
        <f t="shared" si="21"/>
        <v>201229.2</v>
      </c>
      <c r="I102" s="1345">
        <f t="shared" si="21"/>
        <v>172130.2</v>
      </c>
      <c r="J102" s="1345">
        <f t="shared" si="21"/>
        <v>746833.2</v>
      </c>
      <c r="K102" s="1345">
        <f t="shared" si="21"/>
        <v>1722634.8</v>
      </c>
      <c r="L102" s="1345">
        <f t="shared" si="21"/>
        <v>5047150</v>
      </c>
    </row>
  </sheetData>
  <mergeCells count="7">
    <mergeCell ref="A1:L1"/>
    <mergeCell ref="A2:L2"/>
    <mergeCell ref="D4:D5"/>
    <mergeCell ref="E4:E6"/>
    <mergeCell ref="J4:J6"/>
    <mergeCell ref="K4:K6"/>
    <mergeCell ref="L4:L6"/>
  </mergeCells>
  <pageMargins left="0.7" right="0.7" top="0.75" bottom="0.75" header="0.3" footer="0.3"/>
  <pageSetup paperSize="9" scale="75" orientation="landscape" r:id="rId1"/>
  <headerFooter>
    <oddHeader>&amp;C10. melléklet
az önkormányzat 2017. évi költségvetéséről szóló 8/2017. (II.24.) önkormányzati rendeletéhez&amp;R&amp;P. oldal</oddHeader>
  </headerFooter>
  <rowBreaks count="5" manualBreakCount="5">
    <brk id="28" max="16383" man="1"/>
    <brk id="47" max="16383" man="1"/>
    <brk id="61" max="16383" man="1"/>
    <brk id="73" max="16383" man="1"/>
    <brk id="87"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H43"/>
  <sheetViews>
    <sheetView view="pageLayout" topLeftCell="B1" zoomScaleNormal="100" workbookViewId="0">
      <selection activeCell="J15" sqref="J15"/>
    </sheetView>
  </sheetViews>
  <sheetFormatPr defaultColWidth="9.109375" defaultRowHeight="14.4" x14ac:dyDescent="0.3"/>
  <cols>
    <col min="1" max="1" width="9.109375" style="1248"/>
    <col min="2" max="2" width="33.109375" style="1248" customWidth="1"/>
    <col min="3" max="16384" width="9.109375" style="1248"/>
  </cols>
  <sheetData>
    <row r="3" spans="1:8" x14ac:dyDescent="0.3">
      <c r="A3" s="1247"/>
      <c r="B3" s="1247"/>
      <c r="C3" s="1247"/>
      <c r="D3" s="1247"/>
      <c r="E3" s="1247"/>
      <c r="F3" s="1247"/>
      <c r="G3" s="1247"/>
      <c r="H3" s="1247"/>
    </row>
    <row r="4" spans="1:8" x14ac:dyDescent="0.3">
      <c r="A4" s="1247"/>
      <c r="B4" s="1247"/>
      <c r="C4" s="1247"/>
      <c r="D4" s="1247"/>
      <c r="E4" s="1247"/>
      <c r="F4" s="1247"/>
      <c r="G4" s="1247"/>
      <c r="H4" s="1247"/>
    </row>
    <row r="5" spans="1:8" x14ac:dyDescent="0.3">
      <c r="A5" s="1579" t="s">
        <v>1085</v>
      </c>
      <c r="B5" s="1579"/>
      <c r="C5" s="1579"/>
      <c r="D5" s="1579"/>
      <c r="E5" s="1579"/>
      <c r="F5" s="1579"/>
      <c r="G5" s="1579"/>
      <c r="H5" s="1579"/>
    </row>
    <row r="6" spans="1:8" x14ac:dyDescent="0.3">
      <c r="A6" s="1579" t="s">
        <v>1086</v>
      </c>
      <c r="B6" s="1579"/>
      <c r="C6" s="1579"/>
      <c r="D6" s="1579"/>
      <c r="E6" s="1579"/>
      <c r="F6" s="1579"/>
      <c r="G6" s="1579"/>
      <c r="H6" s="1579"/>
    </row>
    <row r="7" spans="1:8" x14ac:dyDescent="0.3">
      <c r="A7" s="1249"/>
      <c r="B7" s="1249"/>
      <c r="C7" s="1249"/>
      <c r="D7" s="1249"/>
      <c r="E7" s="1249"/>
      <c r="F7" s="1249"/>
      <c r="G7" s="1249"/>
      <c r="H7" s="1249"/>
    </row>
    <row r="8" spans="1:8" x14ac:dyDescent="0.3">
      <c r="A8" s="1247"/>
      <c r="B8" s="1247"/>
      <c r="C8" s="1247"/>
      <c r="D8" s="1247"/>
      <c r="E8" s="1247"/>
      <c r="F8" s="1247"/>
      <c r="G8" s="1247"/>
      <c r="H8" s="1247"/>
    </row>
    <row r="9" spans="1:8" x14ac:dyDescent="0.3">
      <c r="A9" s="1250" t="s">
        <v>327</v>
      </c>
      <c r="B9" s="1250"/>
      <c r="C9" s="1251" t="s">
        <v>1087</v>
      </c>
      <c r="D9" s="1250" t="s">
        <v>1088</v>
      </c>
      <c r="E9" s="1580" t="s">
        <v>1089</v>
      </c>
      <c r="F9" s="1580"/>
      <c r="G9" s="1580"/>
      <c r="H9" s="1580"/>
    </row>
    <row r="10" spans="1:8" ht="27" x14ac:dyDescent="0.3">
      <c r="A10" s="1252"/>
      <c r="B10" s="1253" t="s">
        <v>1090</v>
      </c>
      <c r="C10" s="1254" t="s">
        <v>1091</v>
      </c>
      <c r="D10" s="1255" t="s">
        <v>1091</v>
      </c>
      <c r="E10" s="1256">
        <v>2017</v>
      </c>
      <c r="F10" s="1256">
        <v>2018</v>
      </c>
      <c r="G10" s="1256">
        <v>2019</v>
      </c>
      <c r="H10" s="1257" t="s">
        <v>1092</v>
      </c>
    </row>
    <row r="11" spans="1:8" x14ac:dyDescent="0.3">
      <c r="A11" s="1258"/>
      <c r="B11" s="1258"/>
      <c r="C11" s="1259"/>
      <c r="D11" s="1258"/>
      <c r="E11" s="1258"/>
      <c r="F11" s="1260"/>
      <c r="G11" s="1260"/>
      <c r="H11" s="1258"/>
    </row>
    <row r="12" spans="1:8" x14ac:dyDescent="0.3">
      <c r="A12" s="1253" t="s">
        <v>1067</v>
      </c>
      <c r="B12" s="1253" t="s">
        <v>706</v>
      </c>
      <c r="C12" s="1254" t="s">
        <v>707</v>
      </c>
      <c r="D12" s="1254" t="s">
        <v>1068</v>
      </c>
      <c r="E12" s="1254" t="s">
        <v>1069</v>
      </c>
      <c r="F12" s="1254" t="s">
        <v>1093</v>
      </c>
      <c r="G12" s="1254" t="s">
        <v>1094</v>
      </c>
      <c r="H12" s="1254" t="s">
        <v>1095</v>
      </c>
    </row>
    <row r="13" spans="1:8" x14ac:dyDescent="0.3">
      <c r="A13" s="1261"/>
      <c r="B13" s="1261" t="s">
        <v>1096</v>
      </c>
      <c r="C13" s="1261"/>
      <c r="D13" s="1261"/>
      <c r="E13" s="1261"/>
      <c r="F13" s="1261"/>
      <c r="G13" s="1261"/>
      <c r="H13" s="1261"/>
    </row>
    <row r="14" spans="1:8" ht="27" x14ac:dyDescent="0.3">
      <c r="A14" s="1261" t="s">
        <v>1067</v>
      </c>
      <c r="B14" s="1262" t="s">
        <v>1097</v>
      </c>
      <c r="C14" s="1263"/>
      <c r="D14" s="1263"/>
      <c r="E14" s="1264"/>
      <c r="F14" s="1264"/>
      <c r="G14" s="1264"/>
      <c r="H14" s="1264"/>
    </row>
    <row r="15" spans="1:8" x14ac:dyDescent="0.3">
      <c r="A15" s="1265" t="s">
        <v>706</v>
      </c>
      <c r="B15" s="1266"/>
      <c r="C15" s="1267"/>
      <c r="D15" s="1267"/>
      <c r="E15" s="1267"/>
      <c r="F15" s="1267"/>
      <c r="G15" s="1267"/>
      <c r="H15" s="1267"/>
    </row>
    <row r="16" spans="1:8" x14ac:dyDescent="0.3">
      <c r="A16" s="1261" t="s">
        <v>707</v>
      </c>
      <c r="B16" s="1268" t="s">
        <v>1098</v>
      </c>
      <c r="C16" s="1264"/>
      <c r="D16" s="1264"/>
      <c r="E16" s="1264"/>
      <c r="F16" s="1264"/>
      <c r="G16" s="1264"/>
      <c r="H16" s="1264"/>
    </row>
    <row r="17" spans="1:8" x14ac:dyDescent="0.3">
      <c r="A17" s="1261" t="s">
        <v>1068</v>
      </c>
      <c r="B17" s="1269"/>
      <c r="C17" s="1264"/>
      <c r="D17" s="1264"/>
      <c r="E17" s="1264"/>
      <c r="F17" s="1264"/>
      <c r="G17" s="1264"/>
      <c r="H17" s="1264"/>
    </row>
    <row r="18" spans="1:8" x14ac:dyDescent="0.3">
      <c r="A18" s="1250" t="s">
        <v>1069</v>
      </c>
      <c r="B18" s="1268" t="s">
        <v>1099</v>
      </c>
      <c r="C18" s="1270"/>
      <c r="D18" s="1270"/>
      <c r="E18" s="1270"/>
      <c r="F18" s="1270"/>
      <c r="G18" s="1270"/>
      <c r="H18" s="1270"/>
    </row>
    <row r="19" spans="1:8" ht="27" x14ac:dyDescent="0.3">
      <c r="A19" s="1261" t="s">
        <v>1093</v>
      </c>
      <c r="B19" s="1262" t="s">
        <v>1100</v>
      </c>
      <c r="C19" s="1263"/>
      <c r="D19" s="1263"/>
      <c r="E19" s="1271">
        <f>E21+E23</f>
        <v>842276</v>
      </c>
      <c r="F19" s="1271">
        <f>F21+F23</f>
        <v>749447</v>
      </c>
      <c r="G19" s="1271">
        <f>G21+G23</f>
        <v>658574</v>
      </c>
      <c r="H19" s="1271">
        <f>H21+H23</f>
        <v>569659</v>
      </c>
    </row>
    <row r="20" spans="1:8" x14ac:dyDescent="0.3">
      <c r="A20" s="1265" t="s">
        <v>1094</v>
      </c>
      <c r="B20" s="1267" t="s">
        <v>1101</v>
      </c>
      <c r="C20" s="1267">
        <v>2014</v>
      </c>
      <c r="D20" s="1267">
        <v>2026</v>
      </c>
      <c r="E20" s="1272">
        <v>742425</v>
      </c>
      <c r="F20" s="1272">
        <f>E20-74242</f>
        <v>668183</v>
      </c>
      <c r="G20" s="1272">
        <f>F20-74243</f>
        <v>593940</v>
      </c>
      <c r="H20" s="1272">
        <f>G20-74242</f>
        <v>519698</v>
      </c>
    </row>
    <row r="21" spans="1:8" x14ac:dyDescent="0.3">
      <c r="A21" s="1261" t="s">
        <v>1095</v>
      </c>
      <c r="B21" s="1268" t="s">
        <v>1102</v>
      </c>
      <c r="C21" s="1264"/>
      <c r="D21" s="1264"/>
      <c r="E21" s="1271">
        <f>SUM(E20:E20)</f>
        <v>742425</v>
      </c>
      <c r="F21" s="1271">
        <f>SUM(F20:F20)</f>
        <v>668183</v>
      </c>
      <c r="G21" s="1271">
        <f>SUM(G20:G20)</f>
        <v>593940</v>
      </c>
      <c r="H21" s="1271">
        <f>SUM(H20:H20)</f>
        <v>519698</v>
      </c>
    </row>
    <row r="22" spans="1:8" x14ac:dyDescent="0.3">
      <c r="A22" s="1261" t="s">
        <v>1103</v>
      </c>
      <c r="B22" s="1267" t="s">
        <v>1104</v>
      </c>
      <c r="C22" s="1267">
        <v>2014</v>
      </c>
      <c r="D22" s="1267">
        <v>2026</v>
      </c>
      <c r="E22" s="1273">
        <v>99851</v>
      </c>
      <c r="F22" s="1273">
        <v>81264</v>
      </c>
      <c r="G22" s="1273">
        <v>64634</v>
      </c>
      <c r="H22" s="1273">
        <v>49961</v>
      </c>
    </row>
    <row r="23" spans="1:8" x14ac:dyDescent="0.3">
      <c r="A23" s="1250" t="s">
        <v>1105</v>
      </c>
      <c r="B23" s="1274" t="s">
        <v>1106</v>
      </c>
      <c r="C23" s="1270"/>
      <c r="D23" s="1270"/>
      <c r="E23" s="1275">
        <f>SUM(E22:E22)</f>
        <v>99851</v>
      </c>
      <c r="F23" s="1275">
        <f>SUM(F22:F22)</f>
        <v>81264</v>
      </c>
      <c r="G23" s="1275">
        <f>SUM(G22:G22)</f>
        <v>64634</v>
      </c>
      <c r="H23" s="1275">
        <f>SUM(H22:H22)</f>
        <v>49961</v>
      </c>
    </row>
    <row r="24" spans="1:8" x14ac:dyDescent="0.3">
      <c r="A24" s="1261" t="s">
        <v>1107</v>
      </c>
      <c r="B24" s="1268" t="s">
        <v>1108</v>
      </c>
      <c r="C24" s="1263"/>
      <c r="D24" s="1263"/>
      <c r="E24" s="1271">
        <f>E19+E14</f>
        <v>842276</v>
      </c>
      <c r="F24" s="1271">
        <f>F19+F14</f>
        <v>749447</v>
      </c>
      <c r="G24" s="1271">
        <f>G19+G14</f>
        <v>658574</v>
      </c>
      <c r="H24" s="1271">
        <f>H19+H14</f>
        <v>569659</v>
      </c>
    </row>
    <row r="25" spans="1:8" ht="53.4" x14ac:dyDescent="0.3">
      <c r="A25" s="1261" t="s">
        <v>1109</v>
      </c>
      <c r="B25" s="1262" t="s">
        <v>1110</v>
      </c>
      <c r="C25" s="1263"/>
      <c r="D25" s="1263"/>
      <c r="E25" s="1271"/>
      <c r="F25" s="1271"/>
      <c r="G25" s="1271"/>
      <c r="H25" s="1271"/>
    </row>
    <row r="26" spans="1:8" ht="27" x14ac:dyDescent="0.3">
      <c r="A26" s="1261" t="s">
        <v>1111</v>
      </c>
      <c r="B26" s="1276" t="s">
        <v>1112</v>
      </c>
      <c r="C26" s="1277" t="s">
        <v>1113</v>
      </c>
      <c r="D26" s="1278" t="s">
        <v>1114</v>
      </c>
      <c r="E26" s="1271">
        <v>0</v>
      </c>
      <c r="F26" s="1271">
        <v>0</v>
      </c>
      <c r="G26" s="1271">
        <v>0</v>
      </c>
      <c r="H26" s="1272">
        <v>0</v>
      </c>
    </row>
    <row r="27" spans="1:8" ht="27" x14ac:dyDescent="0.3">
      <c r="A27" s="1261" t="s">
        <v>1115</v>
      </c>
      <c r="B27" s="1276" t="s">
        <v>1049</v>
      </c>
      <c r="C27" s="1277" t="s">
        <v>1050</v>
      </c>
      <c r="D27" s="1278" t="s">
        <v>1034</v>
      </c>
      <c r="E27" s="1279">
        <v>128160</v>
      </c>
      <c r="F27" s="1279">
        <v>128160</v>
      </c>
      <c r="G27" s="1279">
        <v>0</v>
      </c>
      <c r="H27" s="1279">
        <v>0</v>
      </c>
    </row>
    <row r="28" spans="1:8" ht="27" x14ac:dyDescent="0.3">
      <c r="A28" s="1261" t="s">
        <v>1116</v>
      </c>
      <c r="B28" s="1276" t="s">
        <v>1051</v>
      </c>
      <c r="C28" s="1277" t="s">
        <v>1052</v>
      </c>
      <c r="D28" s="1278" t="s">
        <v>1037</v>
      </c>
      <c r="E28" s="1279">
        <v>113000</v>
      </c>
      <c r="F28" s="1279">
        <v>92000</v>
      </c>
      <c r="G28" s="1279">
        <f>F28-16000</f>
        <v>76000</v>
      </c>
      <c r="H28" s="1279">
        <f>G28-16000</f>
        <v>60000</v>
      </c>
    </row>
    <row r="29" spans="1:8" x14ac:dyDescent="0.3">
      <c r="A29" s="1261" t="s">
        <v>1117</v>
      </c>
      <c r="B29" s="1276" t="s">
        <v>1053</v>
      </c>
      <c r="C29" s="1277" t="s">
        <v>1054</v>
      </c>
      <c r="D29" s="1278" t="s">
        <v>1118</v>
      </c>
      <c r="E29" s="1279">
        <v>31591</v>
      </c>
      <c r="F29" s="1279">
        <v>16589</v>
      </c>
      <c r="G29" s="1279">
        <v>8295</v>
      </c>
      <c r="H29" s="1279"/>
    </row>
    <row r="30" spans="1:8" x14ac:dyDescent="0.3">
      <c r="A30" s="1261" t="s">
        <v>1119</v>
      </c>
      <c r="B30" s="1268" t="s">
        <v>1120</v>
      </c>
      <c r="C30" s="1263"/>
      <c r="D30" s="1263"/>
      <c r="E30" s="1271">
        <f>SUM(E26:E29)</f>
        <v>272751</v>
      </c>
      <c r="F30" s="1271">
        <f>SUM(F26:F29)</f>
        <v>236749</v>
      </c>
      <c r="G30" s="1271">
        <f>SUM(G26:G29)</f>
        <v>84295</v>
      </c>
      <c r="H30" s="1271">
        <f>SUM(H26:H29)</f>
        <v>60000</v>
      </c>
    </row>
    <row r="31" spans="1:8" x14ac:dyDescent="0.3">
      <c r="A31" s="1261" t="s">
        <v>1121</v>
      </c>
      <c r="B31" s="1261" t="s">
        <v>1122</v>
      </c>
      <c r="C31" s="1261"/>
      <c r="D31" s="1261"/>
      <c r="E31" s="1261"/>
      <c r="F31" s="1261"/>
      <c r="G31" s="1261"/>
      <c r="H31" s="1261"/>
    </row>
    <row r="32" spans="1:8" ht="27" x14ac:dyDescent="0.3">
      <c r="A32" s="1261" t="s">
        <v>1123</v>
      </c>
      <c r="B32" s="1262" t="s">
        <v>1097</v>
      </c>
      <c r="C32" s="1263"/>
      <c r="D32" s="1263"/>
      <c r="E32" s="1264"/>
      <c r="F32" s="1264"/>
      <c r="G32" s="1264"/>
      <c r="H32" s="1264"/>
    </row>
    <row r="33" spans="1:8" x14ac:dyDescent="0.3">
      <c r="A33" s="1265" t="s">
        <v>1124</v>
      </c>
      <c r="B33" s="1266"/>
      <c r="C33" s="1267"/>
      <c r="D33" s="1267"/>
      <c r="E33" s="1267"/>
      <c r="F33" s="1267"/>
      <c r="G33" s="1267"/>
      <c r="H33" s="1267"/>
    </row>
    <row r="34" spans="1:8" x14ac:dyDescent="0.3">
      <c r="A34" s="1261" t="s">
        <v>1125</v>
      </c>
      <c r="B34" s="1268" t="s">
        <v>1098</v>
      </c>
      <c r="C34" s="1264"/>
      <c r="D34" s="1264"/>
      <c r="E34" s="1264"/>
      <c r="F34" s="1264"/>
      <c r="G34" s="1264"/>
      <c r="H34" s="1264"/>
    </row>
    <row r="35" spans="1:8" x14ac:dyDescent="0.3">
      <c r="A35" s="1261" t="s">
        <v>1126</v>
      </c>
      <c r="B35" s="1269"/>
      <c r="C35" s="1264"/>
      <c r="D35" s="1264"/>
      <c r="E35" s="1264"/>
      <c r="F35" s="1264"/>
      <c r="G35" s="1264"/>
      <c r="H35" s="1264"/>
    </row>
    <row r="36" spans="1:8" x14ac:dyDescent="0.3">
      <c r="A36" s="1250" t="s">
        <v>1127</v>
      </c>
      <c r="B36" s="1268" t="s">
        <v>1099</v>
      </c>
      <c r="C36" s="1270"/>
      <c r="D36" s="1270"/>
      <c r="E36" s="1270"/>
      <c r="F36" s="1270"/>
      <c r="G36" s="1270"/>
      <c r="H36" s="1270"/>
    </row>
    <row r="37" spans="1:8" ht="27" x14ac:dyDescent="0.3">
      <c r="A37" s="1261" t="s">
        <v>1128</v>
      </c>
      <c r="B37" s="1262" t="s">
        <v>1100</v>
      </c>
      <c r="C37" s="1263"/>
      <c r="D37" s="1263"/>
      <c r="E37" s="1271"/>
      <c r="F37" s="1271"/>
      <c r="G37" s="1271"/>
      <c r="H37" s="1271"/>
    </row>
    <row r="38" spans="1:8" x14ac:dyDescent="0.3">
      <c r="A38" s="1261" t="s">
        <v>1129</v>
      </c>
      <c r="B38" s="1264"/>
      <c r="C38" s="1264"/>
      <c r="D38" s="1264"/>
      <c r="E38" s="1273"/>
      <c r="F38" s="1273"/>
      <c r="G38" s="1273"/>
      <c r="H38" s="1273"/>
    </row>
    <row r="39" spans="1:8" x14ac:dyDescent="0.3">
      <c r="A39" s="1261" t="s">
        <v>1130</v>
      </c>
      <c r="B39" s="1268" t="s">
        <v>1098</v>
      </c>
      <c r="C39" s="1264"/>
      <c r="D39" s="1264"/>
      <c r="E39" s="1273"/>
      <c r="F39" s="1273"/>
      <c r="G39" s="1273"/>
      <c r="H39" s="1273"/>
    </row>
    <row r="40" spans="1:8" x14ac:dyDescent="0.3">
      <c r="A40" s="1261" t="s">
        <v>1131</v>
      </c>
      <c r="B40" s="1280"/>
      <c r="C40" s="1264"/>
      <c r="D40" s="1264"/>
      <c r="E40" s="1273"/>
      <c r="F40" s="1273"/>
      <c r="G40" s="1273"/>
      <c r="H40" s="1273"/>
    </row>
    <row r="41" spans="1:8" x14ac:dyDescent="0.3">
      <c r="A41" s="1250" t="s">
        <v>1132</v>
      </c>
      <c r="B41" s="1274" t="s">
        <v>1099</v>
      </c>
      <c r="C41" s="1270"/>
      <c r="D41" s="1270"/>
      <c r="E41" s="1281"/>
      <c r="F41" s="1281"/>
      <c r="G41" s="1281"/>
      <c r="H41" s="1281"/>
    </row>
    <row r="42" spans="1:8" x14ac:dyDescent="0.3">
      <c r="A42" s="1261" t="s">
        <v>1133</v>
      </c>
      <c r="B42" s="1268" t="s">
        <v>1134</v>
      </c>
      <c r="C42" s="1263"/>
      <c r="D42" s="1263"/>
      <c r="E42" s="1271"/>
      <c r="F42" s="1271"/>
      <c r="G42" s="1271"/>
      <c r="H42" s="1271"/>
    </row>
    <row r="43" spans="1:8" x14ac:dyDescent="0.3">
      <c r="A43" s="1282" t="s">
        <v>1135</v>
      </c>
      <c r="B43" s="1268" t="s">
        <v>1136</v>
      </c>
      <c r="C43" s="1269"/>
      <c r="D43" s="1269"/>
      <c r="E43" s="1283">
        <f>E24+E30</f>
        <v>1115027</v>
      </c>
      <c r="F43" s="1283">
        <f>F24+F30</f>
        <v>986196</v>
      </c>
      <c r="G43" s="1283">
        <f>G24+G30</f>
        <v>742869</v>
      </c>
      <c r="H43" s="1283">
        <f>H24+H30</f>
        <v>629659</v>
      </c>
    </row>
  </sheetData>
  <mergeCells count="3">
    <mergeCell ref="A5:H5"/>
    <mergeCell ref="A6:H6"/>
    <mergeCell ref="E9:H9"/>
  </mergeCells>
  <pageMargins left="0.7" right="0.7" top="0.75" bottom="0.75" header="0.3" footer="0.3"/>
  <pageSetup paperSize="9" scale="90" orientation="portrait" r:id="rId1"/>
  <headerFooter>
    <oddHeader>&amp;C11. melléklet
az önkormányzat 2017. évi költségvetéséről szóló 8/2017. (II.24.) önkormányzati rendeletéhez&amp;R
&amp;P. oldal</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4:H25"/>
  <sheetViews>
    <sheetView view="pageLayout" topLeftCell="C1" zoomScaleNormal="100" zoomScaleSheetLayoutView="100" workbookViewId="0">
      <selection activeCell="I18" sqref="I18"/>
    </sheetView>
  </sheetViews>
  <sheetFormatPr defaultRowHeight="13.2" x14ac:dyDescent="0.25"/>
  <cols>
    <col min="1" max="1" width="9.109375" style="1206"/>
    <col min="2" max="2" width="25.44140625" style="1206" customWidth="1"/>
    <col min="3" max="3" width="22.109375" style="1206" customWidth="1"/>
    <col min="4" max="4" width="17.33203125" style="1206" bestFit="1" customWidth="1"/>
    <col min="5" max="5" width="13.88671875" style="1206" bestFit="1" customWidth="1"/>
    <col min="6" max="7" width="9.109375" style="1206"/>
    <col min="8" max="8" width="11.109375" style="1206" bestFit="1" customWidth="1"/>
    <col min="9" max="257" width="9.109375" style="1206"/>
    <col min="258" max="258" width="25.44140625" style="1206" customWidth="1"/>
    <col min="259" max="259" width="20.88671875" style="1206" customWidth="1"/>
    <col min="260" max="260" width="17.33203125" style="1206" bestFit="1" customWidth="1"/>
    <col min="261" max="261" width="13.88671875" style="1206" bestFit="1" customWidth="1"/>
    <col min="262" max="513" width="9.109375" style="1206"/>
    <col min="514" max="514" width="25.44140625" style="1206" customWidth="1"/>
    <col min="515" max="515" width="20.88671875" style="1206" customWidth="1"/>
    <col min="516" max="516" width="17.33203125" style="1206" bestFit="1" customWidth="1"/>
    <col min="517" max="517" width="13.88671875" style="1206" bestFit="1" customWidth="1"/>
    <col min="518" max="769" width="9.109375" style="1206"/>
    <col min="770" max="770" width="25.44140625" style="1206" customWidth="1"/>
    <col min="771" max="771" width="20.88671875" style="1206" customWidth="1"/>
    <col min="772" max="772" width="17.33203125" style="1206" bestFit="1" customWidth="1"/>
    <col min="773" max="773" width="13.88671875" style="1206" bestFit="1" customWidth="1"/>
    <col min="774" max="1025" width="9.109375" style="1206"/>
    <col min="1026" max="1026" width="25.44140625" style="1206" customWidth="1"/>
    <col min="1027" max="1027" width="20.88671875" style="1206" customWidth="1"/>
    <col min="1028" max="1028" width="17.33203125" style="1206" bestFit="1" customWidth="1"/>
    <col min="1029" max="1029" width="13.88671875" style="1206" bestFit="1" customWidth="1"/>
    <col min="1030" max="1281" width="9.109375" style="1206"/>
    <col min="1282" max="1282" width="25.44140625" style="1206" customWidth="1"/>
    <col min="1283" max="1283" width="20.88671875" style="1206" customWidth="1"/>
    <col min="1284" max="1284" width="17.33203125" style="1206" bestFit="1" customWidth="1"/>
    <col min="1285" max="1285" width="13.88671875" style="1206" bestFit="1" customWidth="1"/>
    <col min="1286" max="1537" width="9.109375" style="1206"/>
    <col min="1538" max="1538" width="25.44140625" style="1206" customWidth="1"/>
    <col min="1539" max="1539" width="20.88671875" style="1206" customWidth="1"/>
    <col min="1540" max="1540" width="17.33203125" style="1206" bestFit="1" customWidth="1"/>
    <col min="1541" max="1541" width="13.88671875" style="1206" bestFit="1" customWidth="1"/>
    <col min="1542" max="1793" width="9.109375" style="1206"/>
    <col min="1794" max="1794" width="25.44140625" style="1206" customWidth="1"/>
    <col min="1795" max="1795" width="20.88671875" style="1206" customWidth="1"/>
    <col min="1796" max="1796" width="17.33203125" style="1206" bestFit="1" customWidth="1"/>
    <col min="1797" max="1797" width="13.88671875" style="1206" bestFit="1" customWidth="1"/>
    <col min="1798" max="2049" width="9.109375" style="1206"/>
    <col min="2050" max="2050" width="25.44140625" style="1206" customWidth="1"/>
    <col min="2051" max="2051" width="20.88671875" style="1206" customWidth="1"/>
    <col min="2052" max="2052" width="17.33203125" style="1206" bestFit="1" customWidth="1"/>
    <col min="2053" max="2053" width="13.88671875" style="1206" bestFit="1" customWidth="1"/>
    <col min="2054" max="2305" width="9.109375" style="1206"/>
    <col min="2306" max="2306" width="25.44140625" style="1206" customWidth="1"/>
    <col min="2307" max="2307" width="20.88671875" style="1206" customWidth="1"/>
    <col min="2308" max="2308" width="17.33203125" style="1206" bestFit="1" customWidth="1"/>
    <col min="2309" max="2309" width="13.88671875" style="1206" bestFit="1" customWidth="1"/>
    <col min="2310" max="2561" width="9.109375" style="1206"/>
    <col min="2562" max="2562" width="25.44140625" style="1206" customWidth="1"/>
    <col min="2563" max="2563" width="20.88671875" style="1206" customWidth="1"/>
    <col min="2564" max="2564" width="17.33203125" style="1206" bestFit="1" customWidth="1"/>
    <col min="2565" max="2565" width="13.88671875" style="1206" bestFit="1" customWidth="1"/>
    <col min="2566" max="2817" width="9.109375" style="1206"/>
    <col min="2818" max="2818" width="25.44140625" style="1206" customWidth="1"/>
    <col min="2819" max="2819" width="20.88671875" style="1206" customWidth="1"/>
    <col min="2820" max="2820" width="17.33203125" style="1206" bestFit="1" customWidth="1"/>
    <col min="2821" max="2821" width="13.88671875" style="1206" bestFit="1" customWidth="1"/>
    <col min="2822" max="3073" width="9.109375" style="1206"/>
    <col min="3074" max="3074" width="25.44140625" style="1206" customWidth="1"/>
    <col min="3075" max="3075" width="20.88671875" style="1206" customWidth="1"/>
    <col min="3076" max="3076" width="17.33203125" style="1206" bestFit="1" customWidth="1"/>
    <col min="3077" max="3077" width="13.88671875" style="1206" bestFit="1" customWidth="1"/>
    <col min="3078" max="3329" width="9.109375" style="1206"/>
    <col min="3330" max="3330" width="25.44140625" style="1206" customWidth="1"/>
    <col min="3331" max="3331" width="20.88671875" style="1206" customWidth="1"/>
    <col min="3332" max="3332" width="17.33203125" style="1206" bestFit="1" customWidth="1"/>
    <col min="3333" max="3333" width="13.88671875" style="1206" bestFit="1" customWidth="1"/>
    <col min="3334" max="3585" width="9.109375" style="1206"/>
    <col min="3586" max="3586" width="25.44140625" style="1206" customWidth="1"/>
    <col min="3587" max="3587" width="20.88671875" style="1206" customWidth="1"/>
    <col min="3588" max="3588" width="17.33203125" style="1206" bestFit="1" customWidth="1"/>
    <col min="3589" max="3589" width="13.88671875" style="1206" bestFit="1" customWidth="1"/>
    <col min="3590" max="3841" width="9.109375" style="1206"/>
    <col min="3842" max="3842" width="25.44140625" style="1206" customWidth="1"/>
    <col min="3843" max="3843" width="20.88671875" style="1206" customWidth="1"/>
    <col min="3844" max="3844" width="17.33203125" style="1206" bestFit="1" customWidth="1"/>
    <col min="3845" max="3845" width="13.88671875" style="1206" bestFit="1" customWidth="1"/>
    <col min="3846" max="4097" width="9.109375" style="1206"/>
    <col min="4098" max="4098" width="25.44140625" style="1206" customWidth="1"/>
    <col min="4099" max="4099" width="20.88671875" style="1206" customWidth="1"/>
    <col min="4100" max="4100" width="17.33203125" style="1206" bestFit="1" customWidth="1"/>
    <col min="4101" max="4101" width="13.88671875" style="1206" bestFit="1" customWidth="1"/>
    <col min="4102" max="4353" width="9.109375" style="1206"/>
    <col min="4354" max="4354" width="25.44140625" style="1206" customWidth="1"/>
    <col min="4355" max="4355" width="20.88671875" style="1206" customWidth="1"/>
    <col min="4356" max="4356" width="17.33203125" style="1206" bestFit="1" customWidth="1"/>
    <col min="4357" max="4357" width="13.88671875" style="1206" bestFit="1" customWidth="1"/>
    <col min="4358" max="4609" width="9.109375" style="1206"/>
    <col min="4610" max="4610" width="25.44140625" style="1206" customWidth="1"/>
    <col min="4611" max="4611" width="20.88671875" style="1206" customWidth="1"/>
    <col min="4612" max="4612" width="17.33203125" style="1206" bestFit="1" customWidth="1"/>
    <col min="4613" max="4613" width="13.88671875" style="1206" bestFit="1" customWidth="1"/>
    <col min="4614" max="4865" width="9.109375" style="1206"/>
    <col min="4866" max="4866" width="25.44140625" style="1206" customWidth="1"/>
    <col min="4867" max="4867" width="20.88671875" style="1206" customWidth="1"/>
    <col min="4868" max="4868" width="17.33203125" style="1206" bestFit="1" customWidth="1"/>
    <col min="4869" max="4869" width="13.88671875" style="1206" bestFit="1" customWidth="1"/>
    <col min="4870" max="5121" width="9.109375" style="1206"/>
    <col min="5122" max="5122" width="25.44140625" style="1206" customWidth="1"/>
    <col min="5123" max="5123" width="20.88671875" style="1206" customWidth="1"/>
    <col min="5124" max="5124" width="17.33203125" style="1206" bestFit="1" customWidth="1"/>
    <col min="5125" max="5125" width="13.88671875" style="1206" bestFit="1" customWidth="1"/>
    <col min="5126" max="5377" width="9.109375" style="1206"/>
    <col min="5378" max="5378" width="25.44140625" style="1206" customWidth="1"/>
    <col min="5379" max="5379" width="20.88671875" style="1206" customWidth="1"/>
    <col min="5380" max="5380" width="17.33203125" style="1206" bestFit="1" customWidth="1"/>
    <col min="5381" max="5381" width="13.88671875" style="1206" bestFit="1" customWidth="1"/>
    <col min="5382" max="5633" width="9.109375" style="1206"/>
    <col min="5634" max="5634" width="25.44140625" style="1206" customWidth="1"/>
    <col min="5635" max="5635" width="20.88671875" style="1206" customWidth="1"/>
    <col min="5636" max="5636" width="17.33203125" style="1206" bestFit="1" customWidth="1"/>
    <col min="5637" max="5637" width="13.88671875" style="1206" bestFit="1" customWidth="1"/>
    <col min="5638" max="5889" width="9.109375" style="1206"/>
    <col min="5890" max="5890" width="25.44140625" style="1206" customWidth="1"/>
    <col min="5891" max="5891" width="20.88671875" style="1206" customWidth="1"/>
    <col min="5892" max="5892" width="17.33203125" style="1206" bestFit="1" customWidth="1"/>
    <col min="5893" max="5893" width="13.88671875" style="1206" bestFit="1" customWidth="1"/>
    <col min="5894" max="6145" width="9.109375" style="1206"/>
    <col min="6146" max="6146" width="25.44140625" style="1206" customWidth="1"/>
    <col min="6147" max="6147" width="20.88671875" style="1206" customWidth="1"/>
    <col min="6148" max="6148" width="17.33203125" style="1206" bestFit="1" customWidth="1"/>
    <col min="6149" max="6149" width="13.88671875" style="1206" bestFit="1" customWidth="1"/>
    <col min="6150" max="6401" width="9.109375" style="1206"/>
    <col min="6402" max="6402" width="25.44140625" style="1206" customWidth="1"/>
    <col min="6403" max="6403" width="20.88671875" style="1206" customWidth="1"/>
    <col min="6404" max="6404" width="17.33203125" style="1206" bestFit="1" customWidth="1"/>
    <col min="6405" max="6405" width="13.88671875" style="1206" bestFit="1" customWidth="1"/>
    <col min="6406" max="6657" width="9.109375" style="1206"/>
    <col min="6658" max="6658" width="25.44140625" style="1206" customWidth="1"/>
    <col min="6659" max="6659" width="20.88671875" style="1206" customWidth="1"/>
    <col min="6660" max="6660" width="17.33203125" style="1206" bestFit="1" customWidth="1"/>
    <col min="6661" max="6661" width="13.88671875" style="1206" bestFit="1" customWidth="1"/>
    <col min="6662" max="6913" width="9.109375" style="1206"/>
    <col min="6914" max="6914" width="25.44140625" style="1206" customWidth="1"/>
    <col min="6915" max="6915" width="20.88671875" style="1206" customWidth="1"/>
    <col min="6916" max="6916" width="17.33203125" style="1206" bestFit="1" customWidth="1"/>
    <col min="6917" max="6917" width="13.88671875" style="1206" bestFit="1" customWidth="1"/>
    <col min="6918" max="7169" width="9.109375" style="1206"/>
    <col min="7170" max="7170" width="25.44140625" style="1206" customWidth="1"/>
    <col min="7171" max="7171" width="20.88671875" style="1206" customWidth="1"/>
    <col min="7172" max="7172" width="17.33203125" style="1206" bestFit="1" customWidth="1"/>
    <col min="7173" max="7173" width="13.88671875" style="1206" bestFit="1" customWidth="1"/>
    <col min="7174" max="7425" width="9.109375" style="1206"/>
    <col min="7426" max="7426" width="25.44140625" style="1206" customWidth="1"/>
    <col min="7427" max="7427" width="20.88671875" style="1206" customWidth="1"/>
    <col min="7428" max="7428" width="17.33203125" style="1206" bestFit="1" customWidth="1"/>
    <col min="7429" max="7429" width="13.88671875" style="1206" bestFit="1" customWidth="1"/>
    <col min="7430" max="7681" width="9.109375" style="1206"/>
    <col min="7682" max="7682" width="25.44140625" style="1206" customWidth="1"/>
    <col min="7683" max="7683" width="20.88671875" style="1206" customWidth="1"/>
    <col min="7684" max="7684" width="17.33203125" style="1206" bestFit="1" customWidth="1"/>
    <col min="7685" max="7685" width="13.88671875" style="1206" bestFit="1" customWidth="1"/>
    <col min="7686" max="7937" width="9.109375" style="1206"/>
    <col min="7938" max="7938" width="25.44140625" style="1206" customWidth="1"/>
    <col min="7939" max="7939" width="20.88671875" style="1206" customWidth="1"/>
    <col min="7940" max="7940" width="17.33203125" style="1206" bestFit="1" customWidth="1"/>
    <col min="7941" max="7941" width="13.88671875" style="1206" bestFit="1" customWidth="1"/>
    <col min="7942" max="8193" width="9.109375" style="1206"/>
    <col min="8194" max="8194" width="25.44140625" style="1206" customWidth="1"/>
    <col min="8195" max="8195" width="20.88671875" style="1206" customWidth="1"/>
    <col min="8196" max="8196" width="17.33203125" style="1206" bestFit="1" customWidth="1"/>
    <col min="8197" max="8197" width="13.88671875" style="1206" bestFit="1" customWidth="1"/>
    <col min="8198" max="8449" width="9.109375" style="1206"/>
    <col min="8450" max="8450" width="25.44140625" style="1206" customWidth="1"/>
    <col min="8451" max="8451" width="20.88671875" style="1206" customWidth="1"/>
    <col min="8452" max="8452" width="17.33203125" style="1206" bestFit="1" customWidth="1"/>
    <col min="8453" max="8453" width="13.88671875" style="1206" bestFit="1" customWidth="1"/>
    <col min="8454" max="8705" width="9.109375" style="1206"/>
    <col min="8706" max="8706" width="25.44140625" style="1206" customWidth="1"/>
    <col min="8707" max="8707" width="20.88671875" style="1206" customWidth="1"/>
    <col min="8708" max="8708" width="17.33203125" style="1206" bestFit="1" customWidth="1"/>
    <col min="8709" max="8709" width="13.88671875" style="1206" bestFit="1" customWidth="1"/>
    <col min="8710" max="8961" width="9.109375" style="1206"/>
    <col min="8962" max="8962" width="25.44140625" style="1206" customWidth="1"/>
    <col min="8963" max="8963" width="20.88671875" style="1206" customWidth="1"/>
    <col min="8964" max="8964" width="17.33203125" style="1206" bestFit="1" customWidth="1"/>
    <col min="8965" max="8965" width="13.88671875" style="1206" bestFit="1" customWidth="1"/>
    <col min="8966" max="9217" width="9.109375" style="1206"/>
    <col min="9218" max="9218" width="25.44140625" style="1206" customWidth="1"/>
    <col min="9219" max="9219" width="20.88671875" style="1206" customWidth="1"/>
    <col min="9220" max="9220" width="17.33203125" style="1206" bestFit="1" customWidth="1"/>
    <col min="9221" max="9221" width="13.88671875" style="1206" bestFit="1" customWidth="1"/>
    <col min="9222" max="9473" width="9.109375" style="1206"/>
    <col min="9474" max="9474" width="25.44140625" style="1206" customWidth="1"/>
    <col min="9475" max="9475" width="20.88671875" style="1206" customWidth="1"/>
    <col min="9476" max="9476" width="17.33203125" style="1206" bestFit="1" customWidth="1"/>
    <col min="9477" max="9477" width="13.88671875" style="1206" bestFit="1" customWidth="1"/>
    <col min="9478" max="9729" width="9.109375" style="1206"/>
    <col min="9730" max="9730" width="25.44140625" style="1206" customWidth="1"/>
    <col min="9731" max="9731" width="20.88671875" style="1206" customWidth="1"/>
    <col min="9732" max="9732" width="17.33203125" style="1206" bestFit="1" customWidth="1"/>
    <col min="9733" max="9733" width="13.88671875" style="1206" bestFit="1" customWidth="1"/>
    <col min="9734" max="9985" width="9.109375" style="1206"/>
    <col min="9986" max="9986" width="25.44140625" style="1206" customWidth="1"/>
    <col min="9987" max="9987" width="20.88671875" style="1206" customWidth="1"/>
    <col min="9988" max="9988" width="17.33203125" style="1206" bestFit="1" customWidth="1"/>
    <col min="9989" max="9989" width="13.88671875" style="1206" bestFit="1" customWidth="1"/>
    <col min="9990" max="10241" width="9.109375" style="1206"/>
    <col min="10242" max="10242" width="25.44140625" style="1206" customWidth="1"/>
    <col min="10243" max="10243" width="20.88671875" style="1206" customWidth="1"/>
    <col min="10244" max="10244" width="17.33203125" style="1206" bestFit="1" customWidth="1"/>
    <col min="10245" max="10245" width="13.88671875" style="1206" bestFit="1" customWidth="1"/>
    <col min="10246" max="10497" width="9.109375" style="1206"/>
    <col min="10498" max="10498" width="25.44140625" style="1206" customWidth="1"/>
    <col min="10499" max="10499" width="20.88671875" style="1206" customWidth="1"/>
    <col min="10500" max="10500" width="17.33203125" style="1206" bestFit="1" customWidth="1"/>
    <col min="10501" max="10501" width="13.88671875" style="1206" bestFit="1" customWidth="1"/>
    <col min="10502" max="10753" width="9.109375" style="1206"/>
    <col min="10754" max="10754" width="25.44140625" style="1206" customWidth="1"/>
    <col min="10755" max="10755" width="20.88671875" style="1206" customWidth="1"/>
    <col min="10756" max="10756" width="17.33203125" style="1206" bestFit="1" customWidth="1"/>
    <col min="10757" max="10757" width="13.88671875" style="1206" bestFit="1" customWidth="1"/>
    <col min="10758" max="11009" width="9.109375" style="1206"/>
    <col min="11010" max="11010" width="25.44140625" style="1206" customWidth="1"/>
    <col min="11011" max="11011" width="20.88671875" style="1206" customWidth="1"/>
    <col min="11012" max="11012" width="17.33203125" style="1206" bestFit="1" customWidth="1"/>
    <col min="11013" max="11013" width="13.88671875" style="1206" bestFit="1" customWidth="1"/>
    <col min="11014" max="11265" width="9.109375" style="1206"/>
    <col min="11266" max="11266" width="25.44140625" style="1206" customWidth="1"/>
    <col min="11267" max="11267" width="20.88671875" style="1206" customWidth="1"/>
    <col min="11268" max="11268" width="17.33203125" style="1206" bestFit="1" customWidth="1"/>
    <col min="11269" max="11269" width="13.88671875" style="1206" bestFit="1" customWidth="1"/>
    <col min="11270" max="11521" width="9.109375" style="1206"/>
    <col min="11522" max="11522" width="25.44140625" style="1206" customWidth="1"/>
    <col min="11523" max="11523" width="20.88671875" style="1206" customWidth="1"/>
    <col min="11524" max="11524" width="17.33203125" style="1206" bestFit="1" customWidth="1"/>
    <col min="11525" max="11525" width="13.88671875" style="1206" bestFit="1" customWidth="1"/>
    <col min="11526" max="11777" width="9.109375" style="1206"/>
    <col min="11778" max="11778" width="25.44140625" style="1206" customWidth="1"/>
    <col min="11779" max="11779" width="20.88671875" style="1206" customWidth="1"/>
    <col min="11780" max="11780" width="17.33203125" style="1206" bestFit="1" customWidth="1"/>
    <col min="11781" max="11781" width="13.88671875" style="1206" bestFit="1" customWidth="1"/>
    <col min="11782" max="12033" width="9.109375" style="1206"/>
    <col min="12034" max="12034" width="25.44140625" style="1206" customWidth="1"/>
    <col min="12035" max="12035" width="20.88671875" style="1206" customWidth="1"/>
    <col min="12036" max="12036" width="17.33203125" style="1206" bestFit="1" customWidth="1"/>
    <col min="12037" max="12037" width="13.88671875" style="1206" bestFit="1" customWidth="1"/>
    <col min="12038" max="12289" width="9.109375" style="1206"/>
    <col min="12290" max="12290" width="25.44140625" style="1206" customWidth="1"/>
    <col min="12291" max="12291" width="20.88671875" style="1206" customWidth="1"/>
    <col min="12292" max="12292" width="17.33203125" style="1206" bestFit="1" customWidth="1"/>
    <col min="12293" max="12293" width="13.88671875" style="1206" bestFit="1" customWidth="1"/>
    <col min="12294" max="12545" width="9.109375" style="1206"/>
    <col min="12546" max="12546" width="25.44140625" style="1206" customWidth="1"/>
    <col min="12547" max="12547" width="20.88671875" style="1206" customWidth="1"/>
    <col min="12548" max="12548" width="17.33203125" style="1206" bestFit="1" customWidth="1"/>
    <col min="12549" max="12549" width="13.88671875" style="1206" bestFit="1" customWidth="1"/>
    <col min="12550" max="12801" width="9.109375" style="1206"/>
    <col min="12802" max="12802" width="25.44140625" style="1206" customWidth="1"/>
    <col min="12803" max="12803" width="20.88671875" style="1206" customWidth="1"/>
    <col min="12804" max="12804" width="17.33203125" style="1206" bestFit="1" customWidth="1"/>
    <col min="12805" max="12805" width="13.88671875" style="1206" bestFit="1" customWidth="1"/>
    <col min="12806" max="13057" width="9.109375" style="1206"/>
    <col min="13058" max="13058" width="25.44140625" style="1206" customWidth="1"/>
    <col min="13059" max="13059" width="20.88671875" style="1206" customWidth="1"/>
    <col min="13060" max="13060" width="17.33203125" style="1206" bestFit="1" customWidth="1"/>
    <col min="13061" max="13061" width="13.88671875" style="1206" bestFit="1" customWidth="1"/>
    <col min="13062" max="13313" width="9.109375" style="1206"/>
    <col min="13314" max="13314" width="25.44140625" style="1206" customWidth="1"/>
    <col min="13315" max="13315" width="20.88671875" style="1206" customWidth="1"/>
    <col min="13316" max="13316" width="17.33203125" style="1206" bestFit="1" customWidth="1"/>
    <col min="13317" max="13317" width="13.88671875" style="1206" bestFit="1" customWidth="1"/>
    <col min="13318" max="13569" width="9.109375" style="1206"/>
    <col min="13570" max="13570" width="25.44140625" style="1206" customWidth="1"/>
    <col min="13571" max="13571" width="20.88671875" style="1206" customWidth="1"/>
    <col min="13572" max="13572" width="17.33203125" style="1206" bestFit="1" customWidth="1"/>
    <col min="13573" max="13573" width="13.88671875" style="1206" bestFit="1" customWidth="1"/>
    <col min="13574" max="13825" width="9.109375" style="1206"/>
    <col min="13826" max="13826" width="25.44140625" style="1206" customWidth="1"/>
    <col min="13827" max="13827" width="20.88671875" style="1206" customWidth="1"/>
    <col min="13828" max="13828" width="17.33203125" style="1206" bestFit="1" customWidth="1"/>
    <col min="13829" max="13829" width="13.88671875" style="1206" bestFit="1" customWidth="1"/>
    <col min="13830" max="14081" width="9.109375" style="1206"/>
    <col min="14082" max="14082" width="25.44140625" style="1206" customWidth="1"/>
    <col min="14083" max="14083" width="20.88671875" style="1206" customWidth="1"/>
    <col min="14084" max="14084" width="17.33203125" style="1206" bestFit="1" customWidth="1"/>
    <col min="14085" max="14085" width="13.88671875" style="1206" bestFit="1" customWidth="1"/>
    <col min="14086" max="14337" width="9.109375" style="1206"/>
    <col min="14338" max="14338" width="25.44140625" style="1206" customWidth="1"/>
    <col min="14339" max="14339" width="20.88671875" style="1206" customWidth="1"/>
    <col min="14340" max="14340" width="17.33203125" style="1206" bestFit="1" customWidth="1"/>
    <col min="14341" max="14341" width="13.88671875" style="1206" bestFit="1" customWidth="1"/>
    <col min="14342" max="14593" width="9.109375" style="1206"/>
    <col min="14594" max="14594" width="25.44140625" style="1206" customWidth="1"/>
    <col min="14595" max="14595" width="20.88671875" style="1206" customWidth="1"/>
    <col min="14596" max="14596" width="17.33203125" style="1206" bestFit="1" customWidth="1"/>
    <col min="14597" max="14597" width="13.88671875" style="1206" bestFit="1" customWidth="1"/>
    <col min="14598" max="14849" width="9.109375" style="1206"/>
    <col min="14850" max="14850" width="25.44140625" style="1206" customWidth="1"/>
    <col min="14851" max="14851" width="20.88671875" style="1206" customWidth="1"/>
    <col min="14852" max="14852" width="17.33203125" style="1206" bestFit="1" customWidth="1"/>
    <col min="14853" max="14853" width="13.88671875" style="1206" bestFit="1" customWidth="1"/>
    <col min="14854" max="15105" width="9.109375" style="1206"/>
    <col min="15106" max="15106" width="25.44140625" style="1206" customWidth="1"/>
    <col min="15107" max="15107" width="20.88671875" style="1206" customWidth="1"/>
    <col min="15108" max="15108" width="17.33203125" style="1206" bestFit="1" customWidth="1"/>
    <col min="15109" max="15109" width="13.88671875" style="1206" bestFit="1" customWidth="1"/>
    <col min="15110" max="15361" width="9.109375" style="1206"/>
    <col min="15362" max="15362" width="25.44140625" style="1206" customWidth="1"/>
    <col min="15363" max="15363" width="20.88671875" style="1206" customWidth="1"/>
    <col min="15364" max="15364" width="17.33203125" style="1206" bestFit="1" customWidth="1"/>
    <col min="15365" max="15365" width="13.88671875" style="1206" bestFit="1" customWidth="1"/>
    <col min="15366" max="15617" width="9.109375" style="1206"/>
    <col min="15618" max="15618" width="25.44140625" style="1206" customWidth="1"/>
    <col min="15619" max="15619" width="20.88671875" style="1206" customWidth="1"/>
    <col min="15620" max="15620" width="17.33203125" style="1206" bestFit="1" customWidth="1"/>
    <col min="15621" max="15621" width="13.88671875" style="1206" bestFit="1" customWidth="1"/>
    <col min="15622" max="15873" width="9.109375" style="1206"/>
    <col min="15874" max="15874" width="25.44140625" style="1206" customWidth="1"/>
    <col min="15875" max="15875" width="20.88671875" style="1206" customWidth="1"/>
    <col min="15876" max="15876" width="17.33203125" style="1206" bestFit="1" customWidth="1"/>
    <col min="15877" max="15877" width="13.88671875" style="1206" bestFit="1" customWidth="1"/>
    <col min="15878" max="16129" width="9.109375" style="1206"/>
    <col min="16130" max="16130" width="25.44140625" style="1206" customWidth="1"/>
    <col min="16131" max="16131" width="20.88671875" style="1206" customWidth="1"/>
    <col min="16132" max="16132" width="17.33203125" style="1206" bestFit="1" customWidth="1"/>
    <col min="16133" max="16133" width="13.88671875" style="1206" bestFit="1" customWidth="1"/>
    <col min="16134" max="16384" width="9.109375" style="1206"/>
  </cols>
  <sheetData>
    <row r="4" spans="1:8" x14ac:dyDescent="0.25">
      <c r="A4" s="1581" t="s">
        <v>1056</v>
      </c>
      <c r="B4" s="1581"/>
      <c r="C4" s="1581"/>
      <c r="D4" s="1581"/>
      <c r="E4" s="1581"/>
    </row>
    <row r="5" spans="1:8" x14ac:dyDescent="0.25">
      <c r="A5" s="1581" t="s">
        <v>1057</v>
      </c>
      <c r="B5" s="1581"/>
      <c r="C5" s="1581"/>
      <c r="D5" s="1581"/>
      <c r="E5" s="1581"/>
    </row>
    <row r="6" spans="1:8" ht="13.8" thickBot="1" x14ac:dyDescent="0.3"/>
    <row r="7" spans="1:8" x14ac:dyDescent="0.25">
      <c r="A7" s="1207" t="s">
        <v>327</v>
      </c>
      <c r="B7" s="1208" t="s">
        <v>1058</v>
      </c>
      <c r="C7" s="1208" t="s">
        <v>1059</v>
      </c>
      <c r="D7" s="1208" t="s">
        <v>1060</v>
      </c>
      <c r="E7" s="1209" t="s">
        <v>1061</v>
      </c>
    </row>
    <row r="8" spans="1:8" x14ac:dyDescent="0.25">
      <c r="A8" s="1210"/>
      <c r="B8" s="1211"/>
      <c r="C8" s="1212" t="s">
        <v>1062</v>
      </c>
      <c r="D8" s="1213" t="s">
        <v>1063</v>
      </c>
      <c r="E8" s="1214" t="s">
        <v>1064</v>
      </c>
    </row>
    <row r="9" spans="1:8" x14ac:dyDescent="0.25">
      <c r="A9" s="1210"/>
      <c r="B9" s="1211"/>
      <c r="C9" s="1211"/>
      <c r="D9" s="1213" t="s">
        <v>1065</v>
      </c>
      <c r="E9" s="1214" t="s">
        <v>1066</v>
      </c>
    </row>
    <row r="10" spans="1:8" ht="13.8" thickBot="1" x14ac:dyDescent="0.3">
      <c r="A10" s="1215" t="s">
        <v>1067</v>
      </c>
      <c r="B10" s="1216" t="s">
        <v>706</v>
      </c>
      <c r="C10" s="1216" t="s">
        <v>707</v>
      </c>
      <c r="D10" s="1216" t="s">
        <v>1068</v>
      </c>
      <c r="E10" s="1217" t="s">
        <v>1069</v>
      </c>
    </row>
    <row r="11" spans="1:8" ht="65.25" customHeight="1" x14ac:dyDescent="0.25">
      <c r="A11" s="1218" t="s">
        <v>706</v>
      </c>
      <c r="B11" s="1219" t="s">
        <v>1070</v>
      </c>
      <c r="C11" s="1220"/>
      <c r="D11" s="1221">
        <f>SUM(D12:D13)</f>
        <v>36427309</v>
      </c>
      <c r="E11" s="1222">
        <f>SUM(E12:E12)</f>
        <v>0</v>
      </c>
    </row>
    <row r="12" spans="1:8" x14ac:dyDescent="0.25">
      <c r="A12" s="1223"/>
      <c r="B12" s="1224"/>
      <c r="C12" s="1224" t="s">
        <v>1071</v>
      </c>
      <c r="D12" s="1225">
        <f>'[3]2.a tábla ÚJ '!AG27</f>
        <v>1017000</v>
      </c>
      <c r="E12" s="1226">
        <v>0</v>
      </c>
    </row>
    <row r="13" spans="1:8" x14ac:dyDescent="0.25">
      <c r="A13" s="1223"/>
      <c r="B13" s="1224"/>
      <c r="C13" s="1224" t="s">
        <v>1072</v>
      </c>
      <c r="D13" s="1225">
        <f>'[3]2.sz.tábla   (2)'!D49</f>
        <v>35410309</v>
      </c>
      <c r="E13" s="1226">
        <v>0</v>
      </c>
    </row>
    <row r="14" spans="1:8" ht="69" customHeight="1" x14ac:dyDescent="0.25">
      <c r="A14" s="1227" t="s">
        <v>707</v>
      </c>
      <c r="B14" s="1228" t="s">
        <v>1073</v>
      </c>
      <c r="C14" s="1224"/>
      <c r="D14" s="1225"/>
      <c r="E14" s="1226">
        <v>0</v>
      </c>
    </row>
    <row r="15" spans="1:8" ht="55.5" customHeight="1" x14ac:dyDescent="0.25">
      <c r="A15" s="1227"/>
      <c r="B15" s="1229" t="s">
        <v>1074</v>
      </c>
      <c r="C15" s="1230"/>
      <c r="D15" s="1231">
        <f>SUM(D16:D21)</f>
        <v>2095519</v>
      </c>
      <c r="E15" s="1231">
        <f>SUM(E16:E22)</f>
        <v>516519</v>
      </c>
      <c r="F15" s="1231">
        <f>SUM(F16:F21)</f>
        <v>1589000</v>
      </c>
    </row>
    <row r="16" spans="1:8" x14ac:dyDescent="0.25">
      <c r="A16" s="1227"/>
      <c r="B16" s="1232"/>
      <c r="C16" s="1233" t="s">
        <v>1075</v>
      </c>
      <c r="D16" s="1225">
        <f>F16+E16</f>
        <v>608244</v>
      </c>
      <c r="E16" s="1226">
        <v>198244</v>
      </c>
      <c r="F16" s="1234">
        <v>410000</v>
      </c>
      <c r="H16" s="1235"/>
    </row>
    <row r="17" spans="1:8" x14ac:dyDescent="0.25">
      <c r="A17" s="1227"/>
      <c r="B17" s="1232"/>
      <c r="C17" s="1233" t="s">
        <v>1076</v>
      </c>
      <c r="D17" s="1225">
        <f t="shared" ref="D17:D23" si="0">F17+E17</f>
        <v>797469</v>
      </c>
      <c r="E17" s="1226">
        <v>35469</v>
      </c>
      <c r="F17" s="1234">
        <v>762000</v>
      </c>
      <c r="H17" s="1235"/>
    </row>
    <row r="18" spans="1:8" ht="16.5" customHeight="1" x14ac:dyDescent="0.25">
      <c r="A18" s="1227"/>
      <c r="B18" s="1232"/>
      <c r="C18" s="1236" t="s">
        <v>1077</v>
      </c>
      <c r="D18" s="1225">
        <f t="shared" si="0"/>
        <v>450668</v>
      </c>
      <c r="E18" s="1226">
        <v>115668</v>
      </c>
      <c r="F18" s="1234">
        <v>335000</v>
      </c>
      <c r="H18" s="1235"/>
    </row>
    <row r="19" spans="1:8" ht="16.5" customHeight="1" x14ac:dyDescent="0.25">
      <c r="A19" s="1227"/>
      <c r="B19" s="1232"/>
      <c r="C19" s="1236" t="s">
        <v>1078</v>
      </c>
      <c r="D19" s="1225">
        <f t="shared" si="0"/>
        <v>32181</v>
      </c>
      <c r="E19" s="1226">
        <v>2181</v>
      </c>
      <c r="F19" s="1234">
        <v>30000</v>
      </c>
      <c r="H19" s="1235"/>
    </row>
    <row r="20" spans="1:8" x14ac:dyDescent="0.25">
      <c r="A20" s="1227"/>
      <c r="B20" s="1232"/>
      <c r="C20" s="1233" t="s">
        <v>1079</v>
      </c>
      <c r="D20" s="1225">
        <f t="shared" si="0"/>
        <v>68580</v>
      </c>
      <c r="E20" s="1226">
        <v>16580</v>
      </c>
      <c r="F20" s="1237">
        <v>52000</v>
      </c>
      <c r="H20" s="1235"/>
    </row>
    <row r="21" spans="1:8" x14ac:dyDescent="0.25">
      <c r="A21" s="1227"/>
      <c r="B21" s="1232"/>
      <c r="C21" s="1233" t="s">
        <v>1080</v>
      </c>
      <c r="D21" s="1225">
        <f t="shared" si="0"/>
        <v>138377</v>
      </c>
      <c r="E21" s="1226">
        <v>138377</v>
      </c>
      <c r="F21" s="1237">
        <v>0</v>
      </c>
    </row>
    <row r="22" spans="1:8" x14ac:dyDescent="0.25">
      <c r="A22" s="1227"/>
      <c r="B22" s="1232"/>
      <c r="C22" s="1233" t="s">
        <v>1081</v>
      </c>
      <c r="D22" s="1225">
        <f t="shared" si="0"/>
        <v>12500</v>
      </c>
      <c r="E22" s="1226">
        <v>10000</v>
      </c>
      <c r="F22" s="1237">
        <v>2500</v>
      </c>
    </row>
    <row r="23" spans="1:8" ht="66" x14ac:dyDescent="0.25">
      <c r="A23" s="1227" t="s">
        <v>1068</v>
      </c>
      <c r="B23" s="1228" t="s">
        <v>1082</v>
      </c>
      <c r="C23" s="1224"/>
      <c r="D23" s="1225">
        <f t="shared" si="0"/>
        <v>363139</v>
      </c>
      <c r="E23" s="1226">
        <v>11599</v>
      </c>
      <c r="F23" s="1237">
        <v>351540</v>
      </c>
      <c r="H23" s="1235">
        <f>'[3]2.sz.tábla   (2)'!M44</f>
        <v>351539893</v>
      </c>
    </row>
    <row r="24" spans="1:8" ht="40.200000000000003" thickBot="1" x14ac:dyDescent="0.3">
      <c r="A24" s="1238" t="s">
        <v>1069</v>
      </c>
      <c r="B24" s="1239" t="s">
        <v>1083</v>
      </c>
      <c r="C24" s="1240"/>
      <c r="D24" s="1241">
        <f>F24+E24+G24</f>
        <v>70419</v>
      </c>
      <c r="E24" s="1242">
        <v>0</v>
      </c>
      <c r="F24" s="1237">
        <v>70419</v>
      </c>
      <c r="H24" s="1235">
        <f>'[3]2.sz.tábla   (2)'!M70+'[3]2.sz.tábla   (2)'!M66</f>
        <v>70418959</v>
      </c>
    </row>
    <row r="25" spans="1:8" ht="13.8" thickBot="1" x14ac:dyDescent="0.3">
      <c r="A25" s="1243"/>
      <c r="B25" s="1244" t="s">
        <v>1084</v>
      </c>
      <c r="C25" s="1244"/>
      <c r="D25" s="1245">
        <f>D24+D23+D14+D15+D11</f>
        <v>38956386</v>
      </c>
      <c r="E25" s="1246">
        <f>E24+E23+E14+E15+E11</f>
        <v>528118</v>
      </c>
    </row>
  </sheetData>
  <mergeCells count="2">
    <mergeCell ref="A4:E4"/>
    <mergeCell ref="A5:E5"/>
  </mergeCells>
  <pageMargins left="0.75" right="0.75" top="1" bottom="1" header="0.5" footer="0.5"/>
  <pageSetup paperSize="9" scale="91" orientation="portrait" r:id="rId1"/>
  <headerFooter alignWithMargins="0">
    <oddHeader xml:space="preserve">&amp;C12. melléklet
az önkormányzat 2017. évi költségvetéséről szóló 8/2017. (II.24.) önkormányzati rendeletéhez&amp;R
&amp;P. oldal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119"/>
  <sheetViews>
    <sheetView view="pageLayout" zoomScaleNormal="100" workbookViewId="0">
      <selection activeCell="B3" sqref="B3"/>
    </sheetView>
  </sheetViews>
  <sheetFormatPr defaultColWidth="9.109375" defaultRowHeight="14.4" x14ac:dyDescent="0.3"/>
  <cols>
    <col min="1" max="1" width="15.109375" style="982" customWidth="1"/>
    <col min="2" max="2" width="14.6640625" style="970" customWidth="1"/>
    <col min="3" max="3" width="13.88671875" style="970" customWidth="1"/>
    <col min="4" max="4" width="14.5546875" style="970" customWidth="1"/>
    <col min="5" max="5" width="13.109375" style="982" customWidth="1"/>
    <col min="6" max="6" width="14.44140625" style="970" customWidth="1"/>
    <col min="7" max="16384" width="9.109375" style="970"/>
  </cols>
  <sheetData>
    <row r="1" spans="1:7" x14ac:dyDescent="0.3">
      <c r="A1" s="969"/>
      <c r="B1" s="484"/>
      <c r="C1" s="483"/>
      <c r="D1" s="483"/>
      <c r="E1" s="969"/>
      <c r="F1" s="483"/>
    </row>
    <row r="2" spans="1:7" ht="32.25" customHeight="1" x14ac:dyDescent="0.3">
      <c r="A2" s="1582" t="s">
        <v>946</v>
      </c>
      <c r="B2" s="1582"/>
      <c r="C2" s="1582"/>
      <c r="D2" s="1582"/>
      <c r="E2" s="1582"/>
      <c r="F2" s="1582"/>
    </row>
    <row r="3" spans="1:7" x14ac:dyDescent="0.3">
      <c r="A3" s="969"/>
      <c r="B3" s="486" t="s">
        <v>179</v>
      </c>
      <c r="C3" s="487"/>
      <c r="D3" s="488"/>
      <c r="E3" s="971"/>
      <c r="F3" s="488"/>
    </row>
    <row r="4" spans="1:7" ht="28.2" x14ac:dyDescent="0.3">
      <c r="A4" s="972" t="s">
        <v>180</v>
      </c>
      <c r="B4" s="1584" t="s">
        <v>920</v>
      </c>
      <c r="C4" s="1585"/>
      <c r="D4" s="1585"/>
      <c r="E4" s="1585"/>
      <c r="F4" s="1585"/>
    </row>
    <row r="5" spans="1:7" x14ac:dyDescent="0.3">
      <c r="A5" s="973"/>
      <c r="B5" s="489"/>
      <c r="C5" s="974"/>
      <c r="D5" s="974"/>
      <c r="E5" s="975"/>
      <c r="F5" s="974"/>
    </row>
    <row r="6" spans="1:7" x14ac:dyDescent="0.3">
      <c r="A6" s="973"/>
      <c r="B6" s="489"/>
      <c r="C6" s="974"/>
      <c r="D6" s="974"/>
      <c r="E6" s="975"/>
      <c r="F6" s="974"/>
    </row>
    <row r="7" spans="1:7" ht="28.2" x14ac:dyDescent="0.3">
      <c r="A7" s="976" t="s">
        <v>181</v>
      </c>
      <c r="B7" s="490" t="s">
        <v>921</v>
      </c>
      <c r="C7" s="491" t="s">
        <v>922</v>
      </c>
      <c r="D7" s="491" t="s">
        <v>923</v>
      </c>
      <c r="E7" s="977" t="s">
        <v>182</v>
      </c>
      <c r="F7" s="491" t="s">
        <v>325</v>
      </c>
    </row>
    <row r="8" spans="1:7" x14ac:dyDescent="0.3">
      <c r="A8" s="978" t="s">
        <v>183</v>
      </c>
      <c r="B8" s="492">
        <v>100982802</v>
      </c>
      <c r="C8" s="492"/>
      <c r="D8" s="492"/>
      <c r="E8" s="979"/>
      <c r="F8" s="492">
        <f>SUM(B8:E8)</f>
        <v>100982802</v>
      </c>
    </row>
    <row r="9" spans="1:7" x14ac:dyDescent="0.3">
      <c r="A9" s="978" t="s">
        <v>184</v>
      </c>
      <c r="B9" s="492"/>
      <c r="C9" s="492"/>
      <c r="D9" s="492"/>
      <c r="E9" s="979"/>
      <c r="F9" s="492">
        <f t="shared" ref="F9:F10" si="0">SUM(B9:E9)</f>
        <v>0</v>
      </c>
    </row>
    <row r="10" spans="1:7" x14ac:dyDescent="0.3">
      <c r="A10" s="978" t="s">
        <v>185</v>
      </c>
      <c r="B10" s="492">
        <v>112339784</v>
      </c>
      <c r="C10" s="492"/>
      <c r="D10" s="492"/>
      <c r="E10" s="979"/>
      <c r="F10" s="492">
        <f t="shared" si="0"/>
        <v>112339784</v>
      </c>
    </row>
    <row r="11" spans="1:7" x14ac:dyDescent="0.3">
      <c r="A11" s="980" t="s">
        <v>325</v>
      </c>
      <c r="B11" s="493">
        <f>SUM(B8:B10)</f>
        <v>213322586</v>
      </c>
      <c r="C11" s="493">
        <f t="shared" ref="C11:F11" si="1">SUM(C8:C10)</f>
        <v>0</v>
      </c>
      <c r="D11" s="493">
        <f t="shared" si="1"/>
        <v>0</v>
      </c>
      <c r="E11" s="493">
        <f t="shared" si="1"/>
        <v>0</v>
      </c>
      <c r="F11" s="994">
        <f t="shared" si="1"/>
        <v>213322586</v>
      </c>
      <c r="G11" s="993"/>
    </row>
    <row r="12" spans="1:7" x14ac:dyDescent="0.3">
      <c r="A12" s="981"/>
      <c r="B12" s="494"/>
      <c r="C12" s="494"/>
      <c r="D12" s="494"/>
      <c r="E12" s="981"/>
      <c r="F12" s="494"/>
    </row>
    <row r="13" spans="1:7" ht="28.2" x14ac:dyDescent="0.3">
      <c r="A13" s="976" t="s">
        <v>186</v>
      </c>
      <c r="B13" s="490" t="s">
        <v>921</v>
      </c>
      <c r="C13" s="491" t="s">
        <v>922</v>
      </c>
      <c r="D13" s="491" t="s">
        <v>923</v>
      </c>
      <c r="E13" s="977" t="s">
        <v>182</v>
      </c>
      <c r="F13" s="491" t="s">
        <v>325</v>
      </c>
    </row>
    <row r="14" spans="1:7" ht="28.2" x14ac:dyDescent="0.3">
      <c r="A14" s="978" t="s">
        <v>187</v>
      </c>
      <c r="B14" s="492">
        <v>0</v>
      </c>
      <c r="C14" s="492"/>
      <c r="D14" s="492"/>
      <c r="E14" s="979"/>
      <c r="F14" s="492">
        <v>0</v>
      </c>
    </row>
    <row r="15" spans="1:7" ht="42" x14ac:dyDescent="0.3">
      <c r="A15" s="978" t="s">
        <v>188</v>
      </c>
      <c r="B15" s="492"/>
      <c r="C15" s="492"/>
      <c r="D15" s="492"/>
      <c r="E15" s="979"/>
      <c r="F15" s="492">
        <v>0</v>
      </c>
    </row>
    <row r="16" spans="1:7" x14ac:dyDescent="0.3">
      <c r="A16" s="978" t="s">
        <v>189</v>
      </c>
      <c r="B16" s="492">
        <v>16357600</v>
      </c>
      <c r="C16" s="492"/>
      <c r="D16" s="492"/>
      <c r="E16" s="979"/>
      <c r="F16" s="492">
        <f>SUM(B16:E16)</f>
        <v>16357600</v>
      </c>
    </row>
    <row r="17" spans="1:6" x14ac:dyDescent="0.3">
      <c r="A17" s="978" t="s">
        <v>190</v>
      </c>
      <c r="B17" s="492"/>
      <c r="C17" s="492"/>
      <c r="D17" s="492"/>
      <c r="E17" s="979"/>
      <c r="F17" s="492">
        <f t="shared" ref="F17:F19" si="2">SUM(B17:E17)</f>
        <v>0</v>
      </c>
    </row>
    <row r="18" spans="1:6" x14ac:dyDescent="0.3">
      <c r="A18" s="978" t="s">
        <v>191</v>
      </c>
      <c r="B18" s="492">
        <v>196964986</v>
      </c>
      <c r="C18" s="492"/>
      <c r="D18" s="492"/>
      <c r="E18" s="979"/>
      <c r="F18" s="492">
        <f t="shared" si="2"/>
        <v>196964986</v>
      </c>
    </row>
    <row r="19" spans="1:6" ht="28.2" x14ac:dyDescent="0.3">
      <c r="A19" s="978" t="s">
        <v>192</v>
      </c>
      <c r="B19" s="492"/>
      <c r="C19" s="492"/>
      <c r="D19" s="492"/>
      <c r="E19" s="979"/>
      <c r="F19" s="492">
        <f t="shared" si="2"/>
        <v>0</v>
      </c>
    </row>
    <row r="20" spans="1:6" x14ac:dyDescent="0.3">
      <c r="A20" s="980" t="s">
        <v>325</v>
      </c>
      <c r="B20" s="493">
        <f>SUM(B14:B19)</f>
        <v>213322586</v>
      </c>
      <c r="C20" s="493">
        <f t="shared" ref="C20:F20" si="3">SUM(C14:C19)</f>
        <v>0</v>
      </c>
      <c r="D20" s="493">
        <f t="shared" si="3"/>
        <v>0</v>
      </c>
      <c r="E20" s="493">
        <f t="shared" si="3"/>
        <v>0</v>
      </c>
      <c r="F20" s="493">
        <f t="shared" si="3"/>
        <v>213322586</v>
      </c>
    </row>
    <row r="21" spans="1:6" x14ac:dyDescent="0.3">
      <c r="A21" s="971"/>
      <c r="B21" s="495"/>
      <c r="C21" s="488"/>
      <c r="D21" s="488"/>
      <c r="E21" s="971"/>
      <c r="F21" s="488"/>
    </row>
    <row r="23" spans="1:6" x14ac:dyDescent="0.3">
      <c r="A23" s="969"/>
      <c r="B23" s="486" t="s">
        <v>924</v>
      </c>
      <c r="C23" s="487"/>
      <c r="D23" s="488"/>
      <c r="E23" s="971"/>
      <c r="F23" s="488"/>
    </row>
    <row r="24" spans="1:6" ht="28.2" x14ac:dyDescent="0.3">
      <c r="A24" s="972" t="s">
        <v>180</v>
      </c>
      <c r="B24" s="1583" t="s">
        <v>925</v>
      </c>
      <c r="C24" s="1583"/>
      <c r="D24" s="1583"/>
      <c r="E24" s="1583"/>
      <c r="F24" s="1583"/>
    </row>
    <row r="25" spans="1:6" x14ac:dyDescent="0.3">
      <c r="A25" s="973"/>
      <c r="B25" s="489"/>
      <c r="C25" s="974"/>
      <c r="D25" s="974"/>
      <c r="E25" s="975"/>
      <c r="F25" s="974"/>
    </row>
    <row r="26" spans="1:6" x14ac:dyDescent="0.3">
      <c r="A26" s="973"/>
      <c r="B26" s="489"/>
      <c r="C26" s="974"/>
      <c r="D26" s="974"/>
      <c r="E26" s="975"/>
      <c r="F26" s="974"/>
    </row>
    <row r="27" spans="1:6" ht="28.2" x14ac:dyDescent="0.3">
      <c r="A27" s="976" t="s">
        <v>181</v>
      </c>
      <c r="B27" s="490" t="s">
        <v>921</v>
      </c>
      <c r="C27" s="491" t="s">
        <v>922</v>
      </c>
      <c r="D27" s="491" t="s">
        <v>923</v>
      </c>
      <c r="E27" s="977" t="s">
        <v>182</v>
      </c>
      <c r="F27" s="491" t="s">
        <v>325</v>
      </c>
    </row>
    <row r="28" spans="1:6" x14ac:dyDescent="0.3">
      <c r="A28" s="978" t="s">
        <v>183</v>
      </c>
      <c r="B28" s="492">
        <v>170036339</v>
      </c>
      <c r="C28" s="492"/>
      <c r="D28" s="492"/>
      <c r="E28" s="979"/>
      <c r="F28" s="492">
        <f>SUM(B28:E28)</f>
        <v>170036339</v>
      </c>
    </row>
    <row r="29" spans="1:6" x14ac:dyDescent="0.3">
      <c r="A29" s="978" t="s">
        <v>184</v>
      </c>
      <c r="B29" s="492"/>
      <c r="C29" s="492"/>
      <c r="D29" s="492"/>
      <c r="E29" s="979"/>
      <c r="F29" s="492">
        <f t="shared" ref="F29:F30" si="4">SUM(B29:E29)</f>
        <v>0</v>
      </c>
    </row>
    <row r="30" spans="1:6" x14ac:dyDescent="0.3">
      <c r="A30" s="978" t="s">
        <v>185</v>
      </c>
      <c r="B30" s="492">
        <v>0</v>
      </c>
      <c r="C30" s="492"/>
      <c r="D30" s="492"/>
      <c r="E30" s="979"/>
      <c r="F30" s="492">
        <f t="shared" si="4"/>
        <v>0</v>
      </c>
    </row>
    <row r="31" spans="1:6" x14ac:dyDescent="0.3">
      <c r="A31" s="980" t="s">
        <v>325</v>
      </c>
      <c r="B31" s="493">
        <f>SUM(B28:B30)</f>
        <v>170036339</v>
      </c>
      <c r="C31" s="493">
        <f t="shared" ref="C31:F31" si="5">SUM(C28:C30)</f>
        <v>0</v>
      </c>
      <c r="D31" s="493">
        <f t="shared" si="5"/>
        <v>0</v>
      </c>
      <c r="E31" s="493">
        <f t="shared" si="5"/>
        <v>0</v>
      </c>
      <c r="F31" s="493">
        <f t="shared" si="5"/>
        <v>170036339</v>
      </c>
    </row>
    <row r="32" spans="1:6" x14ac:dyDescent="0.3">
      <c r="A32" s="981"/>
      <c r="B32" s="494"/>
      <c r="C32" s="494"/>
      <c r="D32" s="494"/>
      <c r="E32" s="981"/>
      <c r="F32" s="494"/>
    </row>
    <row r="33" spans="1:6" ht="28.2" x14ac:dyDescent="0.3">
      <c r="A33" s="976" t="s">
        <v>186</v>
      </c>
      <c r="B33" s="490" t="s">
        <v>921</v>
      </c>
      <c r="C33" s="491" t="s">
        <v>922</v>
      </c>
      <c r="D33" s="491" t="s">
        <v>923</v>
      </c>
      <c r="E33" s="977" t="s">
        <v>182</v>
      </c>
      <c r="F33" s="491" t="s">
        <v>325</v>
      </c>
    </row>
    <row r="34" spans="1:6" ht="28.2" x14ac:dyDescent="0.3">
      <c r="A34" s="978" t="s">
        <v>187</v>
      </c>
      <c r="B34" s="492">
        <v>85587</v>
      </c>
      <c r="C34" s="492">
        <v>205409</v>
      </c>
      <c r="D34" s="492">
        <v>102705</v>
      </c>
      <c r="E34" s="979"/>
      <c r="F34" s="492">
        <f>SUM(B34:E34)</f>
        <v>393701</v>
      </c>
    </row>
    <row r="35" spans="1:6" ht="42" x14ac:dyDescent="0.3">
      <c r="A35" s="978" t="s">
        <v>188</v>
      </c>
      <c r="B35" s="492">
        <f>B34*0.27</f>
        <v>23108.49</v>
      </c>
      <c r="C35" s="492">
        <f t="shared" ref="C35:D35" si="6">C34*0.27</f>
        <v>55460.43</v>
      </c>
      <c r="D35" s="492">
        <f t="shared" si="6"/>
        <v>27730.350000000002</v>
      </c>
      <c r="E35" s="979"/>
      <c r="F35" s="492">
        <f>SUM(B35:E35)</f>
        <v>106299.27</v>
      </c>
    </row>
    <row r="36" spans="1:6" x14ac:dyDescent="0.3">
      <c r="A36" s="978" t="s">
        <v>189</v>
      </c>
      <c r="B36" s="492">
        <v>3050000</v>
      </c>
      <c r="C36" s="492">
        <v>6600000</v>
      </c>
      <c r="D36" s="492">
        <v>5241339</v>
      </c>
      <c r="E36" s="979"/>
      <c r="F36" s="492">
        <f t="shared" ref="F36:F38" si="7">SUM(B36:E36)</f>
        <v>14891339</v>
      </c>
    </row>
    <row r="37" spans="1:6" x14ac:dyDescent="0.3">
      <c r="A37" s="978" t="s">
        <v>190</v>
      </c>
      <c r="B37" s="492"/>
      <c r="C37" s="492"/>
      <c r="D37" s="492"/>
      <c r="E37" s="979"/>
      <c r="F37" s="492">
        <f t="shared" si="7"/>
        <v>0</v>
      </c>
    </row>
    <row r="38" spans="1:6" x14ac:dyDescent="0.3">
      <c r="A38" s="978" t="s">
        <v>191</v>
      </c>
      <c r="B38" s="492"/>
      <c r="C38" s="492">
        <v>146845000</v>
      </c>
      <c r="D38" s="492">
        <v>7800000</v>
      </c>
      <c r="E38" s="979"/>
      <c r="F38" s="492">
        <f t="shared" si="7"/>
        <v>154645000</v>
      </c>
    </row>
    <row r="39" spans="1:6" ht="28.2" x14ac:dyDescent="0.3">
      <c r="A39" s="978" t="s">
        <v>192</v>
      </c>
      <c r="B39" s="492"/>
      <c r="C39" s="492"/>
      <c r="D39" s="492"/>
      <c r="E39" s="979"/>
      <c r="F39" s="492">
        <v>0</v>
      </c>
    </row>
    <row r="40" spans="1:6" x14ac:dyDescent="0.3">
      <c r="A40" s="980" t="s">
        <v>325</v>
      </c>
      <c r="B40" s="493">
        <f>SUM(B34:B39)</f>
        <v>3158695.49</v>
      </c>
      <c r="C40" s="493">
        <f t="shared" ref="C40:F40" si="8">SUM(C34:C39)</f>
        <v>153705869.43000001</v>
      </c>
      <c r="D40" s="493">
        <f t="shared" si="8"/>
        <v>13171774.35</v>
      </c>
      <c r="E40" s="493">
        <f t="shared" si="8"/>
        <v>0</v>
      </c>
      <c r="F40" s="493">
        <f t="shared" si="8"/>
        <v>170036339.27000001</v>
      </c>
    </row>
    <row r="41" spans="1:6" x14ac:dyDescent="0.3">
      <c r="B41" s="485"/>
    </row>
    <row r="43" spans="1:6" x14ac:dyDescent="0.3">
      <c r="A43" s="969"/>
      <c r="B43" s="486" t="s">
        <v>926</v>
      </c>
      <c r="C43" s="487"/>
      <c r="D43" s="488"/>
      <c r="E43" s="971"/>
      <c r="F43" s="488"/>
    </row>
    <row r="44" spans="1:6" ht="28.2" x14ac:dyDescent="0.3">
      <c r="A44" s="972" t="s">
        <v>180</v>
      </c>
      <c r="B44" s="1583" t="s">
        <v>927</v>
      </c>
      <c r="C44" s="1583"/>
      <c r="D44" s="1583"/>
      <c r="E44" s="1583"/>
      <c r="F44" s="1583"/>
    </row>
    <row r="45" spans="1:6" x14ac:dyDescent="0.3">
      <c r="A45" s="973"/>
      <c r="B45" s="489"/>
      <c r="C45" s="974"/>
      <c r="D45" s="974"/>
      <c r="E45" s="975"/>
      <c r="F45" s="974"/>
    </row>
    <row r="46" spans="1:6" x14ac:dyDescent="0.3">
      <c r="A46" s="973"/>
      <c r="B46" s="489"/>
      <c r="C46" s="974"/>
      <c r="D46" s="974"/>
      <c r="E46" s="975"/>
      <c r="F46" s="974"/>
    </row>
    <row r="47" spans="1:6" ht="28.2" x14ac:dyDescent="0.3">
      <c r="A47" s="976" t="s">
        <v>181</v>
      </c>
      <c r="B47" s="490" t="s">
        <v>921</v>
      </c>
      <c r="C47" s="491" t="s">
        <v>922</v>
      </c>
      <c r="D47" s="491" t="s">
        <v>923</v>
      </c>
      <c r="E47" s="977" t="s">
        <v>182</v>
      </c>
      <c r="F47" s="491" t="s">
        <v>325</v>
      </c>
    </row>
    <row r="48" spans="1:6" x14ac:dyDescent="0.3">
      <c r="A48" s="978" t="s">
        <v>183</v>
      </c>
      <c r="B48" s="492">
        <v>590000000</v>
      </c>
      <c r="C48" s="492"/>
      <c r="D48" s="492"/>
      <c r="E48" s="979"/>
      <c r="F48" s="492">
        <f>SUM(B48:E48)</f>
        <v>590000000</v>
      </c>
    </row>
    <row r="49" spans="1:6" x14ac:dyDescent="0.3">
      <c r="A49" s="978" t="s">
        <v>184</v>
      </c>
      <c r="B49" s="492"/>
      <c r="C49" s="492"/>
      <c r="D49" s="492"/>
      <c r="E49" s="979"/>
      <c r="F49" s="492">
        <f t="shared" ref="F49:F50" si="9">SUM(B49:E49)</f>
        <v>0</v>
      </c>
    </row>
    <row r="50" spans="1:6" x14ac:dyDescent="0.3">
      <c r="A50" s="978" t="s">
        <v>185</v>
      </c>
      <c r="B50" s="492">
        <v>0</v>
      </c>
      <c r="C50" s="492"/>
      <c r="D50" s="492"/>
      <c r="E50" s="979"/>
      <c r="F50" s="492">
        <f t="shared" si="9"/>
        <v>0</v>
      </c>
    </row>
    <row r="51" spans="1:6" x14ac:dyDescent="0.3">
      <c r="A51" s="980" t="s">
        <v>325</v>
      </c>
      <c r="B51" s="493">
        <f>SUM(B48:B50)</f>
        <v>590000000</v>
      </c>
      <c r="C51" s="493">
        <f t="shared" ref="C51:F51" si="10">SUM(C48:C50)</f>
        <v>0</v>
      </c>
      <c r="D51" s="493">
        <f t="shared" si="10"/>
        <v>0</v>
      </c>
      <c r="E51" s="493">
        <f t="shared" si="10"/>
        <v>0</v>
      </c>
      <c r="F51" s="493">
        <f t="shared" si="10"/>
        <v>590000000</v>
      </c>
    </row>
    <row r="52" spans="1:6" x14ac:dyDescent="0.3">
      <c r="A52" s="981"/>
      <c r="B52" s="494"/>
      <c r="C52" s="494"/>
      <c r="D52" s="494"/>
      <c r="E52" s="981"/>
      <c r="F52" s="494"/>
    </row>
    <row r="53" spans="1:6" ht="28.2" x14ac:dyDescent="0.3">
      <c r="A53" s="976" t="s">
        <v>186</v>
      </c>
      <c r="B53" s="490" t="s">
        <v>921</v>
      </c>
      <c r="C53" s="491" t="s">
        <v>922</v>
      </c>
      <c r="D53" s="491" t="s">
        <v>923</v>
      </c>
      <c r="E53" s="977" t="s">
        <v>182</v>
      </c>
      <c r="F53" s="491" t="s">
        <v>325</v>
      </c>
    </row>
    <row r="54" spans="1:6" ht="28.2" x14ac:dyDescent="0.3">
      <c r="A54" s="978" t="s">
        <v>187</v>
      </c>
      <c r="B54" s="492"/>
      <c r="C54" s="492"/>
      <c r="D54" s="492"/>
      <c r="E54" s="979"/>
      <c r="F54" s="492">
        <f>SUM(B54:E54)</f>
        <v>0</v>
      </c>
    </row>
    <row r="55" spans="1:6" ht="42" x14ac:dyDescent="0.3">
      <c r="A55" s="978" t="s">
        <v>188</v>
      </c>
      <c r="B55" s="492">
        <f>B54*0.27</f>
        <v>0</v>
      </c>
      <c r="C55" s="492">
        <f t="shared" ref="C55:D55" si="11">C54*0.27</f>
        <v>0</v>
      </c>
      <c r="D55" s="492">
        <f t="shared" si="11"/>
        <v>0</v>
      </c>
      <c r="E55" s="979"/>
      <c r="F55" s="492">
        <f>SUM(B55:E55)</f>
        <v>0</v>
      </c>
    </row>
    <row r="56" spans="1:6" x14ac:dyDescent="0.3">
      <c r="A56" s="978" t="s">
        <v>189</v>
      </c>
      <c r="B56" s="492">
        <v>7720000</v>
      </c>
      <c r="C56" s="492">
        <v>4666666</v>
      </c>
      <c r="D56" s="492">
        <v>4666666</v>
      </c>
      <c r="E56" s="979">
        <v>3946668</v>
      </c>
      <c r="F56" s="492">
        <f t="shared" ref="F56:F58" si="12">SUM(B56:E56)</f>
        <v>21000000</v>
      </c>
    </row>
    <row r="57" spans="1:6" x14ac:dyDescent="0.3">
      <c r="A57" s="978" t="s">
        <v>190</v>
      </c>
      <c r="B57" s="492"/>
      <c r="C57" s="492"/>
      <c r="D57" s="492"/>
      <c r="E57" s="979"/>
      <c r="F57" s="492">
        <f t="shared" si="12"/>
        <v>0</v>
      </c>
    </row>
    <row r="58" spans="1:6" x14ac:dyDescent="0.3">
      <c r="A58" s="978" t="s">
        <v>191</v>
      </c>
      <c r="B58" s="492">
        <v>29000000</v>
      </c>
      <c r="C58" s="492">
        <v>351250000</v>
      </c>
      <c r="D58" s="492">
        <v>188750000</v>
      </c>
      <c r="E58" s="979"/>
      <c r="F58" s="492">
        <f t="shared" si="12"/>
        <v>569000000</v>
      </c>
    </row>
    <row r="59" spans="1:6" ht="28.2" x14ac:dyDescent="0.3">
      <c r="A59" s="978" t="s">
        <v>192</v>
      </c>
      <c r="B59" s="492"/>
      <c r="C59" s="492"/>
      <c r="D59" s="492"/>
      <c r="E59" s="979"/>
      <c r="F59" s="492">
        <v>0</v>
      </c>
    </row>
    <row r="60" spans="1:6" x14ac:dyDescent="0.3">
      <c r="A60" s="980" t="s">
        <v>325</v>
      </c>
      <c r="B60" s="493">
        <f>SUM(B54:B59)</f>
        <v>36720000</v>
      </c>
      <c r="C60" s="493">
        <f t="shared" ref="C60:F60" si="13">SUM(C54:C59)</f>
        <v>355916666</v>
      </c>
      <c r="D60" s="493">
        <f t="shared" si="13"/>
        <v>193416666</v>
      </c>
      <c r="E60" s="493">
        <f t="shared" si="13"/>
        <v>3946668</v>
      </c>
      <c r="F60" s="493">
        <f t="shared" si="13"/>
        <v>590000000</v>
      </c>
    </row>
    <row r="63" spans="1:6" x14ac:dyDescent="0.3">
      <c r="A63" s="969"/>
      <c r="B63" s="486" t="s">
        <v>928</v>
      </c>
      <c r="C63" s="487"/>
      <c r="D63" s="488"/>
      <c r="E63" s="971"/>
      <c r="F63" s="488"/>
    </row>
    <row r="64" spans="1:6" ht="28.2" x14ac:dyDescent="0.3">
      <c r="A64" s="972" t="s">
        <v>180</v>
      </c>
      <c r="B64" s="1583" t="s">
        <v>929</v>
      </c>
      <c r="C64" s="1583"/>
      <c r="D64" s="1583"/>
      <c r="E64" s="1583"/>
      <c r="F64" s="1583"/>
    </row>
    <row r="65" spans="1:6" x14ac:dyDescent="0.3">
      <c r="A65" s="973"/>
      <c r="B65" s="489"/>
      <c r="C65" s="974"/>
      <c r="D65" s="974"/>
      <c r="E65" s="975"/>
      <c r="F65" s="974"/>
    </row>
    <row r="66" spans="1:6" x14ac:dyDescent="0.3">
      <c r="A66" s="973"/>
      <c r="B66" s="489"/>
      <c r="C66" s="974"/>
      <c r="D66" s="974"/>
      <c r="E66" s="975"/>
      <c r="F66" s="974"/>
    </row>
    <row r="67" spans="1:6" ht="28.2" x14ac:dyDescent="0.3">
      <c r="A67" s="976" t="s">
        <v>181</v>
      </c>
      <c r="B67" s="490" t="s">
        <v>921</v>
      </c>
      <c r="C67" s="491" t="s">
        <v>922</v>
      </c>
      <c r="D67" s="491" t="s">
        <v>923</v>
      </c>
      <c r="E67" s="977" t="s">
        <v>182</v>
      </c>
      <c r="F67" s="491" t="s">
        <v>325</v>
      </c>
    </row>
    <row r="68" spans="1:6" x14ac:dyDescent="0.3">
      <c r="A68" s="978" t="s">
        <v>183</v>
      </c>
      <c r="B68" s="492">
        <v>59937000</v>
      </c>
      <c r="C68" s="492"/>
      <c r="D68" s="492"/>
      <c r="E68" s="979"/>
      <c r="F68" s="492">
        <f>SUM(B68:E68)</f>
        <v>59937000</v>
      </c>
    </row>
    <row r="69" spans="1:6" x14ac:dyDescent="0.3">
      <c r="A69" s="978" t="s">
        <v>184</v>
      </c>
      <c r="B69" s="492"/>
      <c r="C69" s="492"/>
      <c r="D69" s="492"/>
      <c r="E69" s="979"/>
      <c r="F69" s="492">
        <f t="shared" ref="F69:F70" si="14">SUM(B69:E69)</f>
        <v>0</v>
      </c>
    </row>
    <row r="70" spans="1:6" x14ac:dyDescent="0.3">
      <c r="A70" s="978" t="s">
        <v>185</v>
      </c>
      <c r="B70" s="492">
        <v>0</v>
      </c>
      <c r="C70" s="492"/>
      <c r="D70" s="492"/>
      <c r="E70" s="979"/>
      <c r="F70" s="492">
        <f t="shared" si="14"/>
        <v>0</v>
      </c>
    </row>
    <row r="71" spans="1:6" x14ac:dyDescent="0.3">
      <c r="A71" s="980" t="s">
        <v>325</v>
      </c>
      <c r="B71" s="493">
        <f>SUM(B68:B70)</f>
        <v>59937000</v>
      </c>
      <c r="C71" s="493">
        <f t="shared" ref="C71:F71" si="15">SUM(C68:C70)</f>
        <v>0</v>
      </c>
      <c r="D71" s="493">
        <f t="shared" si="15"/>
        <v>0</v>
      </c>
      <c r="E71" s="493">
        <f t="shared" si="15"/>
        <v>0</v>
      </c>
      <c r="F71" s="493">
        <f t="shared" si="15"/>
        <v>59937000</v>
      </c>
    </row>
    <row r="72" spans="1:6" x14ac:dyDescent="0.3">
      <c r="A72" s="981"/>
      <c r="B72" s="494"/>
      <c r="C72" s="494"/>
      <c r="D72" s="494"/>
      <c r="E72" s="981"/>
      <c r="F72" s="494"/>
    </row>
    <row r="73" spans="1:6" ht="28.2" x14ac:dyDescent="0.3">
      <c r="A73" s="976" t="s">
        <v>186</v>
      </c>
      <c r="B73" s="490" t="s">
        <v>921</v>
      </c>
      <c r="C73" s="491" t="s">
        <v>922</v>
      </c>
      <c r="D73" s="491" t="s">
        <v>923</v>
      </c>
      <c r="E73" s="977" t="s">
        <v>182</v>
      </c>
      <c r="F73" s="491" t="s">
        <v>325</v>
      </c>
    </row>
    <row r="74" spans="1:6" ht="28.2" x14ac:dyDescent="0.3">
      <c r="A74" s="978" t="s">
        <v>187</v>
      </c>
      <c r="B74" s="492">
        <v>199038</v>
      </c>
      <c r="C74" s="492">
        <v>341207</v>
      </c>
      <c r="D74" s="492">
        <v>341207</v>
      </c>
      <c r="E74" s="979">
        <v>142170</v>
      </c>
      <c r="F74" s="492">
        <f>SUM(B74:E74)</f>
        <v>1023622</v>
      </c>
    </row>
    <row r="75" spans="1:6" ht="42" x14ac:dyDescent="0.3">
      <c r="A75" s="978" t="s">
        <v>188</v>
      </c>
      <c r="B75" s="492">
        <f>B74*0.27</f>
        <v>53740.26</v>
      </c>
      <c r="C75" s="492">
        <f t="shared" ref="C75:E75" si="16">C74*0.27</f>
        <v>92125.89</v>
      </c>
      <c r="D75" s="492">
        <f t="shared" si="16"/>
        <v>92125.89</v>
      </c>
      <c r="E75" s="492">
        <f t="shared" si="16"/>
        <v>38385.9</v>
      </c>
      <c r="F75" s="492">
        <f>SUM(B75:E75)</f>
        <v>276377.94</v>
      </c>
    </row>
    <row r="76" spans="1:6" x14ac:dyDescent="0.3">
      <c r="A76" s="978" t="s">
        <v>189</v>
      </c>
      <c r="B76" s="492">
        <v>1397000</v>
      </c>
      <c r="C76" s="492">
        <v>500000</v>
      </c>
      <c r="D76" s="492"/>
      <c r="E76" s="979">
        <v>230000</v>
      </c>
      <c r="F76" s="492">
        <f t="shared" ref="F76:F78" si="17">SUM(B76:E76)</f>
        <v>2127000</v>
      </c>
    </row>
    <row r="77" spans="1:6" x14ac:dyDescent="0.3">
      <c r="A77" s="978" t="s">
        <v>190</v>
      </c>
      <c r="B77" s="492"/>
      <c r="C77" s="492"/>
      <c r="D77" s="492"/>
      <c r="E77" s="979"/>
      <c r="F77" s="492">
        <f t="shared" si="17"/>
        <v>0</v>
      </c>
    </row>
    <row r="78" spans="1:6" x14ac:dyDescent="0.3">
      <c r="A78" s="978" t="s">
        <v>191</v>
      </c>
      <c r="B78" s="492"/>
      <c r="C78" s="492">
        <v>28820000</v>
      </c>
      <c r="D78" s="492">
        <v>27690000</v>
      </c>
      <c r="E78" s="979"/>
      <c r="F78" s="492">
        <f t="shared" si="17"/>
        <v>56510000</v>
      </c>
    </row>
    <row r="79" spans="1:6" ht="28.2" x14ac:dyDescent="0.3">
      <c r="A79" s="978" t="s">
        <v>192</v>
      </c>
      <c r="B79" s="492"/>
      <c r="C79" s="492"/>
      <c r="D79" s="492"/>
      <c r="E79" s="979"/>
      <c r="F79" s="492">
        <v>0</v>
      </c>
    </row>
    <row r="80" spans="1:6" x14ac:dyDescent="0.3">
      <c r="A80" s="980" t="s">
        <v>325</v>
      </c>
      <c r="B80" s="493">
        <f>SUM(B74:B79)</f>
        <v>1649778.26</v>
      </c>
      <c r="C80" s="493">
        <f t="shared" ref="C80:F80" si="18">SUM(C74:C79)</f>
        <v>29753332.890000001</v>
      </c>
      <c r="D80" s="493">
        <f t="shared" si="18"/>
        <v>28123332.890000001</v>
      </c>
      <c r="E80" s="493">
        <f t="shared" si="18"/>
        <v>410555.9</v>
      </c>
      <c r="F80" s="493">
        <f t="shared" si="18"/>
        <v>59936999.939999998</v>
      </c>
    </row>
    <row r="83" spans="1:6" x14ac:dyDescent="0.3">
      <c r="A83" s="969"/>
      <c r="B83" s="486" t="s">
        <v>930</v>
      </c>
      <c r="C83" s="487"/>
      <c r="D83" s="488"/>
      <c r="E83" s="971"/>
      <c r="F83" s="488"/>
    </row>
    <row r="84" spans="1:6" ht="28.2" x14ac:dyDescent="0.3">
      <c r="A84" s="972" t="s">
        <v>180</v>
      </c>
      <c r="B84" s="1583" t="s">
        <v>931</v>
      </c>
      <c r="C84" s="1583"/>
      <c r="D84" s="1583"/>
      <c r="E84" s="1583"/>
      <c r="F84" s="1583"/>
    </row>
    <row r="85" spans="1:6" x14ac:dyDescent="0.3">
      <c r="A85" s="973"/>
      <c r="B85" s="489"/>
      <c r="C85" s="974"/>
      <c r="D85" s="974"/>
      <c r="E85" s="975"/>
      <c r="F85" s="974"/>
    </row>
    <row r="86" spans="1:6" x14ac:dyDescent="0.3">
      <c r="A86" s="973"/>
      <c r="B86" s="489"/>
      <c r="C86" s="974"/>
      <c r="D86" s="974"/>
      <c r="E86" s="975"/>
      <c r="F86" s="974"/>
    </row>
    <row r="87" spans="1:6" ht="28.2" x14ac:dyDescent="0.3">
      <c r="A87" s="976" t="s">
        <v>181</v>
      </c>
      <c r="B87" s="490" t="s">
        <v>921</v>
      </c>
      <c r="C87" s="491" t="s">
        <v>922</v>
      </c>
      <c r="D87" s="491" t="s">
        <v>923</v>
      </c>
      <c r="E87" s="977" t="s">
        <v>182</v>
      </c>
      <c r="F87" s="491" t="s">
        <v>325</v>
      </c>
    </row>
    <row r="88" spans="1:6" x14ac:dyDescent="0.3">
      <c r="A88" s="978" t="s">
        <v>183</v>
      </c>
      <c r="B88" s="492">
        <v>9000000</v>
      </c>
      <c r="C88" s="492"/>
      <c r="D88" s="492"/>
      <c r="E88" s="979"/>
      <c r="F88" s="492">
        <f>SUM(B88:E88)</f>
        <v>9000000</v>
      </c>
    </row>
    <row r="89" spans="1:6" x14ac:dyDescent="0.3">
      <c r="A89" s="978" t="s">
        <v>184</v>
      </c>
      <c r="B89" s="492"/>
      <c r="C89" s="492"/>
      <c r="D89" s="492"/>
      <c r="E89" s="979"/>
      <c r="F89" s="492">
        <f t="shared" ref="F89:F90" si="19">SUM(B89:E89)</f>
        <v>0</v>
      </c>
    </row>
    <row r="90" spans="1:6" x14ac:dyDescent="0.3">
      <c r="A90" s="978" t="s">
        <v>185</v>
      </c>
      <c r="B90" s="492">
        <v>0</v>
      </c>
      <c r="C90" s="492"/>
      <c r="D90" s="492"/>
      <c r="E90" s="979"/>
      <c r="F90" s="492">
        <f t="shared" si="19"/>
        <v>0</v>
      </c>
    </row>
    <row r="91" spans="1:6" x14ac:dyDescent="0.3">
      <c r="A91" s="980" t="s">
        <v>325</v>
      </c>
      <c r="B91" s="493">
        <f>SUM(B88:B90)</f>
        <v>9000000</v>
      </c>
      <c r="C91" s="493">
        <f t="shared" ref="C91:F91" si="20">SUM(C88:C90)</f>
        <v>0</v>
      </c>
      <c r="D91" s="493">
        <f t="shared" si="20"/>
        <v>0</v>
      </c>
      <c r="E91" s="493">
        <f t="shared" si="20"/>
        <v>0</v>
      </c>
      <c r="F91" s="493">
        <f t="shared" si="20"/>
        <v>9000000</v>
      </c>
    </row>
    <row r="92" spans="1:6" x14ac:dyDescent="0.3">
      <c r="A92" s="981"/>
      <c r="B92" s="494"/>
      <c r="C92" s="494"/>
      <c r="D92" s="494"/>
      <c r="E92" s="981"/>
      <c r="F92" s="494"/>
    </row>
    <row r="93" spans="1:6" ht="28.2" x14ac:dyDescent="0.3">
      <c r="A93" s="976" t="s">
        <v>186</v>
      </c>
      <c r="B93" s="490" t="s">
        <v>921</v>
      </c>
      <c r="C93" s="491" t="s">
        <v>922</v>
      </c>
      <c r="D93" s="491" t="s">
        <v>923</v>
      </c>
      <c r="E93" s="977" t="s">
        <v>182</v>
      </c>
      <c r="F93" s="491" t="s">
        <v>325</v>
      </c>
    </row>
    <row r="94" spans="1:6" ht="28.2" x14ac:dyDescent="0.3">
      <c r="A94" s="978" t="s">
        <v>187</v>
      </c>
      <c r="B94" s="492">
        <v>339106</v>
      </c>
      <c r="C94" s="492">
        <v>214172</v>
      </c>
      <c r="D94" s="492"/>
      <c r="E94" s="979"/>
      <c r="F94" s="492">
        <f>SUM(B94:E94)</f>
        <v>553278</v>
      </c>
    </row>
    <row r="95" spans="1:6" ht="42" x14ac:dyDescent="0.3">
      <c r="A95" s="978" t="s">
        <v>188</v>
      </c>
      <c r="B95" s="492">
        <f>B94*0.22</f>
        <v>74603.320000000007</v>
      </c>
      <c r="C95" s="492">
        <f>C94*0.22</f>
        <v>47117.840000000004</v>
      </c>
      <c r="D95" s="492">
        <f t="shared" ref="D95" si="21">D94*0.27</f>
        <v>0</v>
      </c>
      <c r="E95" s="979"/>
      <c r="F95" s="492">
        <f>SUM(B95:E95)</f>
        <v>121721.16</v>
      </c>
    </row>
    <row r="96" spans="1:6" x14ac:dyDescent="0.3">
      <c r="A96" s="978" t="s">
        <v>189</v>
      </c>
      <c r="B96" s="492">
        <v>4050001</v>
      </c>
      <c r="C96" s="492">
        <v>2115000</v>
      </c>
      <c r="D96" s="492"/>
      <c r="E96" s="979"/>
      <c r="F96" s="492">
        <f t="shared" ref="F96:F98" si="22">SUM(B96:E96)</f>
        <v>6165001</v>
      </c>
    </row>
    <row r="97" spans="1:6" x14ac:dyDescent="0.3">
      <c r="A97" s="978" t="s">
        <v>190</v>
      </c>
      <c r="B97" s="492"/>
      <c r="C97" s="492"/>
      <c r="D97" s="492"/>
      <c r="E97" s="979"/>
      <c r="F97" s="492">
        <f t="shared" si="22"/>
        <v>0</v>
      </c>
    </row>
    <row r="98" spans="1:6" x14ac:dyDescent="0.3">
      <c r="A98" s="978" t="s">
        <v>191</v>
      </c>
      <c r="B98" s="492">
        <v>1080000</v>
      </c>
      <c r="C98" s="492">
        <v>1080000</v>
      </c>
      <c r="D98" s="492"/>
      <c r="E98" s="979"/>
      <c r="F98" s="492">
        <f t="shared" si="22"/>
        <v>2160000</v>
      </c>
    </row>
    <row r="99" spans="1:6" ht="28.2" x14ac:dyDescent="0.3">
      <c r="A99" s="978" t="s">
        <v>192</v>
      </c>
      <c r="B99" s="492"/>
      <c r="C99" s="492"/>
      <c r="D99" s="492"/>
      <c r="E99" s="979"/>
      <c r="F99" s="492">
        <v>0</v>
      </c>
    </row>
    <row r="100" spans="1:6" x14ac:dyDescent="0.3">
      <c r="A100" s="980" t="s">
        <v>325</v>
      </c>
      <c r="B100" s="493">
        <f>SUM(B94:B99)</f>
        <v>5543710.3200000003</v>
      </c>
      <c r="C100" s="493">
        <f>SUM(C94:C99)</f>
        <v>3456289.84</v>
      </c>
      <c r="D100" s="493">
        <f t="shared" ref="D100:F100" si="23">SUM(D94:D99)</f>
        <v>0</v>
      </c>
      <c r="E100" s="493">
        <f t="shared" si="23"/>
        <v>0</v>
      </c>
      <c r="F100" s="493">
        <f t="shared" si="23"/>
        <v>9000000.1600000001</v>
      </c>
    </row>
    <row r="102" spans="1:6" x14ac:dyDescent="0.3">
      <c r="A102" s="969"/>
      <c r="B102" s="486" t="s">
        <v>932</v>
      </c>
      <c r="C102" s="487"/>
      <c r="D102" s="488"/>
      <c r="E102" s="971"/>
      <c r="F102" s="488"/>
    </row>
    <row r="103" spans="1:6" ht="28.2" x14ac:dyDescent="0.3">
      <c r="A103" s="972" t="s">
        <v>180</v>
      </c>
      <c r="B103" s="1583" t="s">
        <v>933</v>
      </c>
      <c r="C103" s="1583"/>
      <c r="D103" s="1583"/>
      <c r="E103" s="1583"/>
      <c r="F103" s="1583"/>
    </row>
    <row r="104" spans="1:6" x14ac:dyDescent="0.3">
      <c r="A104" s="973"/>
      <c r="B104" s="489"/>
      <c r="C104" s="974"/>
      <c r="D104" s="974"/>
      <c r="E104" s="975"/>
      <c r="F104" s="974"/>
    </row>
    <row r="105" spans="1:6" x14ac:dyDescent="0.3">
      <c r="A105" s="973"/>
      <c r="B105" s="489"/>
      <c r="C105" s="974"/>
      <c r="D105" s="974"/>
      <c r="E105" s="975"/>
      <c r="F105" s="974"/>
    </row>
    <row r="106" spans="1:6" ht="28.2" x14ac:dyDescent="0.3">
      <c r="A106" s="976" t="s">
        <v>181</v>
      </c>
      <c r="B106" s="490" t="s">
        <v>921</v>
      </c>
      <c r="C106" s="491" t="s">
        <v>922</v>
      </c>
      <c r="D106" s="491" t="s">
        <v>923</v>
      </c>
      <c r="E106" s="977" t="s">
        <v>182</v>
      </c>
      <c r="F106" s="491" t="s">
        <v>325</v>
      </c>
    </row>
    <row r="107" spans="1:6" x14ac:dyDescent="0.3">
      <c r="A107" s="978" t="s">
        <v>183</v>
      </c>
      <c r="B107" s="492">
        <v>76775000</v>
      </c>
      <c r="C107" s="492"/>
      <c r="D107" s="492"/>
      <c r="E107" s="979"/>
      <c r="F107" s="492">
        <f>SUM(B107:E107)</f>
        <v>76775000</v>
      </c>
    </row>
    <row r="108" spans="1:6" x14ac:dyDescent="0.3">
      <c r="A108" s="978" t="s">
        <v>184</v>
      </c>
      <c r="B108" s="492"/>
      <c r="C108" s="492"/>
      <c r="D108" s="492"/>
      <c r="E108" s="979"/>
      <c r="F108" s="492">
        <f t="shared" ref="F108:F109" si="24">SUM(B108:E108)</f>
        <v>0</v>
      </c>
    </row>
    <row r="109" spans="1:6" x14ac:dyDescent="0.3">
      <c r="A109" s="978" t="s">
        <v>185</v>
      </c>
      <c r="B109" s="492">
        <v>0</v>
      </c>
      <c r="C109" s="492"/>
      <c r="D109" s="492"/>
      <c r="E109" s="979"/>
      <c r="F109" s="492">
        <f t="shared" si="24"/>
        <v>0</v>
      </c>
    </row>
    <row r="110" spans="1:6" x14ac:dyDescent="0.3">
      <c r="A110" s="980" t="s">
        <v>325</v>
      </c>
      <c r="B110" s="493">
        <f>SUM(B107:B109)</f>
        <v>76775000</v>
      </c>
      <c r="C110" s="493">
        <f t="shared" ref="C110:F110" si="25">SUM(C107:C109)</f>
        <v>0</v>
      </c>
      <c r="D110" s="493">
        <f t="shared" si="25"/>
        <v>0</v>
      </c>
      <c r="E110" s="493">
        <f t="shared" si="25"/>
        <v>0</v>
      </c>
      <c r="F110" s="493">
        <f t="shared" si="25"/>
        <v>76775000</v>
      </c>
    </row>
    <row r="111" spans="1:6" x14ac:dyDescent="0.3">
      <c r="A111" s="981"/>
      <c r="B111" s="494"/>
      <c r="C111" s="494"/>
      <c r="D111" s="494"/>
      <c r="E111" s="981"/>
      <c r="F111" s="494"/>
    </row>
    <row r="112" spans="1:6" ht="28.2" x14ac:dyDescent="0.3">
      <c r="A112" s="976" t="s">
        <v>186</v>
      </c>
      <c r="B112" s="490" t="s">
        <v>921</v>
      </c>
      <c r="C112" s="491" t="s">
        <v>922</v>
      </c>
      <c r="D112" s="491" t="s">
        <v>923</v>
      </c>
      <c r="E112" s="977" t="s">
        <v>182</v>
      </c>
      <c r="F112" s="491" t="s">
        <v>325</v>
      </c>
    </row>
    <row r="113" spans="1:6" ht="28.2" x14ac:dyDescent="0.3">
      <c r="A113" s="978" t="s">
        <v>187</v>
      </c>
      <c r="B113" s="492">
        <v>3732108</v>
      </c>
      <c r="C113" s="492">
        <v>6397900</v>
      </c>
      <c r="D113" s="492">
        <v>6397900</v>
      </c>
      <c r="E113" s="979">
        <v>2665792</v>
      </c>
      <c r="F113" s="492">
        <f>SUM(B113:E113)</f>
        <v>19193700</v>
      </c>
    </row>
    <row r="114" spans="1:6" ht="42" x14ac:dyDescent="0.3">
      <c r="A114" s="978" t="s">
        <v>188</v>
      </c>
      <c r="B114" s="492">
        <f>B113*0.27</f>
        <v>1007669.16</v>
      </c>
      <c r="C114" s="492">
        <f t="shared" ref="C114:E114" si="26">C113*0.27</f>
        <v>1727433</v>
      </c>
      <c r="D114" s="492">
        <f t="shared" si="26"/>
        <v>1727433</v>
      </c>
      <c r="E114" s="492">
        <f t="shared" si="26"/>
        <v>719763.84000000008</v>
      </c>
      <c r="F114" s="492">
        <f>SUM(B114:E114)</f>
        <v>5182299</v>
      </c>
    </row>
    <row r="115" spans="1:6" x14ac:dyDescent="0.3">
      <c r="A115" s="978" t="s">
        <v>189</v>
      </c>
      <c r="B115" s="492">
        <v>24900000</v>
      </c>
      <c r="C115" s="492">
        <v>10103401</v>
      </c>
      <c r="D115" s="492">
        <v>16287600</v>
      </c>
      <c r="E115" s="979">
        <v>1108000</v>
      </c>
      <c r="F115" s="492">
        <f t="shared" ref="F115:F117" si="27">SUM(B115:E115)</f>
        <v>52399001</v>
      </c>
    </row>
    <row r="116" spans="1:6" x14ac:dyDescent="0.3">
      <c r="A116" s="978" t="s">
        <v>190</v>
      </c>
      <c r="B116" s="492"/>
      <c r="C116" s="492"/>
      <c r="D116" s="492"/>
      <c r="E116" s="979"/>
      <c r="F116" s="492">
        <f t="shared" si="27"/>
        <v>0</v>
      </c>
    </row>
    <row r="117" spans="1:6" x14ac:dyDescent="0.3">
      <c r="A117" s="978" t="s">
        <v>191</v>
      </c>
      <c r="B117" s="492"/>
      <c r="C117" s="492"/>
      <c r="D117" s="492"/>
      <c r="E117" s="979"/>
      <c r="F117" s="492">
        <f t="shared" si="27"/>
        <v>0</v>
      </c>
    </row>
    <row r="118" spans="1:6" ht="28.2" x14ac:dyDescent="0.3">
      <c r="A118" s="978" t="s">
        <v>192</v>
      </c>
      <c r="B118" s="492"/>
      <c r="C118" s="492"/>
      <c r="D118" s="492"/>
      <c r="E118" s="979"/>
      <c r="F118" s="492">
        <v>0</v>
      </c>
    </row>
    <row r="119" spans="1:6" x14ac:dyDescent="0.3">
      <c r="A119" s="980" t="s">
        <v>325</v>
      </c>
      <c r="B119" s="493">
        <f>SUM(B113:B118)</f>
        <v>29639777.16</v>
      </c>
      <c r="C119" s="493">
        <f t="shared" ref="C119:F119" si="28">SUM(C113:C118)</f>
        <v>18228734</v>
      </c>
      <c r="D119" s="493">
        <f t="shared" si="28"/>
        <v>24412933</v>
      </c>
      <c r="E119" s="493">
        <f t="shared" si="28"/>
        <v>4493555.84</v>
      </c>
      <c r="F119" s="493">
        <f t="shared" si="28"/>
        <v>76775000</v>
      </c>
    </row>
  </sheetData>
  <mergeCells count="7">
    <mergeCell ref="A2:F2"/>
    <mergeCell ref="B103:F103"/>
    <mergeCell ref="B4:F4"/>
    <mergeCell ref="B24:F24"/>
    <mergeCell ref="B44:F44"/>
    <mergeCell ref="B64:F64"/>
    <mergeCell ref="B84:F84"/>
  </mergeCells>
  <pageMargins left="0.7" right="0.7" top="0.75" bottom="0.75" header="0.3" footer="0.3"/>
  <pageSetup paperSize="9" scale="86" orientation="portrait" r:id="rId1"/>
  <headerFooter>
    <oddHeader>&amp;C
13. melléklet az önkormányzat 2017. évi költségvetéséről szóló 8/2017. (II.24.) önkormányzati rendeletéhez&amp;R
&amp;P. oldal</oddHeader>
  </headerFooter>
  <rowBreaks count="2" manualBreakCount="2">
    <brk id="40" max="5" man="1"/>
    <brk id="81" max="5"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G25"/>
  <sheetViews>
    <sheetView view="pageLayout" topLeftCell="A7" zoomScaleNormal="100" zoomScaleSheetLayoutView="68" workbookViewId="0">
      <selection activeCell="L14" sqref="L14"/>
    </sheetView>
  </sheetViews>
  <sheetFormatPr defaultColWidth="9.109375" defaultRowHeight="13.2" x14ac:dyDescent="0.25"/>
  <cols>
    <col min="1" max="1" width="60.88671875" style="1170" customWidth="1"/>
    <col min="2" max="2" width="13.44140625" style="1168" customWidth="1"/>
    <col min="3" max="3" width="13.6640625" style="1168" customWidth="1"/>
    <col min="4" max="4" width="13.44140625" style="1168" customWidth="1"/>
    <col min="5" max="5" width="12.6640625" style="1168" customWidth="1"/>
    <col min="6" max="6" width="13.6640625" style="1168" customWidth="1"/>
    <col min="7" max="7" width="18" style="1168" customWidth="1"/>
    <col min="8" max="16384" width="9.109375" style="1168"/>
  </cols>
  <sheetData>
    <row r="4" spans="1:7" ht="51.75" customHeight="1" x14ac:dyDescent="0.3">
      <c r="A4" s="1586" t="s">
        <v>1032</v>
      </c>
      <c r="B4" s="1586"/>
      <c r="C4" s="1586"/>
      <c r="D4" s="1586"/>
      <c r="E4" s="1586"/>
      <c r="F4" s="1586"/>
      <c r="G4" s="1586"/>
    </row>
    <row r="5" spans="1:7" ht="27.75" customHeight="1" x14ac:dyDescent="0.25">
      <c r="A5" s="1169"/>
      <c r="B5" s="1170"/>
      <c r="C5" s="1170"/>
      <c r="D5" s="1170"/>
      <c r="E5" s="1170"/>
      <c r="F5" s="1170"/>
    </row>
    <row r="6" spans="1:7" ht="13.8" thickBot="1" x14ac:dyDescent="0.3"/>
    <row r="7" spans="1:7" ht="25.5" customHeight="1" thickBot="1" x14ac:dyDescent="0.3">
      <c r="A7" s="1171" t="s">
        <v>1033</v>
      </c>
      <c r="B7" s="1172"/>
      <c r="C7" s="1173" t="s">
        <v>1034</v>
      </c>
      <c r="D7" s="1173" t="s">
        <v>1035</v>
      </c>
      <c r="E7" s="1174" t="s">
        <v>1036</v>
      </c>
      <c r="F7" s="1174" t="s">
        <v>1037</v>
      </c>
    </row>
    <row r="8" spans="1:7" ht="20.25" customHeight="1" x14ac:dyDescent="0.25">
      <c r="A8" s="1175" t="s">
        <v>1038</v>
      </c>
      <c r="B8" s="1176"/>
      <c r="C8" s="1177">
        <v>1537000</v>
      </c>
      <c r="D8" s="1177">
        <v>1537000</v>
      </c>
      <c r="E8" s="1177">
        <v>1537000</v>
      </c>
      <c r="F8" s="1178">
        <v>1537000</v>
      </c>
    </row>
    <row r="9" spans="1:7" ht="28.5" customHeight="1" x14ac:dyDescent="0.25">
      <c r="A9" s="1179" t="s">
        <v>1039</v>
      </c>
      <c r="B9" s="1180"/>
      <c r="C9" s="1181">
        <v>169623</v>
      </c>
      <c r="D9" s="1181"/>
      <c r="E9" s="1181"/>
      <c r="F9" s="1182"/>
    </row>
    <row r="10" spans="1:7" ht="18.75" customHeight="1" x14ac:dyDescent="0.25">
      <c r="A10" s="1179" t="s">
        <v>1040</v>
      </c>
      <c r="B10" s="1180"/>
      <c r="C10" s="1181">
        <v>14000</v>
      </c>
      <c r="D10" s="1181">
        <v>14000</v>
      </c>
      <c r="E10" s="1181">
        <v>14000</v>
      </c>
      <c r="F10" s="1182">
        <v>14000</v>
      </c>
    </row>
    <row r="11" spans="1:7" ht="40.5" customHeight="1" x14ac:dyDescent="0.25">
      <c r="A11" s="1179" t="s">
        <v>1041</v>
      </c>
      <c r="B11" s="1180"/>
      <c r="C11" s="1181">
        <v>1732</v>
      </c>
      <c r="D11" s="1181"/>
      <c r="E11" s="1181"/>
      <c r="F11" s="1182"/>
    </row>
    <row r="12" spans="1:7" ht="18.75" customHeight="1" x14ac:dyDescent="0.25">
      <c r="A12" s="1179" t="s">
        <v>1042</v>
      </c>
      <c r="B12" s="1180"/>
      <c r="C12" s="1181">
        <v>86400</v>
      </c>
      <c r="D12" s="1181">
        <v>6400</v>
      </c>
      <c r="E12" s="1181">
        <v>6400</v>
      </c>
      <c r="F12" s="1182">
        <v>6400</v>
      </c>
    </row>
    <row r="13" spans="1:7" ht="17.25" customHeight="1" x14ac:dyDescent="0.25">
      <c r="A13" s="1179" t="s">
        <v>1043</v>
      </c>
      <c r="B13" s="1180"/>
      <c r="C13" s="1181"/>
      <c r="D13" s="1181"/>
      <c r="E13" s="1181"/>
      <c r="F13" s="1182"/>
    </row>
    <row r="14" spans="1:7" ht="18.75" customHeight="1" x14ac:dyDescent="0.25">
      <c r="A14" s="1179" t="s">
        <v>392</v>
      </c>
      <c r="B14" s="1180"/>
      <c r="C14" s="1181">
        <f>SUM(C8:C13)</f>
        <v>1808755</v>
      </c>
      <c r="D14" s="1181">
        <f>SUM(D8:D13)</f>
        <v>1557400</v>
      </c>
      <c r="E14" s="1181">
        <f>SUM(E8:E13)</f>
        <v>1557400</v>
      </c>
      <c r="F14" s="1182">
        <f>SUM(F8:F13)</f>
        <v>1557400</v>
      </c>
    </row>
    <row r="15" spans="1:7" s="1187" customFormat="1" ht="27" customHeight="1" thickBot="1" x14ac:dyDescent="0.3">
      <c r="A15" s="1183" t="s">
        <v>1044</v>
      </c>
      <c r="B15" s="1184"/>
      <c r="C15" s="1185">
        <f>C14*0.5</f>
        <v>904377.5</v>
      </c>
      <c r="D15" s="1185">
        <f>D14*0.5</f>
        <v>778700</v>
      </c>
      <c r="E15" s="1185">
        <f>E14*0.5</f>
        <v>778700</v>
      </c>
      <c r="F15" s="1186">
        <f>F14*0.5</f>
        <v>778700</v>
      </c>
    </row>
    <row r="16" spans="1:7" ht="13.8" x14ac:dyDescent="0.25">
      <c r="A16" s="1188"/>
      <c r="B16" s="1189"/>
      <c r="C16" s="1189"/>
      <c r="D16" s="1189"/>
      <c r="E16" s="1189"/>
      <c r="F16" s="1189"/>
    </row>
    <row r="17" spans="1:7" ht="16.5" customHeight="1" x14ac:dyDescent="0.25">
      <c r="G17" s="1190"/>
    </row>
    <row r="18" spans="1:7" ht="15" customHeight="1" thickBot="1" x14ac:dyDescent="0.3"/>
    <row r="19" spans="1:7" ht="33" customHeight="1" thickBot="1" x14ac:dyDescent="0.3">
      <c r="A19" s="1191" t="s">
        <v>1045</v>
      </c>
      <c r="B19" s="1192" t="s">
        <v>1046</v>
      </c>
      <c r="C19" s="1173" t="s">
        <v>1034</v>
      </c>
      <c r="D19" s="1173" t="s">
        <v>1035</v>
      </c>
      <c r="E19" s="1174" t="s">
        <v>1036</v>
      </c>
      <c r="F19" s="1174" t="s">
        <v>1037</v>
      </c>
    </row>
    <row r="20" spans="1:7" ht="13.8" x14ac:dyDescent="0.25">
      <c r="A20" s="1193" t="s">
        <v>1047</v>
      </c>
      <c r="B20" s="1194">
        <v>2014</v>
      </c>
      <c r="C20" s="1195">
        <v>74242</v>
      </c>
      <c r="D20" s="1195">
        <v>74242</v>
      </c>
      <c r="E20" s="1195">
        <v>74242</v>
      </c>
      <c r="F20" s="1196">
        <v>74242</v>
      </c>
      <c r="G20" s="1190"/>
    </row>
    <row r="21" spans="1:7" ht="13.8" x14ac:dyDescent="0.25">
      <c r="A21" s="1197" t="s">
        <v>1048</v>
      </c>
      <c r="B21" s="1198">
        <v>2014</v>
      </c>
      <c r="C21" s="1199">
        <v>18587</v>
      </c>
      <c r="D21" s="1199">
        <v>16630</v>
      </c>
      <c r="E21" s="1199">
        <v>14673</v>
      </c>
      <c r="F21" s="1200">
        <v>12946</v>
      </c>
    </row>
    <row r="22" spans="1:7" ht="24" customHeight="1" x14ac:dyDescent="0.25">
      <c r="A22" s="1197" t="s">
        <v>1049</v>
      </c>
      <c r="B22" s="1198" t="s">
        <v>1050</v>
      </c>
      <c r="C22" s="1199"/>
      <c r="D22" s="1199">
        <v>128160</v>
      </c>
      <c r="E22" s="1199"/>
      <c r="F22" s="1201"/>
    </row>
    <row r="23" spans="1:7" ht="13.8" x14ac:dyDescent="0.25">
      <c r="A23" s="1197" t="s">
        <v>1051</v>
      </c>
      <c r="B23" s="1198" t="s">
        <v>1052</v>
      </c>
      <c r="C23" s="1199">
        <v>21000</v>
      </c>
      <c r="D23" s="1199">
        <v>16000</v>
      </c>
      <c r="E23" s="1199">
        <v>16000</v>
      </c>
      <c r="F23" s="1200">
        <v>10000</v>
      </c>
    </row>
    <row r="24" spans="1:7" ht="13.8" x14ac:dyDescent="0.25">
      <c r="A24" s="1197" t="s">
        <v>1053</v>
      </c>
      <c r="B24" s="1198" t="s">
        <v>1054</v>
      </c>
      <c r="C24" s="1199">
        <v>15002</v>
      </c>
      <c r="D24" s="1199">
        <v>8294</v>
      </c>
      <c r="E24" s="1199">
        <v>8295</v>
      </c>
      <c r="F24" s="1200"/>
      <c r="G24" s="1190"/>
    </row>
    <row r="25" spans="1:7" ht="14.4" thickBot="1" x14ac:dyDescent="0.3">
      <c r="A25" s="1202" t="s">
        <v>1055</v>
      </c>
      <c r="B25" s="1203"/>
      <c r="C25" s="1204">
        <f>SUM(C20:C24)</f>
        <v>128831</v>
      </c>
      <c r="D25" s="1204">
        <f>SUM(D20:D24)</f>
        <v>243326</v>
      </c>
      <c r="E25" s="1204">
        <f>SUM(E20:E24)</f>
        <v>113210</v>
      </c>
      <c r="F25" s="1205">
        <f>SUM(F20:F24)</f>
        <v>97188</v>
      </c>
    </row>
  </sheetData>
  <sheetProtection selectLockedCells="1" selectUnlockedCells="1"/>
  <mergeCells count="1">
    <mergeCell ref="A4:G4"/>
  </mergeCells>
  <pageMargins left="0.75" right="0.75" top="1" bottom="1" header="0.5" footer="0.51180555555555551"/>
  <pageSetup paperSize="9" scale="60" firstPageNumber="0" orientation="portrait" horizontalDpi="300" verticalDpi="300" r:id="rId1"/>
  <headerFooter scaleWithDoc="0" alignWithMargins="0">
    <oddHeader xml:space="preserve">&amp;C14. melléklet
az önkormányzat 2017. évi költségvetéséről szóló 8/2017. (II.24.) önkormányzati rendeletéhez&amp;R
&amp;P. oldal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E41"/>
  <sheetViews>
    <sheetView view="pageLayout" zoomScaleNormal="100" workbookViewId="0">
      <selection activeCell="E12" sqref="E12"/>
    </sheetView>
  </sheetViews>
  <sheetFormatPr defaultColWidth="9.109375" defaultRowHeight="13.2" x14ac:dyDescent="0.25"/>
  <cols>
    <col min="1" max="1" width="65.88671875" style="1146" customWidth="1"/>
    <col min="2" max="2" width="15.44140625" style="1146" customWidth="1"/>
    <col min="3" max="3" width="10.5546875" style="1146" customWidth="1"/>
    <col min="4" max="4" width="12.6640625" style="1146" customWidth="1"/>
    <col min="5" max="16384" width="9.109375" style="1146"/>
  </cols>
  <sheetData>
    <row r="1" spans="1:2" ht="15" x14ac:dyDescent="0.25">
      <c r="A1" s="1587" t="s">
        <v>1003</v>
      </c>
      <c r="B1" s="1587"/>
    </row>
    <row r="2" spans="1:2" ht="15" x14ac:dyDescent="0.25">
      <c r="A2" s="1147"/>
      <c r="B2" s="1148"/>
    </row>
    <row r="3" spans="1:2" ht="15.6" x14ac:dyDescent="0.3">
      <c r="A3" s="1588" t="s">
        <v>1004</v>
      </c>
      <c r="B3" s="1588"/>
    </row>
    <row r="4" spans="1:2" ht="15" x14ac:dyDescent="0.25">
      <c r="A4" s="1147"/>
      <c r="B4" s="1148"/>
    </row>
    <row r="5" spans="1:2" ht="15" x14ac:dyDescent="0.25">
      <c r="A5" s="1147"/>
      <c r="B5" s="1149"/>
    </row>
    <row r="6" spans="1:2" ht="15.6" x14ac:dyDescent="0.3">
      <c r="A6" s="1150" t="s">
        <v>328</v>
      </c>
      <c r="B6" s="1151" t="s">
        <v>1005</v>
      </c>
    </row>
    <row r="7" spans="1:2" ht="15" x14ac:dyDescent="0.25">
      <c r="A7" s="1152" t="s">
        <v>1006</v>
      </c>
      <c r="B7" s="1153">
        <v>36650</v>
      </c>
    </row>
    <row r="8" spans="1:2" ht="15" x14ac:dyDescent="0.25">
      <c r="A8" s="1152" t="s">
        <v>1007</v>
      </c>
      <c r="B8" s="1154">
        <v>7600</v>
      </c>
    </row>
    <row r="9" spans="1:2" ht="15" x14ac:dyDescent="0.25">
      <c r="A9" s="1152" t="s">
        <v>1008</v>
      </c>
      <c r="B9" s="1154">
        <v>5600</v>
      </c>
    </row>
    <row r="10" spans="1:2" ht="15.6" x14ac:dyDescent="0.3">
      <c r="A10" s="1155" t="s">
        <v>1009</v>
      </c>
      <c r="B10" s="1156">
        <f>SUM(B7:B9)</f>
        <v>49850</v>
      </c>
    </row>
    <row r="11" spans="1:2" ht="15.6" x14ac:dyDescent="0.3">
      <c r="A11" s="1155"/>
      <c r="B11" s="1156"/>
    </row>
    <row r="12" spans="1:2" ht="15" x14ac:dyDescent="0.25">
      <c r="A12" s="1152" t="s">
        <v>1010</v>
      </c>
      <c r="B12" s="1153">
        <v>24450</v>
      </c>
    </row>
    <row r="13" spans="1:2" ht="15" x14ac:dyDescent="0.25">
      <c r="A13" s="1152" t="s">
        <v>1011</v>
      </c>
      <c r="B13" s="1153">
        <v>1000</v>
      </c>
    </row>
    <row r="14" spans="1:2" ht="15" x14ac:dyDescent="0.25">
      <c r="A14" s="1152" t="s">
        <v>1012</v>
      </c>
      <c r="B14" s="1153">
        <v>5600</v>
      </c>
    </row>
    <row r="15" spans="1:2" ht="15" x14ac:dyDescent="0.25">
      <c r="A15" s="1152" t="s">
        <v>1013</v>
      </c>
      <c r="B15" s="1154">
        <v>5600</v>
      </c>
    </row>
    <row r="16" spans="1:2" ht="15" x14ac:dyDescent="0.25">
      <c r="A16" s="1152" t="s">
        <v>1014</v>
      </c>
      <c r="B16" s="1153">
        <v>7600</v>
      </c>
    </row>
    <row r="17" spans="1:4" ht="15" x14ac:dyDescent="0.25">
      <c r="A17" s="1152" t="s">
        <v>1015</v>
      </c>
      <c r="B17" s="1153">
        <v>5600</v>
      </c>
    </row>
    <row r="18" spans="1:4" ht="15.6" x14ac:dyDescent="0.3">
      <c r="A18" s="1155" t="s">
        <v>1016</v>
      </c>
      <c r="B18" s="1156">
        <f>SUM(B12:B17)</f>
        <v>49850</v>
      </c>
      <c r="D18" s="1146">
        <f>24450+29000</f>
        <v>53450</v>
      </c>
    </row>
    <row r="19" spans="1:4" ht="15" x14ac:dyDescent="0.25">
      <c r="A19" s="1157"/>
      <c r="B19" s="1158"/>
    </row>
    <row r="20" spans="1:4" ht="15.6" x14ac:dyDescent="0.3">
      <c r="A20" s="1155" t="s">
        <v>1017</v>
      </c>
      <c r="B20" s="1156">
        <f>B10-B18</f>
        <v>0</v>
      </c>
    </row>
    <row r="24" spans="1:4" ht="15" x14ac:dyDescent="0.25">
      <c r="A24" s="1587" t="s">
        <v>1018</v>
      </c>
      <c r="B24" s="1587"/>
    </row>
    <row r="25" spans="1:4" ht="15" x14ac:dyDescent="0.25">
      <c r="A25" s="1147"/>
      <c r="B25" s="1148"/>
    </row>
    <row r="26" spans="1:4" ht="15.6" x14ac:dyDescent="0.3">
      <c r="A26" s="1588" t="s">
        <v>1019</v>
      </c>
      <c r="B26" s="1588"/>
    </row>
    <row r="27" spans="1:4" ht="15" x14ac:dyDescent="0.25">
      <c r="A27" s="1147"/>
      <c r="B27" s="1148"/>
    </row>
    <row r="28" spans="1:4" ht="15" x14ac:dyDescent="0.25">
      <c r="A28" s="1147"/>
      <c r="B28" s="1149"/>
    </row>
    <row r="29" spans="1:4" ht="15.6" x14ac:dyDescent="0.3">
      <c r="A29" s="1150" t="s">
        <v>328</v>
      </c>
      <c r="B29" s="1151" t="s">
        <v>1005</v>
      </c>
    </row>
    <row r="30" spans="1:4" ht="15.6" x14ac:dyDescent="0.3">
      <c r="A30" s="1159" t="s">
        <v>1020</v>
      </c>
      <c r="B30" s="1160">
        <v>5301</v>
      </c>
    </row>
    <row r="31" spans="1:4" ht="15.6" x14ac:dyDescent="0.3">
      <c r="A31" s="1155" t="s">
        <v>1021</v>
      </c>
      <c r="B31" s="1161"/>
    </row>
    <row r="32" spans="1:4" ht="15" x14ac:dyDescent="0.25">
      <c r="A32" s="1152" t="s">
        <v>1022</v>
      </c>
      <c r="B32" s="1161">
        <v>0</v>
      </c>
    </row>
    <row r="33" spans="1:5" ht="15" x14ac:dyDescent="0.25">
      <c r="A33" s="1152" t="s">
        <v>1023</v>
      </c>
      <c r="B33" s="1161">
        <v>860</v>
      </c>
    </row>
    <row r="34" spans="1:5" ht="15" x14ac:dyDescent="0.25">
      <c r="A34" s="1152" t="s">
        <v>1024</v>
      </c>
      <c r="B34" s="1161">
        <v>0</v>
      </c>
    </row>
    <row r="35" spans="1:5" ht="15.6" x14ac:dyDescent="0.3">
      <c r="A35" s="1155" t="s">
        <v>1025</v>
      </c>
      <c r="B35" s="1161">
        <f>B30+B32+B33-B34</f>
        <v>6161</v>
      </c>
    </row>
    <row r="36" spans="1:5" ht="15" x14ac:dyDescent="0.25">
      <c r="A36" s="1152" t="s">
        <v>1026</v>
      </c>
      <c r="B36" s="1161">
        <v>0</v>
      </c>
    </row>
    <row r="37" spans="1:5" ht="15" x14ac:dyDescent="0.25">
      <c r="A37" s="1152" t="s">
        <v>1027</v>
      </c>
      <c r="B37" s="1162">
        <f>707</f>
        <v>707</v>
      </c>
      <c r="C37" s="1163"/>
      <c r="D37" s="1164"/>
    </row>
    <row r="38" spans="1:5" ht="15.6" x14ac:dyDescent="0.3">
      <c r="A38" s="1165" t="s">
        <v>1028</v>
      </c>
      <c r="B38" s="1162">
        <f>B35-B36+B37</f>
        <v>6868</v>
      </c>
      <c r="C38" s="1163"/>
      <c r="D38" s="1164"/>
    </row>
    <row r="39" spans="1:5" ht="15" x14ac:dyDescent="0.25">
      <c r="A39" s="1166" t="s">
        <v>1029</v>
      </c>
      <c r="B39" s="1167"/>
      <c r="C39" s="1589"/>
      <c r="D39" s="1589"/>
      <c r="E39" s="1589"/>
    </row>
    <row r="40" spans="1:5" ht="15" x14ac:dyDescent="0.25">
      <c r="A40" s="1166" t="s">
        <v>1030</v>
      </c>
      <c r="B40" s="1167">
        <v>900</v>
      </c>
    </row>
    <row r="41" spans="1:5" ht="15.6" x14ac:dyDescent="0.3">
      <c r="A41" s="1155" t="s">
        <v>1031</v>
      </c>
      <c r="B41" s="1156">
        <f>B38-B39+B40</f>
        <v>7768</v>
      </c>
      <c r="C41" s="1148"/>
      <c r="D41" s="1148"/>
    </row>
  </sheetData>
  <sheetProtection selectLockedCells="1" selectUnlockedCells="1"/>
  <mergeCells count="5">
    <mergeCell ref="A1:B1"/>
    <mergeCell ref="A3:B3"/>
    <mergeCell ref="A24:B24"/>
    <mergeCell ref="A26:B26"/>
    <mergeCell ref="C39:E39"/>
  </mergeCells>
  <pageMargins left="0.74791666666666667" right="0.74791666666666667" top="0.98402777777777772" bottom="0.98402777777777772" header="0.5" footer="0.51180555555555551"/>
  <pageSetup paperSize="9" scale="86" firstPageNumber="0" orientation="portrait" horizontalDpi="300" verticalDpi="300" r:id="rId1"/>
  <headerFooter alignWithMargins="0">
    <oddHeader>&amp;C15-16. mellékelt
az önkormányzat 2017. évi költségvetéséről szóló 8/2017. (II.24.) önkormányzati rendeletéhez&amp;R
&amp;P. oldal</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pageSetUpPr fitToPage="1"/>
  </sheetPr>
  <dimension ref="A1:O56"/>
  <sheetViews>
    <sheetView view="pageLayout" topLeftCell="F1" zoomScaleNormal="100" zoomScaleSheetLayoutView="89" workbookViewId="0">
      <selection activeCell="A3" sqref="A3:O3"/>
    </sheetView>
  </sheetViews>
  <sheetFormatPr defaultColWidth="9.109375" defaultRowHeight="13.2" x14ac:dyDescent="0.25"/>
  <cols>
    <col min="1" max="1" width="51" style="438" customWidth="1"/>
    <col min="2" max="3" width="15" style="415" customWidth="1"/>
    <col min="4" max="4" width="16" style="415" customWidth="1"/>
    <col min="5" max="5" width="15.6640625" style="415" customWidth="1"/>
    <col min="6" max="9" width="16.109375" style="415" bestFit="1" customWidth="1"/>
    <col min="10" max="10" width="16.109375" style="415" customWidth="1"/>
    <col min="11" max="12" width="16.109375" style="415" bestFit="1" customWidth="1"/>
    <col min="13" max="13" width="16.88671875" style="415" bestFit="1" customWidth="1"/>
    <col min="14" max="14" width="18.88671875" style="415" customWidth="1"/>
    <col min="15" max="15" width="14.88671875" style="415" customWidth="1"/>
    <col min="16" max="16384" width="9.109375" style="415"/>
  </cols>
  <sheetData>
    <row r="1" spans="1:15" ht="15" x14ac:dyDescent="0.25">
      <c r="A1" s="413"/>
      <c r="B1" s="414"/>
      <c r="C1" s="414"/>
      <c r="D1" s="414"/>
      <c r="E1" s="414"/>
      <c r="F1" s="414"/>
      <c r="G1" s="414"/>
      <c r="H1" s="414"/>
      <c r="I1" s="414"/>
      <c r="J1" s="414"/>
      <c r="K1" s="414"/>
      <c r="L1" s="414"/>
      <c r="M1" s="414"/>
      <c r="N1" s="414"/>
    </row>
    <row r="2" spans="1:15" ht="15" x14ac:dyDescent="0.25">
      <c r="A2" s="416"/>
      <c r="B2" s="414"/>
      <c r="C2" s="414"/>
      <c r="D2" s="414"/>
      <c r="E2" s="414"/>
      <c r="F2" s="414"/>
      <c r="G2" s="414"/>
      <c r="H2" s="414"/>
      <c r="I2" s="414"/>
      <c r="J2" s="414"/>
      <c r="K2" s="414"/>
      <c r="L2" s="414"/>
      <c r="M2" s="1590"/>
      <c r="N2" s="1590"/>
    </row>
    <row r="3" spans="1:15" ht="15.75" customHeight="1" x14ac:dyDescent="0.3">
      <c r="A3" s="1591" t="s">
        <v>178</v>
      </c>
      <c r="B3" s="1591"/>
      <c r="C3" s="1591"/>
      <c r="D3" s="1591"/>
      <c r="E3" s="1591"/>
      <c r="F3" s="1591"/>
      <c r="G3" s="1591"/>
      <c r="H3" s="1591"/>
      <c r="I3" s="1591"/>
      <c r="J3" s="1591"/>
      <c r="K3" s="1591"/>
      <c r="L3" s="1591"/>
      <c r="M3" s="1591"/>
      <c r="N3" s="1591"/>
      <c r="O3" s="1591"/>
    </row>
    <row r="4" spans="1:15" ht="15" x14ac:dyDescent="0.25">
      <c r="A4" s="413"/>
      <c r="B4" s="414"/>
      <c r="C4" s="414"/>
      <c r="D4" s="414"/>
      <c r="E4" s="414"/>
      <c r="F4" s="414"/>
      <c r="G4" s="414"/>
      <c r="H4" s="414"/>
      <c r="I4" s="414"/>
      <c r="J4" s="414"/>
      <c r="K4" s="414"/>
      <c r="L4" s="414"/>
      <c r="M4" s="414"/>
      <c r="N4" s="417"/>
    </row>
    <row r="5" spans="1:15" ht="15" x14ac:dyDescent="0.25">
      <c r="A5" s="418" t="s">
        <v>328</v>
      </c>
      <c r="B5" s="418" t="s">
        <v>36</v>
      </c>
      <c r="C5" s="418" t="s">
        <v>37</v>
      </c>
      <c r="D5" s="418" t="s">
        <v>38</v>
      </c>
      <c r="E5" s="418" t="s">
        <v>39</v>
      </c>
      <c r="F5" s="418" t="s">
        <v>40</v>
      </c>
      <c r="G5" s="418" t="s">
        <v>41</v>
      </c>
      <c r="H5" s="418" t="s">
        <v>42</v>
      </c>
      <c r="I5" s="418" t="s">
        <v>43</v>
      </c>
      <c r="J5" s="418" t="s">
        <v>44</v>
      </c>
      <c r="K5" s="418" t="s">
        <v>45</v>
      </c>
      <c r="L5" s="418" t="s">
        <v>46</v>
      </c>
      <c r="M5" s="418" t="s">
        <v>47</v>
      </c>
      <c r="N5" s="418" t="s">
        <v>325</v>
      </c>
    </row>
    <row r="6" spans="1:15" ht="15.6" x14ac:dyDescent="0.3">
      <c r="A6" s="419" t="s">
        <v>48</v>
      </c>
      <c r="B6" s="420">
        <v>976185625</v>
      </c>
      <c r="C6" s="420">
        <f t="shared" ref="C6:M6" si="0">B55</f>
        <v>863230417</v>
      </c>
      <c r="D6" s="420">
        <f t="shared" si="0"/>
        <v>726988337</v>
      </c>
      <c r="E6" s="420">
        <f t="shared" si="0"/>
        <v>125219202</v>
      </c>
      <c r="F6" s="420">
        <f t="shared" si="0"/>
        <v>840093689</v>
      </c>
      <c r="G6" s="420">
        <f t="shared" si="0"/>
        <v>440751566</v>
      </c>
      <c r="H6" s="420">
        <f t="shared" si="0"/>
        <v>1298827380</v>
      </c>
      <c r="I6" s="420">
        <f t="shared" si="0"/>
        <v>976029365</v>
      </c>
      <c r="J6" s="420">
        <f t="shared" si="0"/>
        <v>774696388</v>
      </c>
      <c r="K6" s="420">
        <f t="shared" si="0"/>
        <v>1136823056</v>
      </c>
      <c r="L6" s="420">
        <f t="shared" si="0"/>
        <v>1010736279</v>
      </c>
      <c r="M6" s="420">
        <f t="shared" si="0"/>
        <v>1084912126</v>
      </c>
      <c r="N6" s="420">
        <v>976185625</v>
      </c>
    </row>
    <row r="7" spans="1:15" ht="15.6" x14ac:dyDescent="0.3">
      <c r="A7" s="421" t="s">
        <v>790</v>
      </c>
      <c r="B7" s="422"/>
      <c r="C7" s="422"/>
      <c r="D7" s="422"/>
      <c r="E7" s="422"/>
      <c r="F7" s="422"/>
      <c r="G7" s="422"/>
      <c r="H7" s="422"/>
      <c r="I7" s="422"/>
      <c r="J7" s="422"/>
      <c r="K7" s="422"/>
      <c r="L7" s="422"/>
      <c r="M7" s="422"/>
      <c r="N7" s="422"/>
    </row>
    <row r="8" spans="1:15" ht="15" x14ac:dyDescent="0.25">
      <c r="A8" s="423" t="s">
        <v>49</v>
      </c>
      <c r="B8" s="424">
        <v>116516137</v>
      </c>
      <c r="C8" s="424">
        <v>75434495</v>
      </c>
      <c r="D8" s="424">
        <v>80123085</v>
      </c>
      <c r="E8" s="424">
        <v>76060756</v>
      </c>
      <c r="F8" s="424">
        <v>87503520</v>
      </c>
      <c r="G8" s="424">
        <v>436159264</v>
      </c>
      <c r="H8" s="424">
        <v>76212591</v>
      </c>
      <c r="I8" s="424">
        <v>83212591</v>
      </c>
      <c r="J8" s="424">
        <v>93570191</v>
      </c>
      <c r="K8" s="424">
        <v>74212591</v>
      </c>
      <c r="L8" s="424">
        <v>77760407</v>
      </c>
      <c r="M8" s="424">
        <v>74988079</v>
      </c>
      <c r="N8" s="426">
        <f t="shared" ref="N8:N16" si="1">SUM(B8:M8)</f>
        <v>1351753707</v>
      </c>
      <c r="O8" s="428">
        <f>'8a. sz. tábla  (4)'!C8</f>
        <v>1120350295</v>
      </c>
    </row>
    <row r="9" spans="1:15" ht="15" x14ac:dyDescent="0.25">
      <c r="A9" s="425" t="s">
        <v>50</v>
      </c>
      <c r="B9" s="426">
        <v>16170000</v>
      </c>
      <c r="C9" s="426">
        <v>12000000</v>
      </c>
      <c r="D9" s="426">
        <v>461000000</v>
      </c>
      <c r="E9" s="426">
        <v>28000000</v>
      </c>
      <c r="F9" s="426">
        <v>81000000</v>
      </c>
      <c r="G9" s="426">
        <v>42230000</v>
      </c>
      <c r="H9" s="426">
        <v>80000000</v>
      </c>
      <c r="I9" s="426">
        <v>130000000</v>
      </c>
      <c r="J9" s="426">
        <v>600000000</v>
      </c>
      <c r="K9" s="426">
        <v>60000000</v>
      </c>
      <c r="L9" s="426">
        <v>60000000</v>
      </c>
      <c r="M9" s="426">
        <v>105000000</v>
      </c>
      <c r="N9" s="426">
        <f t="shared" si="1"/>
        <v>1675400000</v>
      </c>
      <c r="O9" s="428">
        <f>'8a. sz. tábla  (4)'!C9</f>
        <v>1675400000</v>
      </c>
    </row>
    <row r="10" spans="1:15" ht="15" x14ac:dyDescent="0.25">
      <c r="A10" s="425" t="s">
        <v>51</v>
      </c>
      <c r="B10" s="426">
        <v>21234618</v>
      </c>
      <c r="C10" s="426">
        <v>41452420</v>
      </c>
      <c r="D10" s="426">
        <v>22595299</v>
      </c>
      <c r="E10" s="426">
        <v>31411835</v>
      </c>
      <c r="F10" s="426">
        <v>42665459</v>
      </c>
      <c r="G10" s="426">
        <v>22253399</v>
      </c>
      <c r="H10" s="426">
        <v>65445320</v>
      </c>
      <c r="I10" s="426">
        <v>169482070</v>
      </c>
      <c r="J10" s="426">
        <v>78005299</v>
      </c>
      <c r="K10" s="426">
        <v>23054120</v>
      </c>
      <c r="L10" s="426">
        <v>12810300</v>
      </c>
      <c r="M10" s="426">
        <v>18399300</v>
      </c>
      <c r="N10" s="426">
        <f t="shared" si="1"/>
        <v>548809439</v>
      </c>
      <c r="O10" s="428">
        <f>'8a. sz. tábla  (4)'!C10</f>
        <v>548809439</v>
      </c>
    </row>
    <row r="11" spans="1:15" ht="15" x14ac:dyDescent="0.25">
      <c r="A11" s="427" t="s">
        <v>52</v>
      </c>
      <c r="B11" s="426">
        <v>50000</v>
      </c>
      <c r="C11" s="426">
        <v>50000</v>
      </c>
      <c r="D11" s="426">
        <v>5050000</v>
      </c>
      <c r="E11" s="426">
        <v>50000</v>
      </c>
      <c r="F11" s="426">
        <v>600575</v>
      </c>
      <c r="G11" s="426">
        <v>50000</v>
      </c>
      <c r="H11" s="426">
        <v>50000</v>
      </c>
      <c r="I11" s="426">
        <v>50000</v>
      </c>
      <c r="J11" s="426">
        <v>50000</v>
      </c>
      <c r="K11" s="426">
        <v>50000</v>
      </c>
      <c r="L11" s="426">
        <v>50000</v>
      </c>
      <c r="M11" s="426">
        <v>50000</v>
      </c>
      <c r="N11" s="426">
        <f t="shared" si="1"/>
        <v>6150575</v>
      </c>
      <c r="O11" s="428">
        <f>'8a. sz. tábla  (4)'!C11</f>
        <v>6150575</v>
      </c>
    </row>
    <row r="12" spans="1:15" ht="15" customHeight="1" x14ac:dyDescent="0.3">
      <c r="A12" s="429" t="s">
        <v>53</v>
      </c>
      <c r="B12" s="426"/>
      <c r="C12" s="426"/>
      <c r="D12" s="426"/>
      <c r="E12" s="426"/>
      <c r="F12" s="426"/>
      <c r="G12" s="426"/>
      <c r="H12" s="426"/>
      <c r="I12" s="426"/>
      <c r="J12" s="426"/>
      <c r="K12" s="426"/>
      <c r="L12" s="426"/>
      <c r="M12" s="426"/>
      <c r="N12" s="426">
        <f t="shared" si="1"/>
        <v>0</v>
      </c>
    </row>
    <row r="13" spans="1:15" s="496" customFormat="1" ht="15" customHeight="1" x14ac:dyDescent="0.25">
      <c r="A13" s="423" t="s">
        <v>49</v>
      </c>
      <c r="B13" s="426">
        <v>0</v>
      </c>
      <c r="C13" s="426">
        <v>603125</v>
      </c>
      <c r="D13" s="497">
        <v>5223910</v>
      </c>
      <c r="E13" s="497">
        <v>1741305</v>
      </c>
      <c r="F13" s="497">
        <v>1741305</v>
      </c>
      <c r="G13" s="497">
        <v>1741305</v>
      </c>
      <c r="H13" s="497">
        <v>1843521</v>
      </c>
      <c r="I13" s="497">
        <v>1843521</v>
      </c>
      <c r="J13" s="497">
        <v>1843521</v>
      </c>
      <c r="K13" s="497">
        <v>1843521</v>
      </c>
      <c r="L13" s="497">
        <v>1843521</v>
      </c>
      <c r="M13" s="497">
        <v>1843519</v>
      </c>
      <c r="N13" s="426">
        <f t="shared" si="1"/>
        <v>22112074</v>
      </c>
      <c r="O13" s="480">
        <f>'2.sz.tábla   (2)'!F6</f>
        <v>22112074</v>
      </c>
    </row>
    <row r="14" spans="1:15" ht="15" customHeight="1" x14ac:dyDescent="0.25">
      <c r="A14" s="425" t="s">
        <v>50</v>
      </c>
      <c r="B14" s="426"/>
      <c r="C14" s="426">
        <v>50000</v>
      </c>
      <c r="D14" s="426"/>
      <c r="E14" s="426"/>
      <c r="F14" s="426">
        <v>150000</v>
      </c>
      <c r="G14" s="426"/>
      <c r="H14" s="426"/>
      <c r="I14" s="426">
        <v>150000</v>
      </c>
      <c r="J14" s="426"/>
      <c r="K14" s="426"/>
      <c r="L14" s="426">
        <v>150000</v>
      </c>
      <c r="M14" s="426"/>
      <c r="N14" s="426">
        <f t="shared" si="1"/>
        <v>500000</v>
      </c>
      <c r="O14" s="428">
        <f>'2.sz.tábla   (2)'!F29</f>
        <v>500000</v>
      </c>
    </row>
    <row r="15" spans="1:15" ht="15" customHeight="1" x14ac:dyDescent="0.25">
      <c r="A15" s="425" t="s">
        <v>51</v>
      </c>
      <c r="B15" s="426">
        <v>632460</v>
      </c>
      <c r="C15" s="426">
        <v>886460</v>
      </c>
      <c r="D15" s="426">
        <v>1013460</v>
      </c>
      <c r="E15" s="426">
        <v>1907540</v>
      </c>
      <c r="F15" s="426">
        <v>3426460</v>
      </c>
      <c r="G15" s="426">
        <v>1521460</v>
      </c>
      <c r="H15" s="426">
        <v>1457960</v>
      </c>
      <c r="I15" s="426">
        <v>1463040</v>
      </c>
      <c r="J15" s="426">
        <v>949960</v>
      </c>
      <c r="K15" s="426">
        <v>1394460</v>
      </c>
      <c r="L15" s="426">
        <v>822960</v>
      </c>
      <c r="M15" s="426">
        <v>633730</v>
      </c>
      <c r="N15" s="426">
        <f t="shared" si="1"/>
        <v>16109950</v>
      </c>
      <c r="O15" s="428">
        <f>'2.sz.tábla   (2)'!F42</f>
        <v>16109950</v>
      </c>
    </row>
    <row r="16" spans="1:15" ht="18" x14ac:dyDescent="0.35">
      <c r="A16" s="430" t="s">
        <v>792</v>
      </c>
      <c r="B16" s="426"/>
      <c r="C16" s="426"/>
      <c r="D16" s="426"/>
      <c r="E16" s="426"/>
      <c r="F16" s="426"/>
      <c r="G16" s="426"/>
      <c r="H16" s="426"/>
      <c r="I16" s="426"/>
      <c r="J16" s="426"/>
      <c r="K16" s="426"/>
      <c r="L16" s="426"/>
      <c r="M16" s="426"/>
      <c r="N16" s="426">
        <f t="shared" si="1"/>
        <v>0</v>
      </c>
    </row>
    <row r="17" spans="1:15" s="160" customFormat="1" ht="15" x14ac:dyDescent="0.25">
      <c r="A17" s="498" t="s">
        <v>49</v>
      </c>
      <c r="B17" s="499">
        <v>9034417</v>
      </c>
      <c r="C17" s="499">
        <v>9035416</v>
      </c>
      <c r="D17" s="499">
        <v>9035417</v>
      </c>
      <c r="E17" s="499">
        <v>9035417</v>
      </c>
      <c r="F17" s="499">
        <v>9035416</v>
      </c>
      <c r="G17" s="499">
        <v>9620214</v>
      </c>
      <c r="H17" s="499">
        <v>10008626</v>
      </c>
      <c r="I17" s="499">
        <v>9661071</v>
      </c>
      <c r="J17" s="499">
        <v>9694863</v>
      </c>
      <c r="K17" s="499">
        <v>9718393</v>
      </c>
      <c r="L17" s="499">
        <v>9683381</v>
      </c>
      <c r="M17" s="499">
        <v>9561100</v>
      </c>
      <c r="N17" s="499">
        <f>SUM(B17:M17)</f>
        <v>113123731</v>
      </c>
      <c r="O17" s="481">
        <f>'2.sz.tábla   (2)'!I6</f>
        <v>113123731</v>
      </c>
    </row>
    <row r="18" spans="1:15" s="160" customFormat="1" ht="15" x14ac:dyDescent="0.25">
      <c r="A18" s="500" t="s">
        <v>51</v>
      </c>
      <c r="B18" s="499">
        <v>2484000</v>
      </c>
      <c r="C18" s="499">
        <v>3345000</v>
      </c>
      <c r="D18" s="499">
        <v>3340000</v>
      </c>
      <c r="E18" s="499">
        <v>2486000</v>
      </c>
      <c r="F18" s="499">
        <v>3345000</v>
      </c>
      <c r="G18" s="499">
        <v>4006000</v>
      </c>
      <c r="H18" s="499">
        <v>2485000</v>
      </c>
      <c r="I18" s="499">
        <v>3347000</v>
      </c>
      <c r="J18" s="499">
        <v>3340000</v>
      </c>
      <c r="K18" s="499">
        <v>2485000</v>
      </c>
      <c r="L18" s="499">
        <v>3344000</v>
      </c>
      <c r="M18" s="499">
        <v>3341000</v>
      </c>
      <c r="N18" s="499">
        <f>SUM(B18:M18)</f>
        <v>37348000</v>
      </c>
      <c r="O18" s="481">
        <f>'2.sz.tábla   (2)'!I42</f>
        <v>37348000</v>
      </c>
    </row>
    <row r="19" spans="1:15" s="160" customFormat="1" ht="15" x14ac:dyDescent="0.25">
      <c r="A19" s="500" t="s">
        <v>54</v>
      </c>
      <c r="B19" s="499"/>
      <c r="C19" s="499"/>
      <c r="D19" s="499"/>
      <c r="E19" s="499"/>
      <c r="F19" s="499"/>
      <c r="G19" s="499"/>
      <c r="H19" s="499"/>
      <c r="I19" s="499"/>
      <c r="J19" s="499"/>
      <c r="K19" s="499"/>
      <c r="L19" s="499"/>
      <c r="M19" s="499"/>
      <c r="N19" s="499">
        <f>SUM(B19:M19)</f>
        <v>0</v>
      </c>
      <c r="O19" s="481">
        <f>'2.a tábla ÚJ '!M40</f>
        <v>0</v>
      </c>
    </row>
    <row r="20" spans="1:15" s="160" customFormat="1" ht="15.6" x14ac:dyDescent="0.3">
      <c r="A20" s="501" t="s">
        <v>55</v>
      </c>
      <c r="B20" s="502">
        <f>SUM(B8:B19)</f>
        <v>166121632</v>
      </c>
      <c r="C20" s="502">
        <f t="shared" ref="C20:N20" si="2">SUM(C8:C19)</f>
        <v>142856916</v>
      </c>
      <c r="D20" s="502">
        <f t="shared" si="2"/>
        <v>587381171</v>
      </c>
      <c r="E20" s="502">
        <f t="shared" si="2"/>
        <v>150692853</v>
      </c>
      <c r="F20" s="502">
        <f t="shared" si="2"/>
        <v>229467735</v>
      </c>
      <c r="G20" s="502">
        <f t="shared" si="2"/>
        <v>517581642</v>
      </c>
      <c r="H20" s="502">
        <f t="shared" si="2"/>
        <v>237503018</v>
      </c>
      <c r="I20" s="502">
        <f t="shared" si="2"/>
        <v>399209293</v>
      </c>
      <c r="J20" s="502">
        <f t="shared" si="2"/>
        <v>787453834</v>
      </c>
      <c r="K20" s="502">
        <f t="shared" si="2"/>
        <v>172758085</v>
      </c>
      <c r="L20" s="502">
        <f t="shared" si="2"/>
        <v>166464569</v>
      </c>
      <c r="M20" s="502">
        <f t="shared" si="2"/>
        <v>213816728</v>
      </c>
      <c r="N20" s="502">
        <f t="shared" si="2"/>
        <v>3771307476</v>
      </c>
      <c r="O20" s="481">
        <f>SUM(O8:O19)</f>
        <v>3539904064</v>
      </c>
    </row>
    <row r="21" spans="1:15" s="160" customFormat="1" ht="15" x14ac:dyDescent="0.25">
      <c r="A21" s="498" t="s">
        <v>56</v>
      </c>
      <c r="B21" s="499">
        <v>0</v>
      </c>
      <c r="C21" s="499">
        <v>3348384</v>
      </c>
      <c r="D21" s="499">
        <v>0</v>
      </c>
      <c r="E21" s="499">
        <v>761000000</v>
      </c>
      <c r="F21" s="499">
        <v>600700000</v>
      </c>
      <c r="G21" s="499">
        <v>814973339</v>
      </c>
      <c r="H21" s="499">
        <v>0</v>
      </c>
      <c r="I21" s="499">
        <v>76775000</v>
      </c>
      <c r="J21" s="499">
        <v>100982802</v>
      </c>
      <c r="K21" s="499"/>
      <c r="L21" s="499"/>
      <c r="M21" s="499">
        <v>5000000</v>
      </c>
      <c r="N21" s="499">
        <f>SUM(B21:M21)</f>
        <v>2362779525</v>
      </c>
      <c r="O21" s="481">
        <f>'8a. sz. tábla  (4)'!C31</f>
        <v>2362779525</v>
      </c>
    </row>
    <row r="22" spans="1:15" s="160" customFormat="1" ht="15" x14ac:dyDescent="0.25">
      <c r="A22" s="500" t="s">
        <v>57</v>
      </c>
      <c r="B22" s="499">
        <v>48723100</v>
      </c>
      <c r="C22" s="499">
        <v>20900000</v>
      </c>
      <c r="D22" s="499">
        <v>101732283</v>
      </c>
      <c r="E22" s="499">
        <v>0</v>
      </c>
      <c r="F22" s="499"/>
      <c r="G22" s="499"/>
      <c r="H22" s="499"/>
      <c r="I22" s="499"/>
      <c r="J22" s="499"/>
      <c r="K22" s="499"/>
      <c r="L22" s="499"/>
      <c r="M22" s="499"/>
      <c r="N22" s="499">
        <f>SUM(B22:M22)</f>
        <v>171355383</v>
      </c>
      <c r="O22" s="481">
        <f>'8a. sz. tábla  (4)'!C32</f>
        <v>171355383</v>
      </c>
    </row>
    <row r="23" spans="1:15" s="160" customFormat="1" ht="15" x14ac:dyDescent="0.25">
      <c r="A23" s="500" t="s">
        <v>58</v>
      </c>
      <c r="B23" s="499">
        <v>7970885</v>
      </c>
      <c r="C23" s="499">
        <v>1675091</v>
      </c>
      <c r="D23" s="499">
        <v>1675091</v>
      </c>
      <c r="E23" s="499">
        <v>2970885</v>
      </c>
      <c r="F23" s="499">
        <v>1675091</v>
      </c>
      <c r="G23" s="499">
        <v>36675091</v>
      </c>
      <c r="H23" s="499">
        <v>191970885</v>
      </c>
      <c r="I23" s="499">
        <v>18675091</v>
      </c>
      <c r="J23" s="499">
        <v>1675091</v>
      </c>
      <c r="K23" s="499">
        <v>1970885</v>
      </c>
      <c r="L23" s="499">
        <v>1675091</v>
      </c>
      <c r="M23" s="499">
        <v>7209782</v>
      </c>
      <c r="N23" s="499">
        <f>SUM(B23:M23)</f>
        <v>275818959</v>
      </c>
      <c r="O23" s="481">
        <f>'8a. sz. tábla  (4)'!C33</f>
        <v>275818959</v>
      </c>
    </row>
    <row r="24" spans="1:15" s="432" customFormat="1" ht="15.6" x14ac:dyDescent="0.3">
      <c r="A24" s="501" t="s">
        <v>59</v>
      </c>
      <c r="B24" s="502"/>
      <c r="C24" s="502"/>
      <c r="D24" s="502"/>
      <c r="E24" s="502"/>
      <c r="F24" s="502"/>
      <c r="G24" s="502"/>
      <c r="H24" s="502"/>
      <c r="I24" s="502"/>
      <c r="J24" s="502"/>
      <c r="K24" s="502"/>
      <c r="L24" s="502"/>
      <c r="M24" s="502"/>
      <c r="N24" s="502">
        <f>SUM(B24:M24)</f>
        <v>0</v>
      </c>
    </row>
    <row r="25" spans="1:15" s="432" customFormat="1" ht="15.6" x14ac:dyDescent="0.3">
      <c r="A25" s="501" t="s">
        <v>60</v>
      </c>
      <c r="B25" s="502"/>
      <c r="C25" s="502"/>
      <c r="D25" s="502"/>
      <c r="E25" s="502"/>
      <c r="F25" s="502"/>
      <c r="G25" s="502"/>
      <c r="H25" s="502"/>
      <c r="I25" s="502"/>
      <c r="J25" s="502"/>
      <c r="K25" s="502"/>
      <c r="L25" s="502"/>
      <c r="M25" s="502"/>
      <c r="N25" s="502">
        <f>SUM(B25:M25)</f>
        <v>0</v>
      </c>
    </row>
    <row r="26" spans="1:15" s="160" customFormat="1" ht="15.6" x14ac:dyDescent="0.3">
      <c r="A26" s="501" t="s">
        <v>61</v>
      </c>
      <c r="B26" s="502">
        <f>SUM(B21:B25)</f>
        <v>56693985</v>
      </c>
      <c r="C26" s="502">
        <f t="shared" ref="C26:M26" si="3">SUM(C21:C25)</f>
        <v>25923475</v>
      </c>
      <c r="D26" s="502">
        <f t="shared" si="3"/>
        <v>103407374</v>
      </c>
      <c r="E26" s="502">
        <f t="shared" si="3"/>
        <v>763970885</v>
      </c>
      <c r="F26" s="502">
        <f t="shared" si="3"/>
        <v>602375091</v>
      </c>
      <c r="G26" s="502">
        <f t="shared" si="3"/>
        <v>851648430</v>
      </c>
      <c r="H26" s="502">
        <f t="shared" si="3"/>
        <v>191970885</v>
      </c>
      <c r="I26" s="502">
        <f t="shared" si="3"/>
        <v>95450091</v>
      </c>
      <c r="J26" s="502">
        <f t="shared" si="3"/>
        <v>102657893</v>
      </c>
      <c r="K26" s="502">
        <f t="shared" si="3"/>
        <v>1970885</v>
      </c>
      <c r="L26" s="502">
        <f t="shared" si="3"/>
        <v>1675091</v>
      </c>
      <c r="M26" s="502">
        <f t="shared" si="3"/>
        <v>12209782</v>
      </c>
      <c r="N26" s="502">
        <f>SUM(N21:N25)</f>
        <v>2809953867</v>
      </c>
      <c r="O26" s="481">
        <f>SUM(O21:O25)</f>
        <v>2809953867</v>
      </c>
    </row>
    <row r="27" spans="1:15" s="160" customFormat="1" ht="15.6" x14ac:dyDescent="0.3">
      <c r="A27" s="433" t="s">
        <v>784</v>
      </c>
      <c r="B27" s="426">
        <f>B20+B26</f>
        <v>222815617</v>
      </c>
      <c r="C27" s="426">
        <f t="shared" ref="C27:N27" si="4">C20+C26</f>
        <v>168780391</v>
      </c>
      <c r="D27" s="426">
        <f t="shared" si="4"/>
        <v>690788545</v>
      </c>
      <c r="E27" s="426">
        <f t="shared" si="4"/>
        <v>914663738</v>
      </c>
      <c r="F27" s="426">
        <f t="shared" si="4"/>
        <v>831842826</v>
      </c>
      <c r="G27" s="426">
        <f t="shared" si="4"/>
        <v>1369230072</v>
      </c>
      <c r="H27" s="426">
        <f t="shared" si="4"/>
        <v>429473903</v>
      </c>
      <c r="I27" s="426">
        <f t="shared" si="4"/>
        <v>494659384</v>
      </c>
      <c r="J27" s="426">
        <f t="shared" si="4"/>
        <v>890111727</v>
      </c>
      <c r="K27" s="426">
        <f t="shared" si="4"/>
        <v>174728970</v>
      </c>
      <c r="L27" s="426">
        <f t="shared" si="4"/>
        <v>168139660</v>
      </c>
      <c r="M27" s="426">
        <f t="shared" si="4"/>
        <v>226026510</v>
      </c>
      <c r="N27" s="434">
        <f t="shared" si="4"/>
        <v>6581261343</v>
      </c>
      <c r="O27" s="481">
        <f>O26+O20</f>
        <v>6349857931</v>
      </c>
    </row>
    <row r="28" spans="1:15" s="160" customFormat="1" ht="45" x14ac:dyDescent="0.25">
      <c r="A28" s="425" t="s">
        <v>62</v>
      </c>
      <c r="B28" s="435">
        <v>1100000</v>
      </c>
      <c r="C28" s="435">
        <v>1100000</v>
      </c>
      <c r="D28" s="435">
        <v>1282280000</v>
      </c>
      <c r="E28" s="435">
        <v>610100000</v>
      </c>
      <c r="F28" s="435">
        <v>1100000</v>
      </c>
      <c r="G28" s="435">
        <v>482280000</v>
      </c>
      <c r="H28" s="435">
        <v>1100000</v>
      </c>
      <c r="I28" s="435">
        <v>1100000</v>
      </c>
      <c r="J28" s="435">
        <v>1000000</v>
      </c>
      <c r="K28" s="435">
        <v>1000000</v>
      </c>
      <c r="L28" s="435">
        <v>122000000</v>
      </c>
      <c r="M28" s="426">
        <v>1000000</v>
      </c>
      <c r="N28" s="426">
        <f>SUM(B28:M28)</f>
        <v>2505160000</v>
      </c>
      <c r="O28" s="481">
        <f>'8a. sz. tábla  (4)'!C45+'8a. sz. tábla  (4)'!C25</f>
        <v>2505160000</v>
      </c>
    </row>
    <row r="29" spans="1:15" s="160" customFormat="1" ht="15" x14ac:dyDescent="0.25">
      <c r="A29" s="425" t="s">
        <v>63</v>
      </c>
      <c r="B29" s="426">
        <v>259729894</v>
      </c>
      <c r="C29" s="426">
        <v>102980960</v>
      </c>
      <c r="D29" s="426">
        <v>310481495</v>
      </c>
      <c r="E29" s="426">
        <v>15835000</v>
      </c>
      <c r="F29" s="426">
        <v>80110570</v>
      </c>
      <c r="G29" s="426">
        <v>17991575</v>
      </c>
      <c r="H29" s="426">
        <v>349250</v>
      </c>
      <c r="I29" s="426">
        <v>25833000</v>
      </c>
      <c r="J29" s="426">
        <v>2911000</v>
      </c>
      <c r="K29" s="426">
        <v>316000</v>
      </c>
      <c r="L29" s="426">
        <v>0</v>
      </c>
      <c r="M29" s="426">
        <v>200732584</v>
      </c>
      <c r="N29" s="426">
        <f>SUM(B29:M29)</f>
        <v>1017271328</v>
      </c>
      <c r="O29" s="481">
        <f>'2.sz.tábla   (2)'!C75</f>
        <v>1017271328</v>
      </c>
    </row>
    <row r="30" spans="1:15" s="160" customFormat="1" ht="15" x14ac:dyDescent="0.25">
      <c r="A30" s="425" t="s">
        <v>64</v>
      </c>
      <c r="B30" s="426">
        <v>5524496</v>
      </c>
      <c r="C30" s="426"/>
      <c r="D30" s="426"/>
      <c r="E30" s="426"/>
      <c r="F30" s="426"/>
      <c r="G30" s="426">
        <v>16806828</v>
      </c>
      <c r="H30" s="426">
        <v>2105398</v>
      </c>
      <c r="I30" s="426"/>
      <c r="J30" s="426"/>
      <c r="K30" s="426">
        <v>2000000</v>
      </c>
      <c r="L30" s="426"/>
      <c r="M30" s="426"/>
      <c r="N30" s="426">
        <f>SUM(B30:M30)</f>
        <v>26436722</v>
      </c>
      <c r="O30" s="160">
        <f>'2.a tábla ÚJ '!Q46</f>
        <v>26436722</v>
      </c>
    </row>
    <row r="31" spans="1:15" s="984" customFormat="1" ht="15" x14ac:dyDescent="0.25">
      <c r="A31" s="425" t="s">
        <v>65</v>
      </c>
      <c r="B31" s="426">
        <v>100000</v>
      </c>
      <c r="C31" s="426">
        <v>80000</v>
      </c>
      <c r="D31" s="426">
        <v>200000</v>
      </c>
      <c r="E31" s="426">
        <v>100000</v>
      </c>
      <c r="F31" s="426">
        <v>0</v>
      </c>
      <c r="G31" s="426">
        <v>12898106</v>
      </c>
      <c r="H31" s="426">
        <v>0</v>
      </c>
      <c r="I31" s="426">
        <v>0</v>
      </c>
      <c r="J31" s="426">
        <v>0</v>
      </c>
      <c r="K31" s="426">
        <v>0</v>
      </c>
      <c r="L31" s="426">
        <v>0</v>
      </c>
      <c r="M31" s="426">
        <v>0</v>
      </c>
      <c r="N31" s="426">
        <f>SUM(B31:M31)</f>
        <v>13378106</v>
      </c>
      <c r="O31" s="983">
        <f>'2.sz.tábla   (2)'!I75</f>
        <v>13378106</v>
      </c>
    </row>
    <row r="32" spans="1:15" s="160" customFormat="1" ht="15.6" x14ac:dyDescent="0.3">
      <c r="A32" s="433" t="s">
        <v>788</v>
      </c>
      <c r="B32" s="434">
        <f t="shared" ref="B32:N32" si="5">SUM(B27:B31)</f>
        <v>489270007</v>
      </c>
      <c r="C32" s="434">
        <f t="shared" si="5"/>
        <v>272941351</v>
      </c>
      <c r="D32" s="434">
        <f t="shared" si="5"/>
        <v>2283750040</v>
      </c>
      <c r="E32" s="434">
        <f t="shared" si="5"/>
        <v>1540698738</v>
      </c>
      <c r="F32" s="434">
        <f t="shared" si="5"/>
        <v>913053396</v>
      </c>
      <c r="G32" s="434">
        <f t="shared" si="5"/>
        <v>1899206581</v>
      </c>
      <c r="H32" s="434">
        <f t="shared" si="5"/>
        <v>433028551</v>
      </c>
      <c r="I32" s="434">
        <f t="shared" si="5"/>
        <v>521592384</v>
      </c>
      <c r="J32" s="434">
        <f t="shared" si="5"/>
        <v>894022727</v>
      </c>
      <c r="K32" s="434">
        <f t="shared" si="5"/>
        <v>178044970</v>
      </c>
      <c r="L32" s="434">
        <f t="shared" si="5"/>
        <v>290139660</v>
      </c>
      <c r="M32" s="434">
        <f t="shared" si="5"/>
        <v>427759094</v>
      </c>
      <c r="N32" s="434">
        <f t="shared" si="5"/>
        <v>10143507499</v>
      </c>
      <c r="O32" s="481">
        <f>SUM(O27:O31)</f>
        <v>9912104087</v>
      </c>
    </row>
    <row r="33" spans="1:15" s="160" customFormat="1" ht="30" x14ac:dyDescent="0.25">
      <c r="A33" s="425" t="s">
        <v>194</v>
      </c>
      <c r="B33" s="426">
        <v>18219473</v>
      </c>
      <c r="C33" s="426">
        <v>19625679</v>
      </c>
      <c r="D33" s="426">
        <v>19561219</v>
      </c>
      <c r="E33" s="426">
        <v>20716219</v>
      </c>
      <c r="F33" s="426">
        <v>24758912</v>
      </c>
      <c r="G33" s="426">
        <v>20327219</v>
      </c>
      <c r="H33" s="426">
        <v>20593719</v>
      </c>
      <c r="I33" s="426">
        <v>21256219</v>
      </c>
      <c r="J33" s="426">
        <v>23944219</v>
      </c>
      <c r="K33" s="426">
        <v>20001222</v>
      </c>
      <c r="L33" s="426">
        <v>20301219</v>
      </c>
      <c r="M33" s="426">
        <v>24872107</v>
      </c>
      <c r="N33" s="426">
        <f t="shared" ref="N33:N44" si="6">SUM(B33:M33)</f>
        <v>254177426</v>
      </c>
      <c r="O33" s="481">
        <f>'5.tábla (2)'!C7</f>
        <v>254177426</v>
      </c>
    </row>
    <row r="34" spans="1:15" s="160" customFormat="1" ht="15" x14ac:dyDescent="0.25">
      <c r="A34" s="425" t="s">
        <v>195</v>
      </c>
      <c r="B34" s="426">
        <v>11291461</v>
      </c>
      <c r="C34" s="426">
        <v>4486629</v>
      </c>
      <c r="D34" s="426">
        <v>4278964</v>
      </c>
      <c r="E34" s="426">
        <v>6605206</v>
      </c>
      <c r="F34" s="426">
        <v>4692030</v>
      </c>
      <c r="G34" s="426">
        <v>4906495</v>
      </c>
      <c r="H34" s="426">
        <v>10152033</v>
      </c>
      <c r="I34" s="426">
        <v>7308833</v>
      </c>
      <c r="J34" s="426">
        <v>5813833</v>
      </c>
      <c r="K34" s="426">
        <v>8577033</v>
      </c>
      <c r="L34" s="426">
        <v>6188833</v>
      </c>
      <c r="M34" s="426">
        <v>7858614</v>
      </c>
      <c r="N34" s="426">
        <f t="shared" si="6"/>
        <v>82159964</v>
      </c>
      <c r="O34" s="481">
        <f>'5.tábla (2)'!C28</f>
        <v>82159964</v>
      </c>
    </row>
    <row r="35" spans="1:15" s="160" customFormat="1" ht="30" x14ac:dyDescent="0.25">
      <c r="A35" s="425" t="s">
        <v>196</v>
      </c>
      <c r="B35" s="426">
        <v>6025606</v>
      </c>
      <c r="C35" s="426">
        <v>4291111</v>
      </c>
      <c r="D35" s="426">
        <v>4343946</v>
      </c>
      <c r="E35" s="426">
        <v>5679634</v>
      </c>
      <c r="F35" s="426">
        <v>6084563</v>
      </c>
      <c r="G35" s="426">
        <v>4489586</v>
      </c>
      <c r="H35" s="426">
        <v>5675564</v>
      </c>
      <c r="I35" s="426">
        <v>4716846</v>
      </c>
      <c r="J35" s="426">
        <v>5308205</v>
      </c>
      <c r="K35" s="426">
        <v>5545215</v>
      </c>
      <c r="L35" s="426">
        <v>4506744</v>
      </c>
      <c r="M35" s="426">
        <v>5516666</v>
      </c>
      <c r="N35" s="426">
        <f t="shared" si="6"/>
        <v>62183686</v>
      </c>
      <c r="O35" s="481">
        <f>'5.tábla (2)'!C8</f>
        <v>62183686</v>
      </c>
    </row>
    <row r="36" spans="1:15" s="160" customFormat="1" ht="15" x14ac:dyDescent="0.25">
      <c r="A36" s="425" t="s">
        <v>197</v>
      </c>
      <c r="B36" s="426">
        <v>2401289</v>
      </c>
      <c r="C36" s="426">
        <v>1586099</v>
      </c>
      <c r="D36" s="426">
        <v>679219</v>
      </c>
      <c r="E36" s="426">
        <v>746828</v>
      </c>
      <c r="F36" s="426">
        <v>1538780</v>
      </c>
      <c r="G36" s="426">
        <v>1196756</v>
      </c>
      <c r="H36" s="426">
        <v>1860407</v>
      </c>
      <c r="I36" s="426">
        <v>2621164</v>
      </c>
      <c r="J36" s="426">
        <v>1066395</v>
      </c>
      <c r="K36" s="426">
        <v>918625</v>
      </c>
      <c r="L36" s="426">
        <v>1847718</v>
      </c>
      <c r="M36" s="426">
        <v>1576657</v>
      </c>
      <c r="N36" s="426">
        <f t="shared" si="6"/>
        <v>18039937</v>
      </c>
      <c r="O36" s="481">
        <f>'5.tábla (2)'!C42</f>
        <v>18039937</v>
      </c>
    </row>
    <row r="37" spans="1:15" s="160" customFormat="1" ht="30" x14ac:dyDescent="0.25">
      <c r="A37" s="425" t="s">
        <v>198</v>
      </c>
      <c r="B37" s="426">
        <v>9503142</v>
      </c>
      <c r="C37" s="426">
        <v>7227460</v>
      </c>
      <c r="D37" s="426">
        <v>6638460</v>
      </c>
      <c r="E37" s="426">
        <v>6215460</v>
      </c>
      <c r="F37" s="426">
        <v>5805540</v>
      </c>
      <c r="G37" s="426">
        <v>6128460</v>
      </c>
      <c r="H37" s="426">
        <v>5673460</v>
      </c>
      <c r="I37" s="426">
        <v>5709960</v>
      </c>
      <c r="J37" s="426">
        <v>5661040</v>
      </c>
      <c r="K37" s="426">
        <v>5531960</v>
      </c>
      <c r="L37" s="426">
        <v>5836460</v>
      </c>
      <c r="M37" s="426">
        <v>6209690</v>
      </c>
      <c r="N37" s="426">
        <f t="shared" si="6"/>
        <v>76141092</v>
      </c>
      <c r="O37" s="481">
        <f>'5.tábla (2)'!C9</f>
        <v>76141092</v>
      </c>
    </row>
    <row r="38" spans="1:15" s="160" customFormat="1" ht="15" x14ac:dyDescent="0.25">
      <c r="A38" s="425" t="s">
        <v>199</v>
      </c>
      <c r="B38" s="426">
        <v>70571169</v>
      </c>
      <c r="C38" s="426">
        <v>69474122</v>
      </c>
      <c r="D38" s="426">
        <v>70721036</v>
      </c>
      <c r="E38" s="426">
        <v>88330866</v>
      </c>
      <c r="F38" s="426">
        <v>103940818</v>
      </c>
      <c r="G38" s="426">
        <v>245220310</v>
      </c>
      <c r="H38" s="426">
        <v>121949601</v>
      </c>
      <c r="I38" s="426">
        <v>87685710</v>
      </c>
      <c r="J38" s="426">
        <v>146223265</v>
      </c>
      <c r="K38" s="426">
        <v>48663992</v>
      </c>
      <c r="L38" s="426">
        <v>36555812</v>
      </c>
      <c r="M38" s="426">
        <v>47483669</v>
      </c>
      <c r="N38" s="426">
        <f t="shared" si="6"/>
        <v>1136820370</v>
      </c>
      <c r="O38" s="481">
        <f>'5.tábla (2)'!C56</f>
        <v>1136820370</v>
      </c>
    </row>
    <row r="39" spans="1:15" s="160" customFormat="1" ht="27.75" customHeight="1" x14ac:dyDescent="0.25">
      <c r="A39" s="425" t="s">
        <v>200</v>
      </c>
      <c r="B39" s="426"/>
      <c r="C39" s="426"/>
      <c r="D39" s="426"/>
      <c r="E39" s="426"/>
      <c r="F39" s="426"/>
      <c r="G39" s="426"/>
      <c r="H39" s="426"/>
      <c r="I39" s="426">
        <v>1197200</v>
      </c>
      <c r="J39" s="426"/>
      <c r="K39" s="426"/>
      <c r="L39" s="426">
        <v>1197200</v>
      </c>
      <c r="M39" s="426"/>
      <c r="N39" s="426">
        <f t="shared" si="6"/>
        <v>2394400</v>
      </c>
      <c r="O39" s="481">
        <f>'5.tábla (2)'!C15+'5.tábla (2)'!C17</f>
        <v>2394400</v>
      </c>
    </row>
    <row r="40" spans="1:15" s="160" customFormat="1" ht="15" customHeight="1" x14ac:dyDescent="0.25">
      <c r="A40" s="425" t="s">
        <v>201</v>
      </c>
      <c r="B40" s="426">
        <v>2492500</v>
      </c>
      <c r="C40" s="426">
        <v>1870000</v>
      </c>
      <c r="D40" s="426">
        <v>1820000</v>
      </c>
      <c r="E40" s="426">
        <v>2870000</v>
      </c>
      <c r="F40" s="426">
        <v>1760000</v>
      </c>
      <c r="G40" s="426">
        <v>2260000</v>
      </c>
      <c r="H40" s="426">
        <v>1910000</v>
      </c>
      <c r="I40" s="426">
        <v>3260000</v>
      </c>
      <c r="J40" s="426">
        <v>2610000</v>
      </c>
      <c r="K40" s="426">
        <v>1760000</v>
      </c>
      <c r="L40" s="426">
        <v>2890000</v>
      </c>
      <c r="M40" s="426">
        <v>3200000</v>
      </c>
      <c r="N40" s="426">
        <f t="shared" si="6"/>
        <v>28702500</v>
      </c>
      <c r="O40" s="481">
        <f>'5.tábla (2)'!C92</f>
        <v>28702500</v>
      </c>
    </row>
    <row r="41" spans="1:15" s="160" customFormat="1" ht="30" x14ac:dyDescent="0.25">
      <c r="A41" s="425" t="s">
        <v>880</v>
      </c>
      <c r="B41" s="426"/>
      <c r="C41" s="426"/>
      <c r="D41" s="426"/>
      <c r="E41" s="426"/>
      <c r="F41" s="426"/>
      <c r="G41" s="426"/>
      <c r="H41" s="426">
        <v>2105398</v>
      </c>
      <c r="I41" s="426"/>
      <c r="J41" s="426"/>
      <c r="K41" s="426"/>
      <c r="L41" s="426"/>
      <c r="M41" s="426"/>
      <c r="N41" s="426">
        <f t="shared" si="6"/>
        <v>2105398</v>
      </c>
      <c r="O41" s="481">
        <f>'5.tábla (2)'!C19</f>
        <v>2105398</v>
      </c>
    </row>
    <row r="42" spans="1:15" s="160" customFormat="1" ht="15" x14ac:dyDescent="0.25">
      <c r="A42" s="425" t="s">
        <v>202</v>
      </c>
      <c r="B42" s="426">
        <v>61015505</v>
      </c>
      <c r="C42" s="426">
        <v>99452944</v>
      </c>
      <c r="D42" s="426">
        <v>85681472</v>
      </c>
      <c r="E42" s="426">
        <v>110526309</v>
      </c>
      <c r="F42" s="426">
        <v>91244533</v>
      </c>
      <c r="G42" s="426">
        <v>71627933</v>
      </c>
      <c r="H42" s="426">
        <v>90959365</v>
      </c>
      <c r="I42" s="426">
        <v>75929652</v>
      </c>
      <c r="J42" s="426">
        <v>88893652</v>
      </c>
      <c r="K42" s="426">
        <v>73902300</v>
      </c>
      <c r="L42" s="426">
        <v>76593653</v>
      </c>
      <c r="M42" s="426">
        <v>69782315</v>
      </c>
      <c r="N42" s="426">
        <f t="shared" si="6"/>
        <v>995609633</v>
      </c>
      <c r="O42" s="481">
        <f>'5.tábla (2)'!C101</f>
        <v>995609633</v>
      </c>
    </row>
    <row r="43" spans="1:15" s="984" customFormat="1" ht="30" x14ac:dyDescent="0.25">
      <c r="A43" s="425" t="s">
        <v>203</v>
      </c>
      <c r="B43" s="426">
        <v>23844901</v>
      </c>
      <c r="C43" s="426">
        <v>23080050</v>
      </c>
      <c r="D43" s="426">
        <v>24640969</v>
      </c>
      <c r="E43" s="426">
        <v>23042886</v>
      </c>
      <c r="F43" s="426">
        <v>24387109</v>
      </c>
      <c r="G43" s="426">
        <v>25638906</v>
      </c>
      <c r="H43" s="426">
        <v>28861235</v>
      </c>
      <c r="I43" s="426">
        <v>25108668</v>
      </c>
      <c r="J43" s="426">
        <v>24683555</v>
      </c>
      <c r="K43" s="426">
        <v>25518400</v>
      </c>
      <c r="L43" s="426">
        <v>25985074</v>
      </c>
      <c r="M43" s="426">
        <v>24693792</v>
      </c>
      <c r="N43" s="426">
        <f t="shared" si="6"/>
        <v>299485545</v>
      </c>
      <c r="O43" s="983">
        <f>'4.sz.tábla '!C7+'4.sz.tábla '!F7+'4.sz.tábla '!I7</f>
        <v>299485545</v>
      </c>
    </row>
    <row r="44" spans="1:15" s="160" customFormat="1" ht="15" x14ac:dyDescent="0.25">
      <c r="A44" s="425" t="s">
        <v>66</v>
      </c>
      <c r="B44" s="426"/>
      <c r="C44" s="426"/>
      <c r="D44" s="426"/>
      <c r="E44" s="426"/>
      <c r="F44" s="426"/>
      <c r="G44" s="426"/>
      <c r="H44" s="426"/>
      <c r="I44" s="426"/>
      <c r="J44" s="426"/>
      <c r="K44" s="426"/>
      <c r="L44" s="426"/>
      <c r="M44" s="426">
        <f>'1.sz.tábla   (2)'!C30</f>
        <v>939084558</v>
      </c>
      <c r="N44" s="426">
        <f t="shared" si="6"/>
        <v>939084558</v>
      </c>
      <c r="O44" s="481">
        <f>'1.sz.tábla   (2)'!C30</f>
        <v>939084558</v>
      </c>
    </row>
    <row r="45" spans="1:15" s="160" customFormat="1" ht="15.6" x14ac:dyDescent="0.3">
      <c r="A45" s="429" t="s">
        <v>67</v>
      </c>
      <c r="B45" s="431">
        <f>SUM(B33:B44)</f>
        <v>205365046</v>
      </c>
      <c r="C45" s="431">
        <f t="shared" ref="C45:M45" si="7">SUM(C33:C44)</f>
        <v>231094094</v>
      </c>
      <c r="D45" s="431">
        <f t="shared" si="7"/>
        <v>218365285</v>
      </c>
      <c r="E45" s="431">
        <f t="shared" si="7"/>
        <v>264733408</v>
      </c>
      <c r="F45" s="431">
        <f t="shared" si="7"/>
        <v>264212285</v>
      </c>
      <c r="G45" s="431">
        <f t="shared" si="7"/>
        <v>381795665</v>
      </c>
      <c r="H45" s="431">
        <f t="shared" si="7"/>
        <v>289740782</v>
      </c>
      <c r="I45" s="431">
        <f t="shared" si="7"/>
        <v>234794252</v>
      </c>
      <c r="J45" s="431">
        <f t="shared" si="7"/>
        <v>304204164</v>
      </c>
      <c r="K45" s="431">
        <f t="shared" si="7"/>
        <v>190418747</v>
      </c>
      <c r="L45" s="431">
        <f t="shared" si="7"/>
        <v>181902713</v>
      </c>
      <c r="M45" s="431">
        <f t="shared" si="7"/>
        <v>1130278068</v>
      </c>
      <c r="N45" s="431">
        <f>SUM(N33:N44)</f>
        <v>3896904509</v>
      </c>
      <c r="O45" s="481">
        <f>SUM(O33:O44)</f>
        <v>3896904509</v>
      </c>
    </row>
    <row r="46" spans="1:15" s="160" customFormat="1" ht="15" x14ac:dyDescent="0.25">
      <c r="A46" s="425" t="s">
        <v>68</v>
      </c>
      <c r="B46" s="426">
        <v>113070970</v>
      </c>
      <c r="C46" s="426">
        <v>67988377</v>
      </c>
      <c r="D46" s="426">
        <v>902806183</v>
      </c>
      <c r="E46" s="426">
        <v>206793843</v>
      </c>
      <c r="F46" s="426">
        <v>760585582</v>
      </c>
      <c r="G46" s="426">
        <v>554744292</v>
      </c>
      <c r="H46" s="426">
        <v>322845136</v>
      </c>
      <c r="I46" s="426">
        <v>460801109</v>
      </c>
      <c r="J46" s="426">
        <v>153662683</v>
      </c>
      <c r="K46" s="426">
        <v>108001000</v>
      </c>
      <c r="L46" s="426">
        <v>32664100</v>
      </c>
      <c r="M46" s="426">
        <v>124755385</v>
      </c>
      <c r="N46" s="426">
        <f>SUM(B46:M46)</f>
        <v>3808718660</v>
      </c>
      <c r="O46" s="482">
        <f>'8a. sz. tábla  (4)'!G31</f>
        <v>3808718660</v>
      </c>
    </row>
    <row r="47" spans="1:15" s="160" customFormat="1" ht="15" x14ac:dyDescent="0.25">
      <c r="A47" s="425" t="s">
        <v>69</v>
      </c>
      <c r="B47" s="426">
        <v>45670000</v>
      </c>
      <c r="C47" s="426">
        <v>0</v>
      </c>
      <c r="D47" s="426">
        <v>2300000</v>
      </c>
      <c r="E47" s="426">
        <v>0</v>
      </c>
      <c r="F47" s="426">
        <v>3106065</v>
      </c>
      <c r="G47" s="426">
        <v>0</v>
      </c>
      <c r="H47" s="426">
        <v>2000000</v>
      </c>
      <c r="I47" s="426">
        <v>0</v>
      </c>
      <c r="J47" s="426">
        <v>5000000</v>
      </c>
      <c r="K47" s="426">
        <v>0</v>
      </c>
      <c r="L47" s="426">
        <v>0</v>
      </c>
      <c r="M47" s="426">
        <v>36169339</v>
      </c>
      <c r="N47" s="426">
        <f>SUM(B47:M47)</f>
        <v>94245404</v>
      </c>
      <c r="O47" s="481">
        <f>'6.sz.tábla  (4)'!C121</f>
        <v>94245404</v>
      </c>
    </row>
    <row r="48" spans="1:15" s="984" customFormat="1" ht="15" x14ac:dyDescent="0.25">
      <c r="A48" s="425" t="s">
        <v>70</v>
      </c>
      <c r="B48" s="424">
        <f>204300+4200</f>
        <v>208500</v>
      </c>
      <c r="C48" s="424">
        <f>100000+100000</f>
        <v>200000</v>
      </c>
      <c r="D48" s="424">
        <f>500000+380000</f>
        <v>880000</v>
      </c>
      <c r="E48" s="424">
        <f>200000+397000</f>
        <v>597000</v>
      </c>
      <c r="F48" s="424">
        <f>2757517+517000</f>
        <v>3274517</v>
      </c>
      <c r="G48" s="424">
        <f>800000+397000+386301</f>
        <v>1583301</v>
      </c>
      <c r="H48" s="424">
        <f>297000+500000</f>
        <v>797000</v>
      </c>
      <c r="I48" s="424">
        <f>397000</f>
        <v>397000</v>
      </c>
      <c r="J48" s="424">
        <f>1100000+297000</f>
        <v>1397000</v>
      </c>
      <c r="K48" s="424">
        <f>2100000+296000</f>
        <v>2396000</v>
      </c>
      <c r="L48" s="424">
        <f>100000+297000</f>
        <v>397000</v>
      </c>
      <c r="M48" s="424">
        <f>296000</f>
        <v>296000</v>
      </c>
      <c r="N48" s="426">
        <f>SUM(B48:M48)</f>
        <v>12423318</v>
      </c>
      <c r="O48" s="983">
        <f>'8a. sz. tábla  (4)'!F32</f>
        <v>12423318</v>
      </c>
    </row>
    <row r="49" spans="1:15" s="160" customFormat="1" ht="15" x14ac:dyDescent="0.25">
      <c r="A49" s="425" t="s">
        <v>71</v>
      </c>
      <c r="B49" s="426">
        <v>21066031</v>
      </c>
      <c r="C49" s="426">
        <v>5740000</v>
      </c>
      <c r="D49" s="426">
        <v>303083000</v>
      </c>
      <c r="E49" s="426">
        <v>135500000</v>
      </c>
      <c r="F49" s="426">
        <v>200006500</v>
      </c>
      <c r="G49" s="426">
        <v>54211000</v>
      </c>
      <c r="H49" s="426">
        <v>136889000</v>
      </c>
      <c r="I49" s="426">
        <v>0</v>
      </c>
      <c r="J49" s="426">
        <v>26600000</v>
      </c>
      <c r="K49" s="426">
        <v>0</v>
      </c>
      <c r="L49" s="426">
        <v>0</v>
      </c>
      <c r="M49" s="426">
        <v>19439844</v>
      </c>
      <c r="N49" s="426">
        <f>SUM(B49:M49)</f>
        <v>902535375</v>
      </c>
      <c r="O49" s="481">
        <f>'7. sz. tábla 1'!C160</f>
        <v>902535375</v>
      </c>
    </row>
    <row r="50" spans="1:15" s="160" customFormat="1" ht="15.6" x14ac:dyDescent="0.3">
      <c r="A50" s="429" t="s">
        <v>72</v>
      </c>
      <c r="B50" s="431">
        <f t="shared" ref="B50:N50" si="8">SUM(B46:B49)</f>
        <v>180015501</v>
      </c>
      <c r="C50" s="431">
        <f t="shared" si="8"/>
        <v>73928377</v>
      </c>
      <c r="D50" s="431">
        <f t="shared" si="8"/>
        <v>1209069183</v>
      </c>
      <c r="E50" s="431">
        <f t="shared" si="8"/>
        <v>342890843</v>
      </c>
      <c r="F50" s="431">
        <f t="shared" si="8"/>
        <v>966972664</v>
      </c>
      <c r="G50" s="431">
        <f t="shared" si="8"/>
        <v>610538593</v>
      </c>
      <c r="H50" s="431">
        <f t="shared" si="8"/>
        <v>462531136</v>
      </c>
      <c r="I50" s="431">
        <f t="shared" si="8"/>
        <v>461198109</v>
      </c>
      <c r="J50" s="431">
        <f t="shared" si="8"/>
        <v>186659683</v>
      </c>
      <c r="K50" s="431">
        <f t="shared" si="8"/>
        <v>110397000</v>
      </c>
      <c r="L50" s="431">
        <f t="shared" si="8"/>
        <v>33061100</v>
      </c>
      <c r="M50" s="431">
        <f t="shared" si="8"/>
        <v>180660568</v>
      </c>
      <c r="N50" s="431">
        <f t="shared" si="8"/>
        <v>4817922757</v>
      </c>
      <c r="O50" s="481">
        <f>SUM(O46:O49)</f>
        <v>4817922757</v>
      </c>
    </row>
    <row r="51" spans="1:15" s="160" customFormat="1" ht="15.6" x14ac:dyDescent="0.3">
      <c r="A51" s="433" t="s">
        <v>800</v>
      </c>
      <c r="B51" s="434">
        <f>B45+B50</f>
        <v>385380547</v>
      </c>
      <c r="C51" s="434">
        <f t="shared" ref="C51:N51" si="9">C45+C50</f>
        <v>305022471</v>
      </c>
      <c r="D51" s="434">
        <f t="shared" si="9"/>
        <v>1427434468</v>
      </c>
      <c r="E51" s="434">
        <f t="shared" si="9"/>
        <v>607624251</v>
      </c>
      <c r="F51" s="434">
        <f t="shared" si="9"/>
        <v>1231184949</v>
      </c>
      <c r="G51" s="434">
        <f t="shared" si="9"/>
        <v>992334258</v>
      </c>
      <c r="H51" s="434">
        <f t="shared" si="9"/>
        <v>752271918</v>
      </c>
      <c r="I51" s="434">
        <f t="shared" si="9"/>
        <v>695992361</v>
      </c>
      <c r="J51" s="434">
        <f t="shared" si="9"/>
        <v>490863847</v>
      </c>
      <c r="K51" s="434">
        <f t="shared" si="9"/>
        <v>300815747</v>
      </c>
      <c r="L51" s="434">
        <f t="shared" si="9"/>
        <v>214963813</v>
      </c>
      <c r="M51" s="434">
        <f t="shared" si="9"/>
        <v>1310938636</v>
      </c>
      <c r="N51" s="434">
        <f t="shared" si="9"/>
        <v>8714827266</v>
      </c>
      <c r="O51" s="481">
        <f>O50+O45</f>
        <v>8714827266</v>
      </c>
    </row>
    <row r="52" spans="1:15" ht="31.2" x14ac:dyDescent="0.3">
      <c r="A52" s="433" t="s">
        <v>73</v>
      </c>
      <c r="B52" s="434">
        <v>32390809</v>
      </c>
      <c r="C52" s="434">
        <v>1100000</v>
      </c>
      <c r="D52" s="434">
        <v>1147403212</v>
      </c>
      <c r="E52" s="434">
        <v>202265000</v>
      </c>
      <c r="F52" s="434">
        <v>1100000</v>
      </c>
      <c r="G52" s="434">
        <v>1100000</v>
      </c>
      <c r="H52" s="434">
        <v>1100000</v>
      </c>
      <c r="I52" s="434">
        <v>1100000</v>
      </c>
      <c r="J52" s="434">
        <v>38121212</v>
      </c>
      <c r="K52" s="434">
        <v>1000000</v>
      </c>
      <c r="L52" s="434">
        <v>1000000</v>
      </c>
      <c r="M52" s="434">
        <v>1000000</v>
      </c>
      <c r="N52" s="434">
        <f>SUM(B52:M52)</f>
        <v>1428680233</v>
      </c>
      <c r="O52" s="428">
        <f>'7. sz. tábla 1'!C166</f>
        <v>1428680233</v>
      </c>
    </row>
    <row r="53" spans="1:15" ht="15.6" x14ac:dyDescent="0.3">
      <c r="A53" s="436" t="s">
        <v>803</v>
      </c>
      <c r="B53" s="437">
        <f t="shared" ref="B53:M53" si="10">SUM(B51:B52)</f>
        <v>417771356</v>
      </c>
      <c r="C53" s="437">
        <f t="shared" si="10"/>
        <v>306122471</v>
      </c>
      <c r="D53" s="437">
        <f t="shared" si="10"/>
        <v>2574837680</v>
      </c>
      <c r="E53" s="437">
        <f t="shared" si="10"/>
        <v>809889251</v>
      </c>
      <c r="F53" s="437">
        <f t="shared" si="10"/>
        <v>1232284949</v>
      </c>
      <c r="G53" s="437">
        <f t="shared" si="10"/>
        <v>993434258</v>
      </c>
      <c r="H53" s="437">
        <f t="shared" si="10"/>
        <v>753371918</v>
      </c>
      <c r="I53" s="437">
        <f t="shared" si="10"/>
        <v>697092361</v>
      </c>
      <c r="J53" s="437">
        <f t="shared" si="10"/>
        <v>528985059</v>
      </c>
      <c r="K53" s="437">
        <f t="shared" si="10"/>
        <v>301815747</v>
      </c>
      <c r="L53" s="437">
        <f t="shared" si="10"/>
        <v>215963813</v>
      </c>
      <c r="M53" s="437">
        <f t="shared" si="10"/>
        <v>1311938636</v>
      </c>
      <c r="N53" s="434">
        <f>SUM(B53:M53)</f>
        <v>10143507499</v>
      </c>
      <c r="O53" s="428">
        <f>O52+O50+O45</f>
        <v>10143507499</v>
      </c>
    </row>
    <row r="54" spans="1:15" ht="15.6" x14ac:dyDescent="0.3">
      <c r="A54" s="436" t="s">
        <v>919</v>
      </c>
      <c r="B54" s="437">
        <v>80900531</v>
      </c>
      <c r="C54" s="437"/>
      <c r="D54" s="437"/>
      <c r="E54" s="437"/>
      <c r="F54" s="437"/>
      <c r="G54" s="437"/>
      <c r="H54" s="437"/>
      <c r="I54" s="437"/>
      <c r="J54" s="437"/>
      <c r="K54" s="437"/>
      <c r="L54" s="437"/>
      <c r="M54" s="437"/>
      <c r="N54" s="434">
        <f>SUM(B54:M54)</f>
        <v>80900531</v>
      </c>
      <c r="O54" s="428"/>
    </row>
    <row r="55" spans="1:15" ht="15.6" x14ac:dyDescent="0.3">
      <c r="A55" s="433" t="s">
        <v>74</v>
      </c>
      <c r="B55" s="434">
        <f>B6+B27+B28+B54-B51-B52</f>
        <v>863230417</v>
      </c>
      <c r="C55" s="434">
        <f t="shared" ref="C55:N55" si="11">C6+C27+C28+C54-C51-C52</f>
        <v>726988337</v>
      </c>
      <c r="D55" s="434">
        <f t="shared" si="11"/>
        <v>125219202</v>
      </c>
      <c r="E55" s="434">
        <f t="shared" si="11"/>
        <v>840093689</v>
      </c>
      <c r="F55" s="434">
        <f t="shared" si="11"/>
        <v>440751566</v>
      </c>
      <c r="G55" s="434">
        <f t="shared" si="11"/>
        <v>1298827380</v>
      </c>
      <c r="H55" s="434">
        <f t="shared" si="11"/>
        <v>976029365</v>
      </c>
      <c r="I55" s="434">
        <f t="shared" si="11"/>
        <v>774696388</v>
      </c>
      <c r="J55" s="434">
        <f t="shared" si="11"/>
        <v>1136823056</v>
      </c>
      <c r="K55" s="434">
        <f t="shared" si="11"/>
        <v>1010736279</v>
      </c>
      <c r="L55" s="434">
        <f t="shared" si="11"/>
        <v>1084912126</v>
      </c>
      <c r="M55" s="434">
        <f t="shared" si="11"/>
        <v>0</v>
      </c>
      <c r="N55" s="434">
        <f t="shared" si="11"/>
        <v>0</v>
      </c>
      <c r="O55" s="428"/>
    </row>
    <row r="56" spans="1:15" x14ac:dyDescent="0.25">
      <c r="J56" s="428"/>
    </row>
  </sheetData>
  <sheetProtection selectLockedCells="1" selectUnlockedCells="1"/>
  <mergeCells count="2">
    <mergeCell ref="M2:N2"/>
    <mergeCell ref="A3:O3"/>
  </mergeCells>
  <phoneticPr fontId="28" type="noConversion"/>
  <pageMargins left="0.25" right="0.25" top="0.75" bottom="0.75" header="0.3" footer="0.3"/>
  <pageSetup paperSize="9" scale="51" firstPageNumber="0" orientation="landscape" r:id="rId1"/>
  <headerFooter alignWithMargins="0">
    <oddHeader xml:space="preserve">&amp;C17. melléklet az önkormányzat 2017. évi költségvetéséről szóló 8/2017. (II.24.) önkormányzati rendeletéhez&amp;R
&amp;P. oldal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M43"/>
  <sheetViews>
    <sheetView view="pageLayout" topLeftCell="A3" zoomScaleNormal="75" zoomScaleSheetLayoutView="80" workbookViewId="0">
      <selection activeCell="G6" sqref="G6"/>
    </sheetView>
  </sheetViews>
  <sheetFormatPr defaultRowHeight="15.6" x14ac:dyDescent="0.3"/>
  <cols>
    <col min="1" max="1" width="40.44140625" style="1145" customWidth="1"/>
    <col min="2" max="2" width="15.109375" style="1106" customWidth="1"/>
    <col min="3" max="3" width="18.6640625" style="1106" customWidth="1"/>
    <col min="4" max="4" width="17.6640625" style="1106" customWidth="1"/>
    <col min="5" max="5" width="16.88671875" style="1107" customWidth="1"/>
    <col min="6" max="256" width="9.109375" style="1108"/>
    <col min="257" max="257" width="40.44140625" style="1108" customWidth="1"/>
    <col min="258" max="258" width="13" style="1108" customWidth="1"/>
    <col min="259" max="259" width="14.33203125" style="1108" customWidth="1"/>
    <col min="260" max="260" width="14.44140625" style="1108" bestFit="1" customWidth="1"/>
    <col min="261" max="261" width="14.109375" style="1108" customWidth="1"/>
    <col min="262" max="512" width="9.109375" style="1108"/>
    <col min="513" max="513" width="40.44140625" style="1108" customWidth="1"/>
    <col min="514" max="514" width="13" style="1108" customWidth="1"/>
    <col min="515" max="515" width="14.33203125" style="1108" customWidth="1"/>
    <col min="516" max="516" width="14.44140625" style="1108" bestFit="1" customWidth="1"/>
    <col min="517" max="517" width="14.109375" style="1108" customWidth="1"/>
    <col min="518" max="768" width="9.109375" style="1108"/>
    <col min="769" max="769" width="40.44140625" style="1108" customWidth="1"/>
    <col min="770" max="770" width="13" style="1108" customWidth="1"/>
    <col min="771" max="771" width="14.33203125" style="1108" customWidth="1"/>
    <col min="772" max="772" width="14.44140625" style="1108" bestFit="1" customWidth="1"/>
    <col min="773" max="773" width="14.109375" style="1108" customWidth="1"/>
    <col min="774" max="1024" width="9.109375" style="1108"/>
    <col min="1025" max="1025" width="40.44140625" style="1108" customWidth="1"/>
    <col min="1026" max="1026" width="13" style="1108" customWidth="1"/>
    <col min="1027" max="1027" width="14.33203125" style="1108" customWidth="1"/>
    <col min="1028" max="1028" width="14.44140625" style="1108" bestFit="1" customWidth="1"/>
    <col min="1029" max="1029" width="14.109375" style="1108" customWidth="1"/>
    <col min="1030" max="1280" width="9.109375" style="1108"/>
    <col min="1281" max="1281" width="40.44140625" style="1108" customWidth="1"/>
    <col min="1282" max="1282" width="13" style="1108" customWidth="1"/>
    <col min="1283" max="1283" width="14.33203125" style="1108" customWidth="1"/>
    <col min="1284" max="1284" width="14.44140625" style="1108" bestFit="1" customWidth="1"/>
    <col min="1285" max="1285" width="14.109375" style="1108" customWidth="1"/>
    <col min="1286" max="1536" width="9.109375" style="1108"/>
    <col min="1537" max="1537" width="40.44140625" style="1108" customWidth="1"/>
    <col min="1538" max="1538" width="13" style="1108" customWidth="1"/>
    <col min="1539" max="1539" width="14.33203125" style="1108" customWidth="1"/>
    <col min="1540" max="1540" width="14.44140625" style="1108" bestFit="1" customWidth="1"/>
    <col min="1541" max="1541" width="14.109375" style="1108" customWidth="1"/>
    <col min="1542" max="1792" width="9.109375" style="1108"/>
    <col min="1793" max="1793" width="40.44140625" style="1108" customWidth="1"/>
    <col min="1794" max="1794" width="13" style="1108" customWidth="1"/>
    <col min="1795" max="1795" width="14.33203125" style="1108" customWidth="1"/>
    <col min="1796" max="1796" width="14.44140625" style="1108" bestFit="1" customWidth="1"/>
    <col min="1797" max="1797" width="14.109375" style="1108" customWidth="1"/>
    <col min="1798" max="2048" width="9.109375" style="1108"/>
    <col min="2049" max="2049" width="40.44140625" style="1108" customWidth="1"/>
    <col min="2050" max="2050" width="13" style="1108" customWidth="1"/>
    <col min="2051" max="2051" width="14.33203125" style="1108" customWidth="1"/>
    <col min="2052" max="2052" width="14.44140625" style="1108" bestFit="1" customWidth="1"/>
    <col min="2053" max="2053" width="14.109375" style="1108" customWidth="1"/>
    <col min="2054" max="2304" width="9.109375" style="1108"/>
    <col min="2305" max="2305" width="40.44140625" style="1108" customWidth="1"/>
    <col min="2306" max="2306" width="13" style="1108" customWidth="1"/>
    <col min="2307" max="2307" width="14.33203125" style="1108" customWidth="1"/>
    <col min="2308" max="2308" width="14.44140625" style="1108" bestFit="1" customWidth="1"/>
    <col min="2309" max="2309" width="14.109375" style="1108" customWidth="1"/>
    <col min="2310" max="2560" width="9.109375" style="1108"/>
    <col min="2561" max="2561" width="40.44140625" style="1108" customWidth="1"/>
    <col min="2562" max="2562" width="13" style="1108" customWidth="1"/>
    <col min="2563" max="2563" width="14.33203125" style="1108" customWidth="1"/>
    <col min="2564" max="2564" width="14.44140625" style="1108" bestFit="1" customWidth="1"/>
    <col min="2565" max="2565" width="14.109375" style="1108" customWidth="1"/>
    <col min="2566" max="2816" width="9.109375" style="1108"/>
    <col min="2817" max="2817" width="40.44140625" style="1108" customWidth="1"/>
    <col min="2818" max="2818" width="13" style="1108" customWidth="1"/>
    <col min="2819" max="2819" width="14.33203125" style="1108" customWidth="1"/>
    <col min="2820" max="2820" width="14.44140625" style="1108" bestFit="1" customWidth="1"/>
    <col min="2821" max="2821" width="14.109375" style="1108" customWidth="1"/>
    <col min="2822" max="3072" width="9.109375" style="1108"/>
    <col min="3073" max="3073" width="40.44140625" style="1108" customWidth="1"/>
    <col min="3074" max="3074" width="13" style="1108" customWidth="1"/>
    <col min="3075" max="3075" width="14.33203125" style="1108" customWidth="1"/>
    <col min="3076" max="3076" width="14.44140625" style="1108" bestFit="1" customWidth="1"/>
    <col min="3077" max="3077" width="14.109375" style="1108" customWidth="1"/>
    <col min="3078" max="3328" width="9.109375" style="1108"/>
    <col min="3329" max="3329" width="40.44140625" style="1108" customWidth="1"/>
    <col min="3330" max="3330" width="13" style="1108" customWidth="1"/>
    <col min="3331" max="3331" width="14.33203125" style="1108" customWidth="1"/>
    <col min="3332" max="3332" width="14.44140625" style="1108" bestFit="1" customWidth="1"/>
    <col min="3333" max="3333" width="14.109375" style="1108" customWidth="1"/>
    <col min="3334" max="3584" width="9.109375" style="1108"/>
    <col min="3585" max="3585" width="40.44140625" style="1108" customWidth="1"/>
    <col min="3586" max="3586" width="13" style="1108" customWidth="1"/>
    <col min="3587" max="3587" width="14.33203125" style="1108" customWidth="1"/>
    <col min="3588" max="3588" width="14.44140625" style="1108" bestFit="1" customWidth="1"/>
    <col min="3589" max="3589" width="14.109375" style="1108" customWidth="1"/>
    <col min="3590" max="3840" width="9.109375" style="1108"/>
    <col min="3841" max="3841" width="40.44140625" style="1108" customWidth="1"/>
    <col min="3842" max="3842" width="13" style="1108" customWidth="1"/>
    <col min="3843" max="3843" width="14.33203125" style="1108" customWidth="1"/>
    <col min="3844" max="3844" width="14.44140625" style="1108" bestFit="1" customWidth="1"/>
    <col min="3845" max="3845" width="14.109375" style="1108" customWidth="1"/>
    <col min="3846" max="4096" width="9.109375" style="1108"/>
    <col min="4097" max="4097" width="40.44140625" style="1108" customWidth="1"/>
    <col min="4098" max="4098" width="13" style="1108" customWidth="1"/>
    <col min="4099" max="4099" width="14.33203125" style="1108" customWidth="1"/>
    <col min="4100" max="4100" width="14.44140625" style="1108" bestFit="1" customWidth="1"/>
    <col min="4101" max="4101" width="14.109375" style="1108" customWidth="1"/>
    <col min="4102" max="4352" width="9.109375" style="1108"/>
    <col min="4353" max="4353" width="40.44140625" style="1108" customWidth="1"/>
    <col min="4354" max="4354" width="13" style="1108" customWidth="1"/>
    <col min="4355" max="4355" width="14.33203125" style="1108" customWidth="1"/>
    <col min="4356" max="4356" width="14.44140625" style="1108" bestFit="1" customWidth="1"/>
    <col min="4357" max="4357" width="14.109375" style="1108" customWidth="1"/>
    <col min="4358" max="4608" width="9.109375" style="1108"/>
    <col min="4609" max="4609" width="40.44140625" style="1108" customWidth="1"/>
    <col min="4610" max="4610" width="13" style="1108" customWidth="1"/>
    <col min="4611" max="4611" width="14.33203125" style="1108" customWidth="1"/>
    <col min="4612" max="4612" width="14.44140625" style="1108" bestFit="1" customWidth="1"/>
    <col min="4613" max="4613" width="14.109375" style="1108" customWidth="1"/>
    <col min="4614" max="4864" width="9.109375" style="1108"/>
    <col min="4865" max="4865" width="40.44140625" style="1108" customWidth="1"/>
    <col min="4866" max="4866" width="13" style="1108" customWidth="1"/>
    <col min="4867" max="4867" width="14.33203125" style="1108" customWidth="1"/>
    <col min="4868" max="4868" width="14.44140625" style="1108" bestFit="1" customWidth="1"/>
    <col min="4869" max="4869" width="14.109375" style="1108" customWidth="1"/>
    <col min="4870" max="5120" width="9.109375" style="1108"/>
    <col min="5121" max="5121" width="40.44140625" style="1108" customWidth="1"/>
    <col min="5122" max="5122" width="13" style="1108" customWidth="1"/>
    <col min="5123" max="5123" width="14.33203125" style="1108" customWidth="1"/>
    <col min="5124" max="5124" width="14.44140625" style="1108" bestFit="1" customWidth="1"/>
    <col min="5125" max="5125" width="14.109375" style="1108" customWidth="1"/>
    <col min="5126" max="5376" width="9.109375" style="1108"/>
    <col min="5377" max="5377" width="40.44140625" style="1108" customWidth="1"/>
    <col min="5378" max="5378" width="13" style="1108" customWidth="1"/>
    <col min="5379" max="5379" width="14.33203125" style="1108" customWidth="1"/>
    <col min="5380" max="5380" width="14.44140625" style="1108" bestFit="1" customWidth="1"/>
    <col min="5381" max="5381" width="14.109375" style="1108" customWidth="1"/>
    <col min="5382" max="5632" width="9.109375" style="1108"/>
    <col min="5633" max="5633" width="40.44140625" style="1108" customWidth="1"/>
    <col min="5634" max="5634" width="13" style="1108" customWidth="1"/>
    <col min="5635" max="5635" width="14.33203125" style="1108" customWidth="1"/>
    <col min="5636" max="5636" width="14.44140625" style="1108" bestFit="1" customWidth="1"/>
    <col min="5637" max="5637" width="14.109375" style="1108" customWidth="1"/>
    <col min="5638" max="5888" width="9.109375" style="1108"/>
    <col min="5889" max="5889" width="40.44140625" style="1108" customWidth="1"/>
    <col min="5890" max="5890" width="13" style="1108" customWidth="1"/>
    <col min="5891" max="5891" width="14.33203125" style="1108" customWidth="1"/>
    <col min="5892" max="5892" width="14.44140625" style="1108" bestFit="1" customWidth="1"/>
    <col min="5893" max="5893" width="14.109375" style="1108" customWidth="1"/>
    <col min="5894" max="6144" width="9.109375" style="1108"/>
    <col min="6145" max="6145" width="40.44140625" style="1108" customWidth="1"/>
    <col min="6146" max="6146" width="13" style="1108" customWidth="1"/>
    <col min="6147" max="6147" width="14.33203125" style="1108" customWidth="1"/>
    <col min="6148" max="6148" width="14.44140625" style="1108" bestFit="1" customWidth="1"/>
    <col min="6149" max="6149" width="14.109375" style="1108" customWidth="1"/>
    <col min="6150" max="6400" width="9.109375" style="1108"/>
    <col min="6401" max="6401" width="40.44140625" style="1108" customWidth="1"/>
    <col min="6402" max="6402" width="13" style="1108" customWidth="1"/>
    <col min="6403" max="6403" width="14.33203125" style="1108" customWidth="1"/>
    <col min="6404" max="6404" width="14.44140625" style="1108" bestFit="1" customWidth="1"/>
    <col min="6405" max="6405" width="14.109375" style="1108" customWidth="1"/>
    <col min="6406" max="6656" width="9.109375" style="1108"/>
    <col min="6657" max="6657" width="40.44140625" style="1108" customWidth="1"/>
    <col min="6658" max="6658" width="13" style="1108" customWidth="1"/>
    <col min="6659" max="6659" width="14.33203125" style="1108" customWidth="1"/>
    <col min="6660" max="6660" width="14.44140625" style="1108" bestFit="1" customWidth="1"/>
    <col min="6661" max="6661" width="14.109375" style="1108" customWidth="1"/>
    <col min="6662" max="6912" width="9.109375" style="1108"/>
    <col min="6913" max="6913" width="40.44140625" style="1108" customWidth="1"/>
    <col min="6914" max="6914" width="13" style="1108" customWidth="1"/>
    <col min="6915" max="6915" width="14.33203125" style="1108" customWidth="1"/>
    <col min="6916" max="6916" width="14.44140625" style="1108" bestFit="1" customWidth="1"/>
    <col min="6917" max="6917" width="14.109375" style="1108" customWidth="1"/>
    <col min="6918" max="7168" width="9.109375" style="1108"/>
    <col min="7169" max="7169" width="40.44140625" style="1108" customWidth="1"/>
    <col min="7170" max="7170" width="13" style="1108" customWidth="1"/>
    <col min="7171" max="7171" width="14.33203125" style="1108" customWidth="1"/>
    <col min="7172" max="7172" width="14.44140625" style="1108" bestFit="1" customWidth="1"/>
    <col min="7173" max="7173" width="14.109375" style="1108" customWidth="1"/>
    <col min="7174" max="7424" width="9.109375" style="1108"/>
    <col min="7425" max="7425" width="40.44140625" style="1108" customWidth="1"/>
    <col min="7426" max="7426" width="13" style="1108" customWidth="1"/>
    <col min="7427" max="7427" width="14.33203125" style="1108" customWidth="1"/>
    <col min="7428" max="7428" width="14.44140625" style="1108" bestFit="1" customWidth="1"/>
    <col min="7429" max="7429" width="14.109375" style="1108" customWidth="1"/>
    <col min="7430" max="7680" width="9.109375" style="1108"/>
    <col min="7681" max="7681" width="40.44140625" style="1108" customWidth="1"/>
    <col min="7682" max="7682" width="13" style="1108" customWidth="1"/>
    <col min="7683" max="7683" width="14.33203125" style="1108" customWidth="1"/>
    <col min="7684" max="7684" width="14.44140625" style="1108" bestFit="1" customWidth="1"/>
    <col min="7685" max="7685" width="14.109375" style="1108" customWidth="1"/>
    <col min="7686" max="7936" width="9.109375" style="1108"/>
    <col min="7937" max="7937" width="40.44140625" style="1108" customWidth="1"/>
    <col min="7938" max="7938" width="13" style="1108" customWidth="1"/>
    <col min="7939" max="7939" width="14.33203125" style="1108" customWidth="1"/>
    <col min="7940" max="7940" width="14.44140625" style="1108" bestFit="1" customWidth="1"/>
    <col min="7941" max="7941" width="14.109375" style="1108" customWidth="1"/>
    <col min="7942" max="8192" width="9.109375" style="1108"/>
    <col min="8193" max="8193" width="40.44140625" style="1108" customWidth="1"/>
    <col min="8194" max="8194" width="13" style="1108" customWidth="1"/>
    <col min="8195" max="8195" width="14.33203125" style="1108" customWidth="1"/>
    <col min="8196" max="8196" width="14.44140625" style="1108" bestFit="1" customWidth="1"/>
    <col min="8197" max="8197" width="14.109375" style="1108" customWidth="1"/>
    <col min="8198" max="8448" width="9.109375" style="1108"/>
    <col min="8449" max="8449" width="40.44140625" style="1108" customWidth="1"/>
    <col min="8450" max="8450" width="13" style="1108" customWidth="1"/>
    <col min="8451" max="8451" width="14.33203125" style="1108" customWidth="1"/>
    <col min="8452" max="8452" width="14.44140625" style="1108" bestFit="1" customWidth="1"/>
    <col min="8453" max="8453" width="14.109375" style="1108" customWidth="1"/>
    <col min="8454" max="8704" width="9.109375" style="1108"/>
    <col min="8705" max="8705" width="40.44140625" style="1108" customWidth="1"/>
    <col min="8706" max="8706" width="13" style="1108" customWidth="1"/>
    <col min="8707" max="8707" width="14.33203125" style="1108" customWidth="1"/>
    <col min="8708" max="8708" width="14.44140625" style="1108" bestFit="1" customWidth="1"/>
    <col min="8709" max="8709" width="14.109375" style="1108" customWidth="1"/>
    <col min="8710" max="8960" width="9.109375" style="1108"/>
    <col min="8961" max="8961" width="40.44140625" style="1108" customWidth="1"/>
    <col min="8962" max="8962" width="13" style="1108" customWidth="1"/>
    <col min="8963" max="8963" width="14.33203125" style="1108" customWidth="1"/>
    <col min="8964" max="8964" width="14.44140625" style="1108" bestFit="1" customWidth="1"/>
    <col min="8965" max="8965" width="14.109375" style="1108" customWidth="1"/>
    <col min="8966" max="9216" width="9.109375" style="1108"/>
    <col min="9217" max="9217" width="40.44140625" style="1108" customWidth="1"/>
    <col min="9218" max="9218" width="13" style="1108" customWidth="1"/>
    <col min="9219" max="9219" width="14.33203125" style="1108" customWidth="1"/>
    <col min="9220" max="9220" width="14.44140625" style="1108" bestFit="1" customWidth="1"/>
    <col min="9221" max="9221" width="14.109375" style="1108" customWidth="1"/>
    <col min="9222" max="9472" width="9.109375" style="1108"/>
    <col min="9473" max="9473" width="40.44140625" style="1108" customWidth="1"/>
    <col min="9474" max="9474" width="13" style="1108" customWidth="1"/>
    <col min="9475" max="9475" width="14.33203125" style="1108" customWidth="1"/>
    <col min="9476" max="9476" width="14.44140625" style="1108" bestFit="1" customWidth="1"/>
    <col min="9477" max="9477" width="14.109375" style="1108" customWidth="1"/>
    <col min="9478" max="9728" width="9.109375" style="1108"/>
    <col min="9729" max="9729" width="40.44140625" style="1108" customWidth="1"/>
    <col min="9730" max="9730" width="13" style="1108" customWidth="1"/>
    <col min="9731" max="9731" width="14.33203125" style="1108" customWidth="1"/>
    <col min="9732" max="9732" width="14.44140625" style="1108" bestFit="1" customWidth="1"/>
    <col min="9733" max="9733" width="14.109375" style="1108" customWidth="1"/>
    <col min="9734" max="9984" width="9.109375" style="1108"/>
    <col min="9985" max="9985" width="40.44140625" style="1108" customWidth="1"/>
    <col min="9986" max="9986" width="13" style="1108" customWidth="1"/>
    <col min="9987" max="9987" width="14.33203125" style="1108" customWidth="1"/>
    <col min="9988" max="9988" width="14.44140625" style="1108" bestFit="1" customWidth="1"/>
    <col min="9989" max="9989" width="14.109375" style="1108" customWidth="1"/>
    <col min="9990" max="10240" width="9.109375" style="1108"/>
    <col min="10241" max="10241" width="40.44140625" style="1108" customWidth="1"/>
    <col min="10242" max="10242" width="13" style="1108" customWidth="1"/>
    <col min="10243" max="10243" width="14.33203125" style="1108" customWidth="1"/>
    <col min="10244" max="10244" width="14.44140625" style="1108" bestFit="1" customWidth="1"/>
    <col min="10245" max="10245" width="14.109375" style="1108" customWidth="1"/>
    <col min="10246" max="10496" width="9.109375" style="1108"/>
    <col min="10497" max="10497" width="40.44140625" style="1108" customWidth="1"/>
    <col min="10498" max="10498" width="13" style="1108" customWidth="1"/>
    <col min="10499" max="10499" width="14.33203125" style="1108" customWidth="1"/>
    <col min="10500" max="10500" width="14.44140625" style="1108" bestFit="1" customWidth="1"/>
    <col min="10501" max="10501" width="14.109375" style="1108" customWidth="1"/>
    <col min="10502" max="10752" width="9.109375" style="1108"/>
    <col min="10753" max="10753" width="40.44140625" style="1108" customWidth="1"/>
    <col min="10754" max="10754" width="13" style="1108" customWidth="1"/>
    <col min="10755" max="10755" width="14.33203125" style="1108" customWidth="1"/>
    <col min="10756" max="10756" width="14.44140625" style="1108" bestFit="1" customWidth="1"/>
    <col min="10757" max="10757" width="14.109375" style="1108" customWidth="1"/>
    <col min="10758" max="11008" width="9.109375" style="1108"/>
    <col min="11009" max="11009" width="40.44140625" style="1108" customWidth="1"/>
    <col min="11010" max="11010" width="13" style="1108" customWidth="1"/>
    <col min="11011" max="11011" width="14.33203125" style="1108" customWidth="1"/>
    <col min="11012" max="11012" width="14.44140625" style="1108" bestFit="1" customWidth="1"/>
    <col min="11013" max="11013" width="14.109375" style="1108" customWidth="1"/>
    <col min="11014" max="11264" width="9.109375" style="1108"/>
    <col min="11265" max="11265" width="40.44140625" style="1108" customWidth="1"/>
    <col min="11266" max="11266" width="13" style="1108" customWidth="1"/>
    <col min="11267" max="11267" width="14.33203125" style="1108" customWidth="1"/>
    <col min="11268" max="11268" width="14.44140625" style="1108" bestFit="1" customWidth="1"/>
    <col min="11269" max="11269" width="14.109375" style="1108" customWidth="1"/>
    <col min="11270" max="11520" width="9.109375" style="1108"/>
    <col min="11521" max="11521" width="40.44140625" style="1108" customWidth="1"/>
    <col min="11522" max="11522" width="13" style="1108" customWidth="1"/>
    <col min="11523" max="11523" width="14.33203125" style="1108" customWidth="1"/>
    <col min="11524" max="11524" width="14.44140625" style="1108" bestFit="1" customWidth="1"/>
    <col min="11525" max="11525" width="14.109375" style="1108" customWidth="1"/>
    <col min="11526" max="11776" width="9.109375" style="1108"/>
    <col min="11777" max="11777" width="40.44140625" style="1108" customWidth="1"/>
    <col min="11778" max="11778" width="13" style="1108" customWidth="1"/>
    <col min="11779" max="11779" width="14.33203125" style="1108" customWidth="1"/>
    <col min="11780" max="11780" width="14.44140625" style="1108" bestFit="1" customWidth="1"/>
    <col min="11781" max="11781" width="14.109375" style="1108" customWidth="1"/>
    <col min="11782" max="12032" width="9.109375" style="1108"/>
    <col min="12033" max="12033" width="40.44140625" style="1108" customWidth="1"/>
    <col min="12034" max="12034" width="13" style="1108" customWidth="1"/>
    <col min="12035" max="12035" width="14.33203125" style="1108" customWidth="1"/>
    <col min="12036" max="12036" width="14.44140625" style="1108" bestFit="1" customWidth="1"/>
    <col min="12037" max="12037" width="14.109375" style="1108" customWidth="1"/>
    <col min="12038" max="12288" width="9.109375" style="1108"/>
    <col min="12289" max="12289" width="40.44140625" style="1108" customWidth="1"/>
    <col min="12290" max="12290" width="13" style="1108" customWidth="1"/>
    <col min="12291" max="12291" width="14.33203125" style="1108" customWidth="1"/>
    <col min="12292" max="12292" width="14.44140625" style="1108" bestFit="1" customWidth="1"/>
    <col min="12293" max="12293" width="14.109375" style="1108" customWidth="1"/>
    <col min="12294" max="12544" width="9.109375" style="1108"/>
    <col min="12545" max="12545" width="40.44140625" style="1108" customWidth="1"/>
    <col min="12546" max="12546" width="13" style="1108" customWidth="1"/>
    <col min="12547" max="12547" width="14.33203125" style="1108" customWidth="1"/>
    <col min="12548" max="12548" width="14.44140625" style="1108" bestFit="1" customWidth="1"/>
    <col min="12549" max="12549" width="14.109375" style="1108" customWidth="1"/>
    <col min="12550" max="12800" width="9.109375" style="1108"/>
    <col min="12801" max="12801" width="40.44140625" style="1108" customWidth="1"/>
    <col min="12802" max="12802" width="13" style="1108" customWidth="1"/>
    <col min="12803" max="12803" width="14.33203125" style="1108" customWidth="1"/>
    <col min="12804" max="12804" width="14.44140625" style="1108" bestFit="1" customWidth="1"/>
    <col min="12805" max="12805" width="14.109375" style="1108" customWidth="1"/>
    <col min="12806" max="13056" width="9.109375" style="1108"/>
    <col min="13057" max="13057" width="40.44140625" style="1108" customWidth="1"/>
    <col min="13058" max="13058" width="13" style="1108" customWidth="1"/>
    <col min="13059" max="13059" width="14.33203125" style="1108" customWidth="1"/>
    <col min="13060" max="13060" width="14.44140625" style="1108" bestFit="1" customWidth="1"/>
    <col min="13061" max="13061" width="14.109375" style="1108" customWidth="1"/>
    <col min="13062" max="13312" width="9.109375" style="1108"/>
    <col min="13313" max="13313" width="40.44140625" style="1108" customWidth="1"/>
    <col min="13314" max="13314" width="13" style="1108" customWidth="1"/>
    <col min="13315" max="13315" width="14.33203125" style="1108" customWidth="1"/>
    <col min="13316" max="13316" width="14.44140625" style="1108" bestFit="1" customWidth="1"/>
    <col min="13317" max="13317" width="14.109375" style="1108" customWidth="1"/>
    <col min="13318" max="13568" width="9.109375" style="1108"/>
    <col min="13569" max="13569" width="40.44140625" style="1108" customWidth="1"/>
    <col min="13570" max="13570" width="13" style="1108" customWidth="1"/>
    <col min="13571" max="13571" width="14.33203125" style="1108" customWidth="1"/>
    <col min="13572" max="13572" width="14.44140625" style="1108" bestFit="1" customWidth="1"/>
    <col min="13573" max="13573" width="14.109375" style="1108" customWidth="1"/>
    <col min="13574" max="13824" width="9.109375" style="1108"/>
    <col min="13825" max="13825" width="40.44140625" style="1108" customWidth="1"/>
    <col min="13826" max="13826" width="13" style="1108" customWidth="1"/>
    <col min="13827" max="13827" width="14.33203125" style="1108" customWidth="1"/>
    <col min="13828" max="13828" width="14.44140625" style="1108" bestFit="1" customWidth="1"/>
    <col min="13829" max="13829" width="14.109375" style="1108" customWidth="1"/>
    <col min="13830" max="14080" width="9.109375" style="1108"/>
    <col min="14081" max="14081" width="40.44140625" style="1108" customWidth="1"/>
    <col min="14082" max="14082" width="13" style="1108" customWidth="1"/>
    <col min="14083" max="14083" width="14.33203125" style="1108" customWidth="1"/>
    <col min="14084" max="14084" width="14.44140625" style="1108" bestFit="1" customWidth="1"/>
    <col min="14085" max="14085" width="14.109375" style="1108" customWidth="1"/>
    <col min="14086" max="14336" width="9.109375" style="1108"/>
    <col min="14337" max="14337" width="40.44140625" style="1108" customWidth="1"/>
    <col min="14338" max="14338" width="13" style="1108" customWidth="1"/>
    <col min="14339" max="14339" width="14.33203125" style="1108" customWidth="1"/>
    <col min="14340" max="14340" width="14.44140625" style="1108" bestFit="1" customWidth="1"/>
    <col min="14341" max="14341" width="14.109375" style="1108" customWidth="1"/>
    <col min="14342" max="14592" width="9.109375" style="1108"/>
    <col min="14593" max="14593" width="40.44140625" style="1108" customWidth="1"/>
    <col min="14594" max="14594" width="13" style="1108" customWidth="1"/>
    <col min="14595" max="14595" width="14.33203125" style="1108" customWidth="1"/>
    <col min="14596" max="14596" width="14.44140625" style="1108" bestFit="1" customWidth="1"/>
    <col min="14597" max="14597" width="14.109375" style="1108" customWidth="1"/>
    <col min="14598" max="14848" width="9.109375" style="1108"/>
    <col min="14849" max="14849" width="40.44140625" style="1108" customWidth="1"/>
    <col min="14850" max="14850" width="13" style="1108" customWidth="1"/>
    <col min="14851" max="14851" width="14.33203125" style="1108" customWidth="1"/>
    <col min="14852" max="14852" width="14.44140625" style="1108" bestFit="1" customWidth="1"/>
    <col min="14853" max="14853" width="14.109375" style="1108" customWidth="1"/>
    <col min="14854" max="15104" width="9.109375" style="1108"/>
    <col min="15105" max="15105" width="40.44140625" style="1108" customWidth="1"/>
    <col min="15106" max="15106" width="13" style="1108" customWidth="1"/>
    <col min="15107" max="15107" width="14.33203125" style="1108" customWidth="1"/>
    <col min="15108" max="15108" width="14.44140625" style="1108" bestFit="1" customWidth="1"/>
    <col min="15109" max="15109" width="14.109375" style="1108" customWidth="1"/>
    <col min="15110" max="15360" width="9.109375" style="1108"/>
    <col min="15361" max="15361" width="40.44140625" style="1108" customWidth="1"/>
    <col min="15362" max="15362" width="13" style="1108" customWidth="1"/>
    <col min="15363" max="15363" width="14.33203125" style="1108" customWidth="1"/>
    <col min="15364" max="15364" width="14.44140625" style="1108" bestFit="1" customWidth="1"/>
    <col min="15365" max="15365" width="14.109375" style="1108" customWidth="1"/>
    <col min="15366" max="15616" width="9.109375" style="1108"/>
    <col min="15617" max="15617" width="40.44140625" style="1108" customWidth="1"/>
    <col min="15618" max="15618" width="13" style="1108" customWidth="1"/>
    <col min="15619" max="15619" width="14.33203125" style="1108" customWidth="1"/>
    <col min="15620" max="15620" width="14.44140625" style="1108" bestFit="1" customWidth="1"/>
    <col min="15621" max="15621" width="14.109375" style="1108" customWidth="1"/>
    <col min="15622" max="15872" width="9.109375" style="1108"/>
    <col min="15873" max="15873" width="40.44140625" style="1108" customWidth="1"/>
    <col min="15874" max="15874" width="13" style="1108" customWidth="1"/>
    <col min="15875" max="15875" width="14.33203125" style="1108" customWidth="1"/>
    <col min="15876" max="15876" width="14.44140625" style="1108" bestFit="1" customWidth="1"/>
    <col min="15877" max="15877" width="14.109375" style="1108" customWidth="1"/>
    <col min="15878" max="16128" width="9.109375" style="1108"/>
    <col min="16129" max="16129" width="40.44140625" style="1108" customWidth="1"/>
    <col min="16130" max="16130" width="13" style="1108" customWidth="1"/>
    <col min="16131" max="16131" width="14.33203125" style="1108" customWidth="1"/>
    <col min="16132" max="16132" width="14.44140625" style="1108" bestFit="1" customWidth="1"/>
    <col min="16133" max="16133" width="14.109375" style="1108" customWidth="1"/>
    <col min="16134" max="16384" width="9.109375" style="1108"/>
  </cols>
  <sheetData>
    <row r="1" spans="1:6" hidden="1" x14ac:dyDescent="0.3">
      <c r="A1" s="1105"/>
    </row>
    <row r="2" spans="1:6" hidden="1" x14ac:dyDescent="0.3">
      <c r="A2" s="1105"/>
    </row>
    <row r="3" spans="1:6" x14ac:dyDescent="0.3">
      <c r="A3" s="1105"/>
    </row>
    <row r="4" spans="1:6" x14ac:dyDescent="0.3">
      <c r="A4" s="1105"/>
    </row>
    <row r="5" spans="1:6" ht="31.5" customHeight="1" x14ac:dyDescent="0.3">
      <c r="A5" s="1592" t="s">
        <v>985</v>
      </c>
      <c r="B5" s="1592"/>
      <c r="C5" s="1592"/>
      <c r="D5" s="1592"/>
      <c r="E5" s="1592"/>
    </row>
    <row r="6" spans="1:6" ht="15.75" customHeight="1" x14ac:dyDescent="0.3">
      <c r="A6" s="1592" t="s">
        <v>986</v>
      </c>
      <c r="B6" s="1592"/>
      <c r="C6" s="1592"/>
      <c r="D6" s="1592"/>
      <c r="E6" s="1592"/>
    </row>
    <row r="7" spans="1:6" ht="16.2" thickBot="1" x14ac:dyDescent="0.35">
      <c r="A7" s="1105"/>
    </row>
    <row r="8" spans="1:6" s="1113" customFormat="1" ht="56.25" customHeight="1" thickBot="1" x14ac:dyDescent="0.3">
      <c r="A8" s="1109" t="s">
        <v>631</v>
      </c>
      <c r="B8" s="1110" t="s">
        <v>75</v>
      </c>
      <c r="C8" s="1111" t="s">
        <v>987</v>
      </c>
      <c r="D8" s="1111" t="s">
        <v>988</v>
      </c>
      <c r="E8" s="1112" t="s">
        <v>989</v>
      </c>
    </row>
    <row r="9" spans="1:6" ht="31.2" x14ac:dyDescent="0.3">
      <c r="A9" s="1114" t="s">
        <v>990</v>
      </c>
      <c r="B9" s="1115">
        <f>'[3]8. sz. tábla  (3)'!D7</f>
        <v>1142330655</v>
      </c>
      <c r="C9" s="1115">
        <v>1160000000</v>
      </c>
      <c r="D9" s="1115">
        <v>1220000000</v>
      </c>
      <c r="E9" s="1116">
        <v>1250000000</v>
      </c>
      <c r="F9" s="1117"/>
    </row>
    <row r="10" spans="1:6" ht="31.2" x14ac:dyDescent="0.3">
      <c r="A10" s="1118" t="s">
        <v>991</v>
      </c>
      <c r="B10" s="1119">
        <f>'[3]8. sz. tábla  (3)'!D30</f>
        <v>1798268854</v>
      </c>
      <c r="C10" s="1119">
        <v>1000000000</v>
      </c>
      <c r="D10" s="1119">
        <v>1000000000</v>
      </c>
      <c r="E10" s="1120">
        <v>1000000000</v>
      </c>
      <c r="F10" s="1117"/>
    </row>
    <row r="11" spans="1:6" ht="20.100000000000001" customHeight="1" x14ac:dyDescent="0.3">
      <c r="A11" s="1118" t="s">
        <v>779</v>
      </c>
      <c r="B11" s="1119">
        <f>'[3]8. sz. tábla  (3)'!D8</f>
        <v>1675900000</v>
      </c>
      <c r="C11" s="1121">
        <v>1700000000</v>
      </c>
      <c r="D11" s="1119">
        <v>1750000000</v>
      </c>
      <c r="E11" s="1120">
        <v>1800000000</v>
      </c>
    </row>
    <row r="12" spans="1:6" ht="28.5" customHeight="1" x14ac:dyDescent="0.3">
      <c r="A12" s="1118" t="s">
        <v>780</v>
      </c>
      <c r="B12" s="1119">
        <f>'[3]8. sz. tábla  (3)'!D9</f>
        <v>602267389</v>
      </c>
      <c r="C12" s="1119">
        <v>620000000</v>
      </c>
      <c r="D12" s="1119">
        <v>630000000</v>
      </c>
      <c r="E12" s="1120">
        <v>640000000</v>
      </c>
      <c r="F12" s="1117"/>
    </row>
    <row r="13" spans="1:6" ht="32.25" customHeight="1" x14ac:dyDescent="0.3">
      <c r="A13" s="1118" t="s">
        <v>781</v>
      </c>
      <c r="B13" s="1119">
        <f>'[3]8. sz. tábla  (3)'!D31</f>
        <v>171355383</v>
      </c>
      <c r="C13" s="1121"/>
      <c r="D13" s="1119"/>
      <c r="E13" s="1120"/>
      <c r="F13" s="1117"/>
    </row>
    <row r="14" spans="1:6" ht="33" customHeight="1" x14ac:dyDescent="0.3">
      <c r="A14" s="108" t="s">
        <v>782</v>
      </c>
      <c r="B14" s="1119">
        <f>'[3]8. sz. tábla  (3)'!D10</f>
        <v>5600000</v>
      </c>
      <c r="C14" s="1121">
        <v>6000000</v>
      </c>
      <c r="D14" s="1119">
        <v>6000000</v>
      </c>
      <c r="E14" s="1120">
        <v>7000000</v>
      </c>
    </row>
    <row r="15" spans="1:6" ht="33" customHeight="1" x14ac:dyDescent="0.3">
      <c r="A15" s="108" t="s">
        <v>783</v>
      </c>
      <c r="B15" s="1119">
        <f>'[3]8. sz. tábla  (3)'!D32</f>
        <v>85818959</v>
      </c>
      <c r="C15" s="1121">
        <v>420000000</v>
      </c>
      <c r="D15" s="1119">
        <v>20000000</v>
      </c>
      <c r="E15" s="1120">
        <v>20000000</v>
      </c>
    </row>
    <row r="16" spans="1:6" ht="36.75" customHeight="1" x14ac:dyDescent="0.3">
      <c r="A16" s="1122" t="s">
        <v>784</v>
      </c>
      <c r="B16" s="1123">
        <f>SUM(B9:B15)</f>
        <v>5481541240</v>
      </c>
      <c r="C16" s="1123">
        <f>SUM(C9:C15)</f>
        <v>4906000000</v>
      </c>
      <c r="D16" s="1123">
        <f>SUM(D9:D15)</f>
        <v>4626000000</v>
      </c>
      <c r="E16" s="1124">
        <f>SUM(E9:E15)</f>
        <v>4717000000</v>
      </c>
    </row>
    <row r="17" spans="1:13" ht="27" customHeight="1" x14ac:dyDescent="0.3">
      <c r="A17" s="1122" t="s">
        <v>992</v>
      </c>
      <c r="B17" s="1125"/>
      <c r="C17" s="1125"/>
      <c r="D17" s="1125"/>
      <c r="E17" s="1126"/>
      <c r="F17" s="1117"/>
    </row>
    <row r="18" spans="1:13" ht="46.8" x14ac:dyDescent="0.3">
      <c r="A18" s="1127" t="s">
        <v>993</v>
      </c>
      <c r="B18" s="1119">
        <f>'[3]2.sz.tábla   (2)'!M74</f>
        <v>791176379</v>
      </c>
      <c r="C18" s="1119">
        <v>300000000</v>
      </c>
      <c r="D18" s="1119">
        <v>550000000</v>
      </c>
      <c r="E18" s="1120">
        <v>550000000</v>
      </c>
      <c r="F18" s="1117"/>
    </row>
    <row r="19" spans="1:13" ht="30.75" customHeight="1" x14ac:dyDescent="0.3">
      <c r="A19" s="1127" t="s">
        <v>994</v>
      </c>
      <c r="B19" s="1119">
        <f>'[3]2.sz.tábla   (2)'!M77</f>
        <v>1193980000</v>
      </c>
      <c r="C19" s="1119">
        <v>12600000</v>
      </c>
      <c r="D19" s="1119">
        <v>12600000</v>
      </c>
      <c r="E19" s="1120">
        <v>12600000</v>
      </c>
      <c r="F19" s="1117"/>
    </row>
    <row r="20" spans="1:13" ht="42" customHeight="1" x14ac:dyDescent="0.3">
      <c r="A20" s="1122" t="s">
        <v>787</v>
      </c>
      <c r="B20" s="1123">
        <f>SUM(B18:B19)</f>
        <v>1985156379</v>
      </c>
      <c r="C20" s="1123">
        <f>SUM(C18:C19)</f>
        <v>312600000</v>
      </c>
      <c r="D20" s="1123">
        <f>SUM(D18:D19)</f>
        <v>562600000</v>
      </c>
      <c r="E20" s="1124">
        <f>SUM(E18:E19)</f>
        <v>562600000</v>
      </c>
      <c r="F20" s="1117"/>
    </row>
    <row r="21" spans="1:13" ht="18" customHeight="1" x14ac:dyDescent="0.3">
      <c r="A21" s="1128" t="s">
        <v>788</v>
      </c>
      <c r="B21" s="1129">
        <f>B16+B20</f>
        <v>7466697619</v>
      </c>
      <c r="C21" s="1129">
        <f>C16+C20</f>
        <v>5218600000</v>
      </c>
      <c r="D21" s="1129">
        <f>D16+D20</f>
        <v>5188600000</v>
      </c>
      <c r="E21" s="1130">
        <f>E16+E20</f>
        <v>5279600000</v>
      </c>
    </row>
    <row r="22" spans="1:13" s="1132" customFormat="1" ht="19.5" customHeight="1" x14ac:dyDescent="0.3">
      <c r="A22" s="1128"/>
      <c r="B22" s="1119"/>
      <c r="C22" s="1125"/>
      <c r="D22" s="1119"/>
      <c r="E22" s="1126"/>
      <c r="F22" s="1131"/>
      <c r="G22" s="1131"/>
      <c r="H22" s="1131"/>
      <c r="I22" s="1131"/>
      <c r="J22" s="1131"/>
      <c r="K22" s="1131"/>
      <c r="L22" s="1131"/>
      <c r="M22" s="1131"/>
    </row>
    <row r="23" spans="1:13" s="1134" customFormat="1" ht="20.100000000000001" customHeight="1" x14ac:dyDescent="0.3">
      <c r="A23" s="1122" t="s">
        <v>995</v>
      </c>
      <c r="B23" s="1123">
        <f>SUM(B24:B28)</f>
        <v>2545400173</v>
      </c>
      <c r="C23" s="1123">
        <f>SUM(C24:C28)</f>
        <v>2582000000</v>
      </c>
      <c r="D23" s="1123">
        <f>SUM(D24:D28)</f>
        <v>2612000000</v>
      </c>
      <c r="E23" s="1124">
        <f>SUM(E24:E28)</f>
        <v>2643000000</v>
      </c>
      <c r="F23" s="1133"/>
      <c r="G23" s="1133"/>
      <c r="H23" s="1133"/>
      <c r="I23" s="1133"/>
      <c r="J23" s="1133"/>
      <c r="K23" s="1133"/>
      <c r="L23" s="1133"/>
      <c r="M23" s="1133"/>
    </row>
    <row r="24" spans="1:13" s="1134" customFormat="1" ht="20.100000000000001" customHeight="1" x14ac:dyDescent="0.3">
      <c r="A24" s="1118" t="s">
        <v>406</v>
      </c>
      <c r="B24" s="1119">
        <f>'[3]8. sz. tábla  (3)'!H7</f>
        <v>480785229</v>
      </c>
      <c r="C24" s="1135">
        <v>510000000</v>
      </c>
      <c r="D24" s="1135">
        <v>535000000</v>
      </c>
      <c r="E24" s="1136">
        <v>560000000</v>
      </c>
      <c r="F24" s="1133"/>
      <c r="G24" s="1133"/>
      <c r="H24" s="1133"/>
      <c r="I24" s="1133"/>
      <c r="J24" s="1133"/>
      <c r="K24" s="1133"/>
      <c r="L24" s="1133"/>
      <c r="M24" s="1133"/>
    </row>
    <row r="25" spans="1:13" s="1132" customFormat="1" ht="31.5" customHeight="1" x14ac:dyDescent="0.3">
      <c r="A25" s="1118" t="s">
        <v>996</v>
      </c>
      <c r="B25" s="1119">
        <f>'[3]8. sz. tábla  (3)'!H8</f>
        <v>108154075</v>
      </c>
      <c r="C25" s="1119">
        <v>112000000</v>
      </c>
      <c r="D25" s="1119">
        <v>117000000</v>
      </c>
      <c r="E25" s="1120">
        <v>123000000</v>
      </c>
      <c r="F25" s="1137"/>
      <c r="G25" s="1137"/>
      <c r="H25" s="1137"/>
      <c r="I25" s="1131"/>
      <c r="J25" s="1131"/>
      <c r="K25" s="1131"/>
      <c r="L25" s="1131"/>
      <c r="M25" s="1131"/>
    </row>
    <row r="26" spans="1:13" s="1132" customFormat="1" ht="22.5" customHeight="1" x14ac:dyDescent="0.3">
      <c r="A26" s="1118" t="s">
        <v>396</v>
      </c>
      <c r="B26" s="1119">
        <f>'[3]8. sz. tábla  (3)'!H9</f>
        <v>914182302</v>
      </c>
      <c r="C26" s="1119">
        <v>915000000</v>
      </c>
      <c r="D26" s="1119">
        <v>915000000</v>
      </c>
      <c r="E26" s="1120">
        <v>915000000</v>
      </c>
      <c r="F26" s="1137"/>
      <c r="G26" s="1137"/>
      <c r="H26" s="1137"/>
      <c r="I26" s="1131"/>
      <c r="J26" s="1131"/>
      <c r="K26" s="1131"/>
      <c r="L26" s="1131"/>
      <c r="M26" s="1131"/>
    </row>
    <row r="27" spans="1:13" s="1132" customFormat="1" ht="23.25" customHeight="1" x14ac:dyDescent="0.3">
      <c r="A27" s="1118" t="s">
        <v>427</v>
      </c>
      <c r="B27" s="1119">
        <f>'[3]8. sz. tábla  (3)'!H10</f>
        <v>32322176</v>
      </c>
      <c r="C27" s="1119">
        <v>35000000</v>
      </c>
      <c r="D27" s="1119">
        <v>35000000</v>
      </c>
      <c r="E27" s="1120">
        <v>35000000</v>
      </c>
      <c r="F27" s="1137"/>
      <c r="G27" s="1137"/>
      <c r="H27" s="1137"/>
      <c r="I27" s="1131"/>
      <c r="J27" s="1131"/>
      <c r="K27" s="1131"/>
      <c r="L27" s="1131"/>
      <c r="M27" s="1131"/>
    </row>
    <row r="28" spans="1:13" ht="20.100000000000001" customHeight="1" x14ac:dyDescent="0.3">
      <c r="A28" s="1118" t="s">
        <v>402</v>
      </c>
      <c r="B28" s="1119">
        <f>'[3]8. sz. tábla  (3)'!H11</f>
        <v>1009956391</v>
      </c>
      <c r="C28" s="1119">
        <v>1010000000</v>
      </c>
      <c r="D28" s="1119">
        <v>1010000000</v>
      </c>
      <c r="E28" s="1120">
        <v>1010000000</v>
      </c>
    </row>
    <row r="29" spans="1:13" ht="20.100000000000001" customHeight="1" x14ac:dyDescent="0.3">
      <c r="A29" s="1122" t="s">
        <v>997</v>
      </c>
      <c r="B29" s="1123">
        <f>SUM(B30:B33)</f>
        <v>4526675473</v>
      </c>
      <c r="C29" s="1123">
        <f>SUM(C30:C32)</f>
        <v>2487000000</v>
      </c>
      <c r="D29" s="1123">
        <f t="shared" ref="D29:E29" si="0">SUM(D30:D32)</f>
        <v>2387000000</v>
      </c>
      <c r="E29" s="1124">
        <f t="shared" si="0"/>
        <v>2487000000</v>
      </c>
    </row>
    <row r="30" spans="1:13" ht="20.100000000000001" customHeight="1" x14ac:dyDescent="0.3">
      <c r="A30" s="1118" t="s">
        <v>998</v>
      </c>
      <c r="B30" s="1119">
        <f>'[3]8. sz. tábla  (3)'!H30</f>
        <v>3738509802</v>
      </c>
      <c r="C30" s="1119">
        <v>2400000000</v>
      </c>
      <c r="D30" s="1119">
        <v>2300000000</v>
      </c>
      <c r="E30" s="1120">
        <v>2400000000</v>
      </c>
    </row>
    <row r="31" spans="1:13" s="1132" customFormat="1" ht="20.100000000000001" customHeight="1" x14ac:dyDescent="0.3">
      <c r="A31" s="1118" t="s">
        <v>999</v>
      </c>
      <c r="B31" s="1119">
        <f>'[3]8. sz. tábla  (3)'!H31</f>
        <v>6571000</v>
      </c>
      <c r="C31" s="1119">
        <v>7000000</v>
      </c>
      <c r="D31" s="1119">
        <v>7000000</v>
      </c>
      <c r="E31" s="1120">
        <v>7000000</v>
      </c>
    </row>
    <row r="32" spans="1:13" ht="20.100000000000001" customHeight="1" x14ac:dyDescent="0.3">
      <c r="A32" s="1118" t="s">
        <v>1000</v>
      </c>
      <c r="B32" s="1119">
        <f>'[3]8. sz. tábla  (3)'!H32</f>
        <v>93139339</v>
      </c>
      <c r="C32" s="1119">
        <v>80000000</v>
      </c>
      <c r="D32" s="1119">
        <v>80000000</v>
      </c>
      <c r="E32" s="1120">
        <v>80000000</v>
      </c>
    </row>
    <row r="33" spans="1:5" ht="20.100000000000001" customHeight="1" x14ac:dyDescent="0.3">
      <c r="A33" s="1118" t="s">
        <v>1001</v>
      </c>
      <c r="B33" s="1119">
        <f>'[3]8. sz. tábla  (3)'!H33</f>
        <v>688455332</v>
      </c>
      <c r="C33" s="1119">
        <v>200000</v>
      </c>
      <c r="D33" s="1119">
        <v>200000</v>
      </c>
      <c r="E33" s="1120">
        <v>200000</v>
      </c>
    </row>
    <row r="34" spans="1:5" ht="20.100000000000001" customHeight="1" x14ac:dyDescent="0.3">
      <c r="A34" s="1122" t="s">
        <v>797</v>
      </c>
      <c r="B34" s="1123">
        <f>SUM(B35:B36)</f>
        <v>276288740</v>
      </c>
      <c r="C34" s="1123">
        <f>SUM(C35:C36)</f>
        <v>62757576</v>
      </c>
      <c r="D34" s="1123">
        <f t="shared" ref="D34:E34" si="1">SUM(D35:D36)</f>
        <v>102757576</v>
      </c>
      <c r="E34" s="1124">
        <f t="shared" si="1"/>
        <v>62757576</v>
      </c>
    </row>
    <row r="35" spans="1:5" s="1132" customFormat="1" ht="20.100000000000001" customHeight="1" x14ac:dyDescent="0.3">
      <c r="A35" s="1118" t="s">
        <v>798</v>
      </c>
      <c r="B35" s="1119">
        <f>'[3]1.sz.tábla   (2)'!D29</f>
        <v>76175628</v>
      </c>
      <c r="C35" s="1119">
        <v>22757576</v>
      </c>
      <c r="D35" s="1119">
        <v>62757576</v>
      </c>
      <c r="E35" s="1120">
        <v>22757576</v>
      </c>
    </row>
    <row r="36" spans="1:5" s="1132" customFormat="1" ht="20.100000000000001" customHeight="1" x14ac:dyDescent="0.3">
      <c r="A36" s="1118" t="s">
        <v>799</v>
      </c>
      <c r="B36" s="1119">
        <f>'[3]1.sz.tábla   (2)'!D30</f>
        <v>200113112</v>
      </c>
      <c r="C36" s="1119">
        <v>40000000</v>
      </c>
      <c r="D36" s="1119">
        <v>40000000</v>
      </c>
      <c r="E36" s="1120">
        <v>40000000</v>
      </c>
    </row>
    <row r="37" spans="1:5" ht="32.25" customHeight="1" x14ac:dyDescent="0.3">
      <c r="A37" s="1122" t="s">
        <v>800</v>
      </c>
      <c r="B37" s="1123">
        <f>SUM(B34,B29,B23)</f>
        <v>7348364386</v>
      </c>
      <c r="C37" s="1123">
        <f>SUM(C34,C29,C23)</f>
        <v>5131757576</v>
      </c>
      <c r="D37" s="1123">
        <f t="shared" ref="D37:E37" si="2">SUM(D34,D29,D23)</f>
        <v>5101757576</v>
      </c>
      <c r="E37" s="1124">
        <f t="shared" si="2"/>
        <v>5192757576</v>
      </c>
    </row>
    <row r="38" spans="1:5" ht="20.100000000000001" customHeight="1" x14ac:dyDescent="0.3">
      <c r="A38" s="1118" t="s">
        <v>801</v>
      </c>
      <c r="B38" s="1119">
        <f>'[3]8. sz. tábla  (3)'!H43</f>
        <v>74242424</v>
      </c>
      <c r="C38" s="1119">
        <v>74242424</v>
      </c>
      <c r="D38" s="1119">
        <v>74242424</v>
      </c>
      <c r="E38" s="1120">
        <v>74242424</v>
      </c>
    </row>
    <row r="39" spans="1:5" ht="20.100000000000001" customHeight="1" x14ac:dyDescent="0.3">
      <c r="A39" s="1118" t="s">
        <v>1002</v>
      </c>
      <c r="B39" s="1119">
        <f>'[3]8. sz. tábla  (3)'!H20</f>
        <v>44090809</v>
      </c>
      <c r="C39" s="1119">
        <v>12600000</v>
      </c>
      <c r="D39" s="1119">
        <v>12600000</v>
      </c>
      <c r="E39" s="1120">
        <v>12600000</v>
      </c>
    </row>
    <row r="40" spans="1:5" s="1132" customFormat="1" x14ac:dyDescent="0.3">
      <c r="A40" s="1122" t="s">
        <v>802</v>
      </c>
      <c r="B40" s="1123">
        <f>SUM(B38:B39)</f>
        <v>118333233</v>
      </c>
      <c r="C40" s="1123">
        <f>SUM(C38:C39)</f>
        <v>86842424</v>
      </c>
      <c r="D40" s="1123">
        <f t="shared" ref="D40:E40" si="3">SUM(D38:D39)</f>
        <v>86842424</v>
      </c>
      <c r="E40" s="1124">
        <f t="shared" si="3"/>
        <v>86842424</v>
      </c>
    </row>
    <row r="41" spans="1:5" ht="20.100000000000001" customHeight="1" x14ac:dyDescent="0.3">
      <c r="A41" s="1128" t="s">
        <v>803</v>
      </c>
      <c r="B41" s="1129">
        <f>SUM(B37,B40)</f>
        <v>7466697619</v>
      </c>
      <c r="C41" s="1129">
        <f>SUM(C37,C40)</f>
        <v>5218600000</v>
      </c>
      <c r="D41" s="1129">
        <f t="shared" ref="D41:E41" si="4">SUM(D37,D40)</f>
        <v>5188600000</v>
      </c>
      <c r="E41" s="1130">
        <f t="shared" si="4"/>
        <v>5279600000</v>
      </c>
    </row>
    <row r="42" spans="1:5" thickBot="1" x14ac:dyDescent="0.3">
      <c r="A42" s="1138"/>
      <c r="B42" s="1139"/>
      <c r="C42" s="1139">
        <f>C21-C41</f>
        <v>0</v>
      </c>
      <c r="D42" s="1139">
        <f t="shared" ref="D42:E42" si="5">D21-D41</f>
        <v>0</v>
      </c>
      <c r="E42" s="1140">
        <f t="shared" si="5"/>
        <v>0</v>
      </c>
    </row>
    <row r="43" spans="1:5" x14ac:dyDescent="0.3">
      <c r="A43" s="1141"/>
      <c r="B43" s="1142"/>
      <c r="C43" s="1143"/>
      <c r="D43" s="1144"/>
      <c r="E43" s="1115"/>
    </row>
  </sheetData>
  <sheetProtection selectLockedCells="1" selectUnlockedCells="1"/>
  <mergeCells count="2">
    <mergeCell ref="A5:E5"/>
    <mergeCell ref="A6:E6"/>
  </mergeCells>
  <printOptions horizontalCentered="1"/>
  <pageMargins left="0.4597222222222222" right="0.57986111111111116" top="1.1201388888888888" bottom="0.98402777777777772" header="0.45" footer="0.51180555555555551"/>
  <pageSetup paperSize="9" scale="61" firstPageNumber="0" orientation="portrait" r:id="rId1"/>
  <headerFooter alignWithMargins="0">
    <oddHeader xml:space="preserve">&amp;C&amp;"Arial,Félkövér"&amp;12
&amp;"Arial CE,Normál"&amp;10 18. mell&amp;"Arial,Normál"éklet
az önkormányzat 2017. évi költségvetéséről szóló 8/2017. (II.24.) önkormányzati rendeletéhez&amp;R
&amp;P. oldal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23</vt:i4>
      </vt:variant>
      <vt:variant>
        <vt:lpstr>Névvel ellátott tartományok</vt:lpstr>
      </vt:variant>
      <vt:variant>
        <vt:i4>21</vt:i4>
      </vt:variant>
    </vt:vector>
  </HeadingPairs>
  <TitlesOfParts>
    <vt:vector size="44" baseType="lpstr">
      <vt:lpstr>1.sz.tábla   (2)</vt:lpstr>
      <vt:lpstr>2.sz.tábla   (2)</vt:lpstr>
      <vt:lpstr>2.a tábla ÚJ </vt:lpstr>
      <vt:lpstr>2b. tábla (2)</vt:lpstr>
      <vt:lpstr>2c. tábla (2)</vt:lpstr>
      <vt:lpstr>3.sz. tábla  (2)</vt:lpstr>
      <vt:lpstr>4.sz.tábla </vt:lpstr>
      <vt:lpstr>4a. sz. tábla  (3)</vt:lpstr>
      <vt:lpstr>5.tábla (2)</vt:lpstr>
      <vt:lpstr>5b. sz. tábla  (2)</vt:lpstr>
      <vt:lpstr>6.sz.tábla  (4)</vt:lpstr>
      <vt:lpstr>7. sz. tábla 1</vt:lpstr>
      <vt:lpstr>8. sz. tábla  (3)</vt:lpstr>
      <vt:lpstr>8a. sz. tábla  (4)</vt:lpstr>
      <vt:lpstr>9. sz. tábla (2)</vt:lpstr>
      <vt:lpstr>10. tábla többéves VÉGLEGES </vt:lpstr>
      <vt:lpstr>11. sz. tábla</vt:lpstr>
      <vt:lpstr>12. sz. tábla</vt:lpstr>
      <vt:lpstr>13. tábla EU pályázatok</vt:lpstr>
      <vt:lpstr>14. sz. stabilitási tv  (3)</vt:lpstr>
      <vt:lpstr>15.16. sz. tábla (2)</vt:lpstr>
      <vt:lpstr>17. sz. tábla </vt:lpstr>
      <vt:lpstr>18.sz.tábla  (4)</vt:lpstr>
      <vt:lpstr>'1.sz.tábla   (2)'!Nyomtatási_terület</vt:lpstr>
      <vt:lpstr>'12. sz. tábla'!Nyomtatási_terület</vt:lpstr>
      <vt:lpstr>'13. tábla EU pályázatok'!Nyomtatási_terület</vt:lpstr>
      <vt:lpstr>'14. sz. stabilitási tv  (3)'!Nyomtatási_terület</vt:lpstr>
      <vt:lpstr>'15.16. sz. tábla (2)'!Nyomtatási_terület</vt:lpstr>
      <vt:lpstr>'17. sz. tábla '!Nyomtatási_terület</vt:lpstr>
      <vt:lpstr>'18.sz.tábla  (4)'!Nyomtatási_terület</vt:lpstr>
      <vt:lpstr>'2.a tábla ÚJ '!Nyomtatási_terület</vt:lpstr>
      <vt:lpstr>'2.sz.tábla   (2)'!Nyomtatási_terület</vt:lpstr>
      <vt:lpstr>'2b. tábla (2)'!Nyomtatási_terület</vt:lpstr>
      <vt:lpstr>'2c. tábla (2)'!Nyomtatási_terület</vt:lpstr>
      <vt:lpstr>'3.sz. tábla  (2)'!Nyomtatási_terület</vt:lpstr>
      <vt:lpstr>'4.sz.tábla '!Nyomtatási_terület</vt:lpstr>
      <vt:lpstr>'4a. sz. tábla  (3)'!Nyomtatási_terület</vt:lpstr>
      <vt:lpstr>'5.tábla (2)'!Nyomtatási_terület</vt:lpstr>
      <vt:lpstr>'5b. sz. tábla  (2)'!Nyomtatási_terület</vt:lpstr>
      <vt:lpstr>'6.sz.tábla  (4)'!Nyomtatási_terület</vt:lpstr>
      <vt:lpstr>'7. sz. tábla 1'!Nyomtatási_terület</vt:lpstr>
      <vt:lpstr>'8. sz. tábla  (3)'!Nyomtatási_terület</vt:lpstr>
      <vt:lpstr>'8a. sz. tábla  (4)'!Nyomtatási_terület</vt:lpstr>
      <vt:lpstr>'9. sz. tábla (2)'!Nyomtatási_terület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Répásy Ildikó</dc:creator>
  <cp:lastModifiedBy>Csihony-Kok Anita</cp:lastModifiedBy>
  <cp:lastPrinted>2017-06-28T08:06:53Z</cp:lastPrinted>
  <dcterms:created xsi:type="dcterms:W3CDTF">2014-05-27T12:51:39Z</dcterms:created>
  <dcterms:modified xsi:type="dcterms:W3CDTF">2017-06-30T06:35:14Z</dcterms:modified>
</cp:coreProperties>
</file>