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Költségvetés\Private\2019\Rendeletmódosítás\Utolsó rendeletmódosítás\Kihirdetett\"/>
    </mc:Choice>
  </mc:AlternateContent>
  <xr:revisionPtr revIDLastSave="0" documentId="13_ncr:1_{738E6375-D90C-47C8-9136-3A60FAD2ACCD}" xr6:coauthVersionLast="45" xr6:coauthVersionMax="45" xr10:uidLastSave="{00000000-0000-0000-0000-000000000000}"/>
  <bookViews>
    <workbookView xWindow="-120" yWindow="-120" windowWidth="20730" windowHeight="11160" tabRatio="903" firstSheet="7" activeTab="9" xr2:uid="{00000000-000D-0000-FFFF-FFFF00000000}"/>
  </bookViews>
  <sheets>
    <sheet name="1 bevétel (kötelező,önként)" sheetId="239" r:id="rId1"/>
    <sheet name="2 kiadás (kötelező, önként)" sheetId="240" r:id="rId2"/>
    <sheet name="3 bevétel(szűkített)" sheetId="261" r:id="rId3"/>
    <sheet name="4 kiadás(szűkített)" sheetId="260" r:id="rId4"/>
    <sheet name="5 egyenleg" sheetId="266" r:id="rId5"/>
    <sheet name="7int.bevétel" sheetId="330" r:id="rId6"/>
    <sheet name="8int.kiadás" sheetId="331" r:id="rId7"/>
    <sheet name="9álláshely" sheetId="332" r:id="rId8"/>
    <sheet name="10 ök kiadás" sheetId="244" r:id="rId9"/>
    <sheet name="11melléklet" sheetId="303" r:id="rId10"/>
    <sheet name="12 Fejlesztés" sheetId="304" r:id="rId11"/>
    <sheet name=" 14 Int.felúj" sheetId="305" r:id="rId12"/>
    <sheet name="16működési és felhalm " sheetId="299" r:id="rId13"/>
    <sheet name="17előirányzat felhasz. " sheetId="322" r:id="rId14"/>
    <sheet name="18többéves új" sheetId="327" r:id="rId15"/>
    <sheet name="19projektek " sheetId="328" r:id="rId16"/>
    <sheet name="21kiemelt" sheetId="333" r:id="rId17"/>
    <sheet name="23Környezetvéd.alap új" sheetId="329" r:id="rId18"/>
  </sheets>
  <externalReferences>
    <externalReference r:id="rId19"/>
    <externalReference r:id="rId20"/>
    <externalReference r:id="rId21"/>
    <externalReference r:id="rId22"/>
  </externalReferences>
  <definedNames>
    <definedName name="_____________b00001" localSheetId="11">[1]Munka3!#REF!</definedName>
    <definedName name="_____________b00001" localSheetId="9">[1]Munka3!#REF!</definedName>
    <definedName name="_____________b00001" localSheetId="10">[1]Munka3!#REF!</definedName>
    <definedName name="_____________b00001" localSheetId="13">[2]Munka3!#REF!</definedName>
    <definedName name="_____________b00001" localSheetId="14">[1]Munka3!#REF!</definedName>
    <definedName name="_____________b00001" localSheetId="15">[1]Munka3!#REF!</definedName>
    <definedName name="_____________b00001" localSheetId="17">[1]Munka3!#REF!</definedName>
    <definedName name="_____________b00001">[1]Munka3!#REF!</definedName>
    <definedName name="_____________e00001" localSheetId="11">[1]Munka3!#REF!</definedName>
    <definedName name="_____________e00001" localSheetId="10">[1]Munka3!#REF!</definedName>
    <definedName name="_____________e00001" localSheetId="13">[2]Munka3!#REF!</definedName>
    <definedName name="_____________e00001" localSheetId="17">[1]Munka3!#REF!</definedName>
    <definedName name="_____________e00001">[1]Munka3!#REF!</definedName>
    <definedName name="____________b00001" localSheetId="11">[1]Munka3!#REF!</definedName>
    <definedName name="____________b00001" localSheetId="9">[1]Munka3!#REF!</definedName>
    <definedName name="____________b00001" localSheetId="10">[1]Munka3!#REF!</definedName>
    <definedName name="____________b00001" localSheetId="13">[2]Munka3!#REF!</definedName>
    <definedName name="____________b00001" localSheetId="14">[2]Munka3!#REF!</definedName>
    <definedName name="____________b00001" localSheetId="17">[1]Munka3!#REF!</definedName>
    <definedName name="____________b00001">[1]Munka3!#REF!</definedName>
    <definedName name="____________e00001" localSheetId="11">[1]Munka3!#REF!</definedName>
    <definedName name="____________e00001" localSheetId="9">[1]Munka3!#REF!</definedName>
    <definedName name="____________e00001" localSheetId="10">[1]Munka3!#REF!</definedName>
    <definedName name="____________e00001" localSheetId="13">[2]Munka3!#REF!</definedName>
    <definedName name="____________e00001" localSheetId="14">[2]Munka3!#REF!</definedName>
    <definedName name="____________e00001" localSheetId="17">[1]Munka3!#REF!</definedName>
    <definedName name="____________e00001">[1]Munka3!#REF!</definedName>
    <definedName name="___________b00001" localSheetId="11">[1]Munka3!#REF!</definedName>
    <definedName name="___________b00001" localSheetId="9">[1]Munka3!#REF!</definedName>
    <definedName name="___________b00001" localSheetId="10">[1]Munka3!#REF!</definedName>
    <definedName name="___________b00001" localSheetId="13">[2]Munka3!#REF!</definedName>
    <definedName name="___________b00001" localSheetId="14">[2]Munka3!#REF!</definedName>
    <definedName name="___________b00001" localSheetId="17">[1]Munka3!#REF!</definedName>
    <definedName name="___________b00001">[1]Munka3!#REF!</definedName>
    <definedName name="___________e00001" localSheetId="11">[1]Munka3!#REF!</definedName>
    <definedName name="___________e00001" localSheetId="9">[1]Munka3!#REF!</definedName>
    <definedName name="___________e00001" localSheetId="10">[1]Munka3!#REF!</definedName>
    <definedName name="___________e00001" localSheetId="13">[2]Munka3!#REF!</definedName>
    <definedName name="___________e00001" localSheetId="14">[2]Munka3!#REF!</definedName>
    <definedName name="___________e00001" localSheetId="17">[1]Munka3!#REF!</definedName>
    <definedName name="___________e00001">[1]Munka3!#REF!</definedName>
    <definedName name="__________b00001" localSheetId="11">[1]Munka3!#REF!</definedName>
    <definedName name="__________b00001" localSheetId="9">[1]Munka3!#REF!</definedName>
    <definedName name="__________b00001" localSheetId="10">[1]Munka3!#REF!</definedName>
    <definedName name="__________b00001" localSheetId="13">[2]Munka3!#REF!</definedName>
    <definedName name="__________b00001" localSheetId="14">[2]Munka3!#REF!</definedName>
    <definedName name="__________b00001" localSheetId="17">[1]Munka3!#REF!</definedName>
    <definedName name="__________b00001">[1]Munka3!#REF!</definedName>
    <definedName name="__________e00001" localSheetId="11">[1]Munka3!#REF!</definedName>
    <definedName name="__________e00001" localSheetId="9">[1]Munka3!#REF!</definedName>
    <definedName name="__________e00001" localSheetId="10">[1]Munka3!#REF!</definedName>
    <definedName name="__________e00001" localSheetId="13">[2]Munka3!#REF!</definedName>
    <definedName name="__________e00001" localSheetId="17">[1]Munka3!#REF!</definedName>
    <definedName name="__________e00001">[1]Munka3!#REF!</definedName>
    <definedName name="_________b00001" localSheetId="11">[1]Munka3!#REF!</definedName>
    <definedName name="_________b00001" localSheetId="9">[1]Munka3!#REF!</definedName>
    <definedName name="_________b00001" localSheetId="10">[1]Munka3!#REF!</definedName>
    <definedName name="_________b00001" localSheetId="13">[2]Munka3!#REF!</definedName>
    <definedName name="_________b00001" localSheetId="17">[1]Munka3!#REF!</definedName>
    <definedName name="_________b00001">[1]Munka3!#REF!</definedName>
    <definedName name="_________e00001" localSheetId="11">[1]Munka3!#REF!</definedName>
    <definedName name="_________e00001" localSheetId="9">[1]Munka3!#REF!</definedName>
    <definedName name="_________e00001" localSheetId="10">[1]Munka3!#REF!</definedName>
    <definedName name="_________e00001" localSheetId="13">[2]Munka3!#REF!</definedName>
    <definedName name="_________e00001" localSheetId="17">[1]Munka3!#REF!</definedName>
    <definedName name="_________e00001">[1]Munka3!#REF!</definedName>
    <definedName name="________b00001" localSheetId="11">[1]Munka3!#REF!</definedName>
    <definedName name="________b00001" localSheetId="9">[1]Munka3!#REF!</definedName>
    <definedName name="________b00001" localSheetId="10">[1]Munka3!#REF!</definedName>
    <definedName name="________b00001" localSheetId="13">[2]Munka3!#REF!</definedName>
    <definedName name="________b00001" localSheetId="17">[1]Munka3!#REF!</definedName>
    <definedName name="________b00001">[1]Munka3!#REF!</definedName>
    <definedName name="________e00001" localSheetId="11">[1]Munka3!#REF!</definedName>
    <definedName name="________e00001" localSheetId="9">[1]Munka3!#REF!</definedName>
    <definedName name="________e00001" localSheetId="10">[1]Munka3!#REF!</definedName>
    <definedName name="________e00001" localSheetId="13">[2]Munka3!#REF!</definedName>
    <definedName name="________e00001" localSheetId="17">[1]Munka3!#REF!</definedName>
    <definedName name="________e00001">[1]Munka3!#REF!</definedName>
    <definedName name="_______b00001" localSheetId="11">[1]Munka3!#REF!</definedName>
    <definedName name="_______b00001" localSheetId="9">[1]Munka3!#REF!</definedName>
    <definedName name="_______b00001" localSheetId="10">[1]Munka3!#REF!</definedName>
    <definedName name="_______b00001" localSheetId="13">[2]Munka3!#REF!</definedName>
    <definedName name="_______b00001" localSheetId="17">[1]Munka3!#REF!</definedName>
    <definedName name="_______b00001">[1]Munka3!#REF!</definedName>
    <definedName name="_______e00001" localSheetId="11">[1]Munka3!#REF!</definedName>
    <definedName name="_______e00001" localSheetId="9">[1]Munka3!#REF!</definedName>
    <definedName name="_______e00001" localSheetId="10">[1]Munka3!#REF!</definedName>
    <definedName name="_______e00001" localSheetId="13">[2]Munka3!#REF!</definedName>
    <definedName name="_______e00001" localSheetId="17">[1]Munka3!#REF!</definedName>
    <definedName name="_______e00001">[1]Munka3!#REF!</definedName>
    <definedName name="______b00001" localSheetId="11">[1]Munka3!#REF!</definedName>
    <definedName name="______b00001" localSheetId="9">[1]Munka3!#REF!</definedName>
    <definedName name="______b00001" localSheetId="10">[1]Munka3!#REF!</definedName>
    <definedName name="______b00001" localSheetId="13">[2]Munka3!#REF!</definedName>
    <definedName name="______b00001" localSheetId="17">[1]Munka3!#REF!</definedName>
    <definedName name="______b00001">[1]Munka3!#REF!</definedName>
    <definedName name="______e00001" localSheetId="11">[1]Munka3!#REF!</definedName>
    <definedName name="______e00001" localSheetId="9">[1]Munka3!#REF!</definedName>
    <definedName name="______e00001" localSheetId="10">[1]Munka3!#REF!</definedName>
    <definedName name="______e00001" localSheetId="13">[2]Munka3!#REF!</definedName>
    <definedName name="______e00001" localSheetId="17">[1]Munka3!#REF!</definedName>
    <definedName name="______e00001">[1]Munka3!#REF!</definedName>
    <definedName name="_____b00001" localSheetId="11">[1]Munka3!#REF!</definedName>
    <definedName name="_____b00001" localSheetId="9">[1]Munka3!#REF!</definedName>
    <definedName name="_____b00001" localSheetId="10">[1]Munka3!#REF!</definedName>
    <definedName name="_____b00001" localSheetId="13">[2]Munka3!#REF!</definedName>
    <definedName name="_____b00001" localSheetId="17">[1]Munka3!#REF!</definedName>
    <definedName name="_____b00001">[1]Munka3!#REF!</definedName>
    <definedName name="_____e00001" localSheetId="11">[1]Munka3!#REF!</definedName>
    <definedName name="_____e00001" localSheetId="9">[1]Munka3!#REF!</definedName>
    <definedName name="_____e00001" localSheetId="10">[1]Munka3!#REF!</definedName>
    <definedName name="_____e00001" localSheetId="13">[2]Munka3!#REF!</definedName>
    <definedName name="_____e00001" localSheetId="17">[1]Munka3!#REF!</definedName>
    <definedName name="_____e00001">[1]Munka3!#REF!</definedName>
    <definedName name="____b00001" localSheetId="11">[1]Munka3!#REF!</definedName>
    <definedName name="____b00001" localSheetId="9">[1]Munka3!#REF!</definedName>
    <definedName name="____b00001" localSheetId="10">[1]Munka3!#REF!</definedName>
    <definedName name="____b00001" localSheetId="13">[2]Munka3!#REF!</definedName>
    <definedName name="____b00001" localSheetId="17">[1]Munka3!#REF!</definedName>
    <definedName name="____b00001">[1]Munka3!#REF!</definedName>
    <definedName name="____e00001" localSheetId="11">[1]Munka3!#REF!</definedName>
    <definedName name="____e00001" localSheetId="9">[1]Munka3!#REF!</definedName>
    <definedName name="____e00001" localSheetId="10">[1]Munka3!#REF!</definedName>
    <definedName name="____e00001" localSheetId="13">[2]Munka3!#REF!</definedName>
    <definedName name="____e00001" localSheetId="17">[1]Munka3!#REF!</definedName>
    <definedName name="____e00001">[1]Munka3!#REF!</definedName>
    <definedName name="___b00001" localSheetId="11">[1]Munka3!#REF!</definedName>
    <definedName name="___b00001" localSheetId="9">[1]Munka3!#REF!</definedName>
    <definedName name="___b00001" localSheetId="10">[1]Munka3!#REF!</definedName>
    <definedName name="___b00001" localSheetId="13">[2]Munka3!#REF!</definedName>
    <definedName name="___b00001" localSheetId="17">[1]Munka3!#REF!</definedName>
    <definedName name="___b00001">[1]Munka3!#REF!</definedName>
    <definedName name="___e00001" localSheetId="11">[1]Munka3!#REF!</definedName>
    <definedName name="___e00001" localSheetId="9">[1]Munka3!#REF!</definedName>
    <definedName name="___e00001" localSheetId="10">[1]Munka3!#REF!</definedName>
    <definedName name="___e00001" localSheetId="13">[2]Munka3!#REF!</definedName>
    <definedName name="___e00001" localSheetId="17">[1]Munka3!#REF!</definedName>
    <definedName name="___e00001">[1]Munka3!#REF!</definedName>
    <definedName name="__b00001" localSheetId="11">[1]Munka3!#REF!</definedName>
    <definedName name="__b00001" localSheetId="9">[1]Munka3!#REF!</definedName>
    <definedName name="__b00001" localSheetId="10">[1]Munka3!#REF!</definedName>
    <definedName name="__b00001" localSheetId="13">[2]Munka3!#REF!</definedName>
    <definedName name="__b00001" localSheetId="15">[2]Munka3!#REF!</definedName>
    <definedName name="__b00001" localSheetId="17">[1]Munka3!#REF!</definedName>
    <definedName name="__b00001">[1]Munka3!#REF!</definedName>
    <definedName name="__e00001" localSheetId="11">[1]Munka3!#REF!</definedName>
    <definedName name="__e00001" localSheetId="9">[1]Munka3!#REF!</definedName>
    <definedName name="__e00001" localSheetId="10">[1]Munka3!#REF!</definedName>
    <definedName name="__e00001" localSheetId="13">[2]Munka3!#REF!</definedName>
    <definedName name="__e00001" localSheetId="15">[2]Munka3!#REF!</definedName>
    <definedName name="__e00001" localSheetId="17">[1]Munka3!#REF!</definedName>
    <definedName name="__e00001">[1]Munka3!#REF!</definedName>
    <definedName name="_b00001" localSheetId="11">[1]Munka3!#REF!</definedName>
    <definedName name="_b00001" localSheetId="9">[1]Munka3!#REF!</definedName>
    <definedName name="_b00001" localSheetId="10">[1]Munka3!#REF!</definedName>
    <definedName name="_b00001" localSheetId="13">[2]Munka3!#REF!</definedName>
    <definedName name="_b00001" localSheetId="15">[2]Munka3!#REF!</definedName>
    <definedName name="_b00001" localSheetId="17">[1]Munka3!#REF!</definedName>
    <definedName name="_b00001">[1]Munka3!#REF!</definedName>
    <definedName name="_e00001" localSheetId="11">[1]Munka3!#REF!</definedName>
    <definedName name="_e00001" localSheetId="9">[1]Munka3!#REF!</definedName>
    <definedName name="_e00001" localSheetId="10">[1]Munka3!#REF!</definedName>
    <definedName name="_e00001" localSheetId="13">[2]Munka3!#REF!</definedName>
    <definedName name="_e00001" localSheetId="15">[2]Munka3!#REF!</definedName>
    <definedName name="_e00001" localSheetId="17">[1]Munka3!#REF!</definedName>
    <definedName name="_e00001">[1]Munka3!#REF!</definedName>
    <definedName name="b0000" localSheetId="9">[2]Munka3!#REF!</definedName>
    <definedName name="b0000" localSheetId="13">[2]Munka3!#REF!</definedName>
    <definedName name="b0000" localSheetId="15">[3]Munka3!#REF!</definedName>
    <definedName name="b0000" localSheetId="17">[2]Munka3!#REF!</definedName>
    <definedName name="b0000">[2]Munka3!#REF!</definedName>
    <definedName name="b00000" localSheetId="0">[1]Munka3!#REF!</definedName>
    <definedName name="b00000" localSheetId="8">[1]Munka3!#REF!</definedName>
    <definedName name="b00000" localSheetId="9">[2]Munka3!#REF!</definedName>
    <definedName name="b00000" localSheetId="12">[4]Munka3!#REF!</definedName>
    <definedName name="b00000" localSheetId="13">[2]Munka3!#REF!</definedName>
    <definedName name="b00000" localSheetId="15">[3]Munka3!#REF!</definedName>
    <definedName name="b00000" localSheetId="1">[1]Munka3!#REF!</definedName>
    <definedName name="b00000" localSheetId="17">[2]Munka3!#REF!</definedName>
    <definedName name="b00000">[2]Munka3!#REF!</definedName>
    <definedName name="c00000" localSheetId="9">[2]Munka3!#REF!</definedName>
    <definedName name="c00000" localSheetId="13">[2]Munka3!#REF!</definedName>
    <definedName name="c00000" localSheetId="17">[2]Munka3!#REF!</definedName>
    <definedName name="c00000">[2]Munka3!#REF!</definedName>
    <definedName name="e_00002" localSheetId="17">[1]Munka3!#REF!</definedName>
    <definedName name="e_00002">[1]Munka3!#REF!</definedName>
    <definedName name="E00000" localSheetId="0">[1]Munka3!#REF!</definedName>
    <definedName name="E00000" localSheetId="8">[1]Munka3!#REF!</definedName>
    <definedName name="E00000" localSheetId="9">[2]Munka3!#REF!</definedName>
    <definedName name="E00000" localSheetId="12">[4]Munka3!#REF!</definedName>
    <definedName name="E00000" localSheetId="13">[2]Munka3!#REF!</definedName>
    <definedName name="E00000" localSheetId="15">[3]Munka3!#REF!</definedName>
    <definedName name="E00000" localSheetId="1">[1]Munka3!#REF!</definedName>
    <definedName name="E00000" localSheetId="17">[2]Munka3!#REF!</definedName>
    <definedName name="E00000">[2]Munka3!#REF!</definedName>
    <definedName name="este" localSheetId="17">[1]Munka3!#REF!</definedName>
    <definedName name="este">[1]Munka3!#REF!</definedName>
    <definedName name="jav_előirányzatfelhasz" localSheetId="17">[1]Munka3!#REF!</definedName>
    <definedName name="jav_előirányzatfelhasz">[1]Munka3!#REF!</definedName>
    <definedName name="javítás" localSheetId="17">[1]Munka3!#REF!</definedName>
    <definedName name="javítás">[1]Munka3!#REF!</definedName>
    <definedName name="létszám" localSheetId="9">[2]Munka3!#REF!</definedName>
    <definedName name="létszám" localSheetId="13">[2]Munka3!#REF!</definedName>
    <definedName name="létszám" localSheetId="15">[3]Munka3!#REF!</definedName>
    <definedName name="létszám" localSheetId="17">[2]Munka3!#REF!</definedName>
    <definedName name="létszám">[2]Munka3!#REF!</definedName>
    <definedName name="Norm.2014" localSheetId="11">[2]Munka3!#REF!</definedName>
    <definedName name="Norm.2014" localSheetId="9">[2]Munka3!#REF!</definedName>
    <definedName name="Norm.2014" localSheetId="10">[2]Munka3!#REF!</definedName>
    <definedName name="Norm.2014" localSheetId="13">[2]Munka3!#REF!</definedName>
    <definedName name="Norm.2014" localSheetId="14">[2]Munka3!#REF!</definedName>
    <definedName name="Norm.2014" localSheetId="15">[2]Munka3!#REF!</definedName>
    <definedName name="Norm.2014" localSheetId="17">[2]Munka3!#REF!</definedName>
    <definedName name="Norm.2014">[1]Munka3!#REF!</definedName>
    <definedName name="_xlnm.Print_Titles" localSheetId="11">' 14 Int.felúj'!$1:$4</definedName>
    <definedName name="_xlnm.Print_Titles" localSheetId="0">'1 bevétel (kötelező,önként)'!$A:$B,'1 bevétel (kötelező,önként)'!$1:$8</definedName>
    <definedName name="_xlnm.Print_Titles" localSheetId="8">'10 ök kiadás'!$1:$6</definedName>
    <definedName name="_xlnm.Print_Titles" localSheetId="9">'11melléklet'!$1:$3</definedName>
    <definedName name="_xlnm.Print_Titles" localSheetId="10">'12 Fejlesztés'!$1:$4</definedName>
    <definedName name="_xlnm.Print_Titles" localSheetId="15">'19projektek '!$A:$B,'19projektek '!$1:$7</definedName>
    <definedName name="_xlnm.Print_Titles" localSheetId="1">'2 kiadás (kötelező, önként)'!$A:$B</definedName>
    <definedName name="_xlnm.Print_Titles" localSheetId="2">'3 bevétel(szűkített)'!$1:$8</definedName>
    <definedName name="_xlnm.Print_Titles" localSheetId="5">'7int.bevétel'!$A:$B,'7int.bevétel'!$1:$4</definedName>
    <definedName name="_xlnm.Print_Titles" localSheetId="6">'8int.kiadás'!$A:$O,'8int.kiadás'!$4:$6</definedName>
    <definedName name="_xlnm.Print_Area" localSheetId="0">'1 bevétel (kötelező,önként)'!$A$1:$AL$64</definedName>
    <definedName name="_xlnm.Print_Area" localSheetId="8">'10 ök kiadás'!$A$1:$P$424</definedName>
    <definedName name="_xlnm.Print_Area" localSheetId="9">'11melléklet'!$A$1:$K$284</definedName>
    <definedName name="_xlnm.Print_Area" localSheetId="13">'17előirányzat felhasz. '!$A$1:$Q$34</definedName>
    <definedName name="_xlnm.Print_Area" localSheetId="3">'4 kiadás(szűkített)'!$A$1:$K$27</definedName>
    <definedName name="_xlnm.Print_Area" localSheetId="5">'7int.bevétel'!$A$1:$O$472</definedName>
    <definedName name="_xlnm.Print_Area" localSheetId="6">'8int.kiadás'!$A$1:$O$469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9" i="240" l="1"/>
  <c r="D19" i="260"/>
  <c r="D263" i="303"/>
  <c r="G263" i="303"/>
  <c r="N26" i="322" l="1"/>
  <c r="O23" i="322"/>
  <c r="G41" i="239"/>
  <c r="L133" i="244"/>
  <c r="P133" i="244" s="1"/>
  <c r="H133" i="244"/>
  <c r="G99" i="303"/>
  <c r="D99" i="303"/>
  <c r="L132" i="244"/>
  <c r="E132" i="244"/>
  <c r="H132" i="244" s="1"/>
  <c r="G101" i="303"/>
  <c r="D101" i="303"/>
  <c r="L131" i="244"/>
  <c r="H131" i="244"/>
  <c r="M348" i="244"/>
  <c r="M344" i="244"/>
  <c r="O381" i="244"/>
  <c r="P381" i="244" s="1"/>
  <c r="O380" i="244"/>
  <c r="P380" i="244" s="1"/>
  <c r="O379" i="244"/>
  <c r="P379" i="244" s="1"/>
  <c r="O378" i="244"/>
  <c r="P378" i="244" s="1"/>
  <c r="O382" i="244"/>
  <c r="P382" i="244" s="1"/>
  <c r="O377" i="244"/>
  <c r="P377" i="244" s="1"/>
  <c r="O376" i="244"/>
  <c r="P376" i="244" s="1"/>
  <c r="O375" i="244"/>
  <c r="P375" i="244" s="1"/>
  <c r="O373" i="244"/>
  <c r="P373" i="244" s="1"/>
  <c r="G33" i="239"/>
  <c r="D33" i="261"/>
  <c r="L11" i="322"/>
  <c r="L9" i="322"/>
  <c r="L6" i="322"/>
  <c r="K6" i="322"/>
  <c r="D15" i="260"/>
  <c r="P132" i="244" l="1"/>
  <c r="P131" i="244"/>
  <c r="I103" i="244" l="1"/>
  <c r="C85" i="304"/>
  <c r="G95" i="303"/>
  <c r="D95" i="303"/>
  <c r="N14" i="322" l="1"/>
  <c r="P14" i="322" s="1"/>
  <c r="D44" i="239" l="1"/>
  <c r="E44" i="239"/>
  <c r="F44" i="239"/>
  <c r="G44" i="239"/>
  <c r="H44" i="239"/>
  <c r="I44" i="239"/>
  <c r="M44" i="239"/>
  <c r="O44" i="239"/>
  <c r="P44" i="239"/>
  <c r="Q44" i="239"/>
  <c r="R44" i="239"/>
  <c r="S44" i="239"/>
  <c r="T44" i="239"/>
  <c r="U44" i="239"/>
  <c r="V44" i="239"/>
  <c r="W44" i="239"/>
  <c r="X44" i="239"/>
  <c r="Y44" i="239"/>
  <c r="Z44" i="239"/>
  <c r="AA44" i="239"/>
  <c r="AB44" i="239"/>
  <c r="AC44" i="239"/>
  <c r="AD44" i="239"/>
  <c r="AG44" i="239"/>
  <c r="AK44" i="239"/>
  <c r="C44" i="239"/>
  <c r="AG42" i="239"/>
  <c r="AF42" i="239"/>
  <c r="AF44" i="239" s="1"/>
  <c r="AE42" i="239"/>
  <c r="AE44" i="239" s="1"/>
  <c r="AC42" i="239"/>
  <c r="AB42" i="239"/>
  <c r="AA42" i="239"/>
  <c r="Y42" i="239"/>
  <c r="X42" i="239"/>
  <c r="W42" i="239"/>
  <c r="V42" i="239"/>
  <c r="R42" i="239"/>
  <c r="AD42" i="239" s="1"/>
  <c r="M42" i="239"/>
  <c r="AK42" i="239" s="1"/>
  <c r="L42" i="239"/>
  <c r="AJ42" i="239" s="1"/>
  <c r="AJ44" i="239" s="1"/>
  <c r="K42" i="239"/>
  <c r="N42" i="239" s="1"/>
  <c r="N44" i="239" s="1"/>
  <c r="J42" i="239"/>
  <c r="J44" i="239" s="1"/>
  <c r="F42" i="239"/>
  <c r="F44" i="261"/>
  <c r="G44" i="261"/>
  <c r="H44" i="261"/>
  <c r="I44" i="261"/>
  <c r="D44" i="261"/>
  <c r="C44" i="261"/>
  <c r="J42" i="261"/>
  <c r="J44" i="261" s="1"/>
  <c r="I42" i="261"/>
  <c r="H42" i="261"/>
  <c r="E42" i="261"/>
  <c r="E44" i="261" s="1"/>
  <c r="AH42" i="239" l="1"/>
  <c r="AH44" i="239" s="1"/>
  <c r="K44" i="239"/>
  <c r="L44" i="239"/>
  <c r="K42" i="261"/>
  <c r="K44" i="261" s="1"/>
  <c r="Z42" i="239"/>
  <c r="AL42" i="239"/>
  <c r="AL44" i="239" s="1"/>
  <c r="AI42" i="239"/>
  <c r="AI44" i="239" s="1"/>
  <c r="M388" i="244"/>
  <c r="H263" i="303"/>
  <c r="G12" i="239" l="1"/>
  <c r="G11" i="239"/>
  <c r="G9" i="239"/>
  <c r="D12" i="261"/>
  <c r="D11" i="261"/>
  <c r="D9" i="261"/>
  <c r="L270" i="244"/>
  <c r="H270" i="244"/>
  <c r="D258" i="303"/>
  <c r="P270" i="244" l="1"/>
  <c r="L206" i="244"/>
  <c r="H206" i="244"/>
  <c r="H144" i="303"/>
  <c r="D144" i="303"/>
  <c r="D186" i="303"/>
  <c r="H192" i="303"/>
  <c r="H260" i="303"/>
  <c r="D264" i="303"/>
  <c r="H277" i="303"/>
  <c r="G277" i="303"/>
  <c r="D277" i="303"/>
  <c r="H276" i="303"/>
  <c r="G276" i="303"/>
  <c r="D276" i="303"/>
  <c r="H275" i="303"/>
  <c r="G275" i="303"/>
  <c r="D275" i="303"/>
  <c r="H274" i="303"/>
  <c r="G274" i="303"/>
  <c r="D274" i="303"/>
  <c r="H267" i="303"/>
  <c r="D267" i="303"/>
  <c r="G267" i="303"/>
  <c r="H266" i="303"/>
  <c r="D266" i="303"/>
  <c r="G266" i="303"/>
  <c r="G265" i="303"/>
  <c r="O407" i="244"/>
  <c r="P407" i="244" s="1"/>
  <c r="O406" i="244"/>
  <c r="P406" i="244" s="1"/>
  <c r="C43" i="333"/>
  <c r="B43" i="333"/>
  <c r="E33" i="333"/>
  <c r="D33" i="333"/>
  <c r="C33" i="333"/>
  <c r="B33" i="333"/>
  <c r="E28" i="333"/>
  <c r="E29" i="333" s="1"/>
  <c r="D28" i="333"/>
  <c r="D29" i="333" s="1"/>
  <c r="C28" i="333"/>
  <c r="C29" i="333" s="1"/>
  <c r="C44" i="333" s="1"/>
  <c r="C46" i="333" s="1"/>
  <c r="B28" i="333"/>
  <c r="B29" i="333" s="1"/>
  <c r="B44" i="333" s="1"/>
  <c r="B46" i="333" s="1"/>
  <c r="E15" i="333"/>
  <c r="D15" i="333"/>
  <c r="C15" i="333"/>
  <c r="B15" i="333"/>
  <c r="E8" i="333"/>
  <c r="D8" i="333"/>
  <c r="C8" i="333"/>
  <c r="B8" i="333"/>
  <c r="P206" i="244" l="1"/>
  <c r="D44" i="333"/>
  <c r="D46" i="333" s="1"/>
  <c r="E44" i="333"/>
  <c r="E46" i="333" s="1"/>
  <c r="N42" i="332" l="1"/>
  <c r="L42" i="332"/>
  <c r="F42" i="332"/>
  <c r="Q40" i="332"/>
  <c r="O40" i="332"/>
  <c r="M40" i="332"/>
  <c r="M41" i="332" s="1"/>
  <c r="M43" i="332" s="1"/>
  <c r="K40" i="332"/>
  <c r="J40" i="332"/>
  <c r="I40" i="332"/>
  <c r="G40" i="332"/>
  <c r="G41" i="332" s="1"/>
  <c r="G43" i="332" s="1"/>
  <c r="E40" i="332"/>
  <c r="D40" i="332"/>
  <c r="C40" i="332"/>
  <c r="B40" i="332"/>
  <c r="N39" i="332"/>
  <c r="P39" i="332" s="1"/>
  <c r="R39" i="332" s="1"/>
  <c r="L39" i="332"/>
  <c r="F39" i="332"/>
  <c r="H39" i="332" s="1"/>
  <c r="R38" i="332"/>
  <c r="L38" i="332"/>
  <c r="N38" i="332" s="1"/>
  <c r="P38" i="332" s="1"/>
  <c r="H38" i="332"/>
  <c r="F38" i="332"/>
  <c r="N37" i="332"/>
  <c r="P37" i="332" s="1"/>
  <c r="R37" i="332" s="1"/>
  <c r="L37" i="332"/>
  <c r="F37" i="332"/>
  <c r="H37" i="332" s="1"/>
  <c r="L36" i="332"/>
  <c r="N36" i="332" s="1"/>
  <c r="P36" i="332" s="1"/>
  <c r="R36" i="332" s="1"/>
  <c r="H36" i="332"/>
  <c r="F36" i="332"/>
  <c r="N35" i="332"/>
  <c r="P35" i="332" s="1"/>
  <c r="R35" i="332" s="1"/>
  <c r="L35" i="332"/>
  <c r="F35" i="332"/>
  <c r="H35" i="332" s="1"/>
  <c r="L34" i="332"/>
  <c r="N34" i="332" s="1"/>
  <c r="P34" i="332" s="1"/>
  <c r="R34" i="332" s="1"/>
  <c r="H34" i="332"/>
  <c r="F34" i="332"/>
  <c r="N33" i="332"/>
  <c r="P33" i="332" s="1"/>
  <c r="R33" i="332" s="1"/>
  <c r="L33" i="332"/>
  <c r="F33" i="332"/>
  <c r="H33" i="332" s="1"/>
  <c r="L32" i="332"/>
  <c r="L40" i="332" s="1"/>
  <c r="H32" i="332"/>
  <c r="F32" i="332"/>
  <c r="F40" i="332" s="1"/>
  <c r="N31" i="332"/>
  <c r="P31" i="332" s="1"/>
  <c r="R31" i="332" s="1"/>
  <c r="L31" i="332"/>
  <c r="F31" i="332"/>
  <c r="H31" i="332" s="1"/>
  <c r="Q30" i="332"/>
  <c r="O30" i="332"/>
  <c r="M30" i="332"/>
  <c r="K30" i="332"/>
  <c r="J30" i="332"/>
  <c r="I30" i="332"/>
  <c r="G30" i="332"/>
  <c r="F30" i="332"/>
  <c r="E30" i="332"/>
  <c r="D30" i="332"/>
  <c r="C30" i="332"/>
  <c r="B30" i="332"/>
  <c r="B41" i="332" s="1"/>
  <c r="B43" i="332" s="1"/>
  <c r="L29" i="332"/>
  <c r="N29" i="332" s="1"/>
  <c r="P29" i="332" s="1"/>
  <c r="R29" i="332" s="1"/>
  <c r="F29" i="332"/>
  <c r="H29" i="332" s="1"/>
  <c r="P28" i="332"/>
  <c r="R28" i="332" s="1"/>
  <c r="L28" i="332"/>
  <c r="N28" i="332" s="1"/>
  <c r="F28" i="332"/>
  <c r="H28" i="332" s="1"/>
  <c r="L27" i="332"/>
  <c r="F27" i="332"/>
  <c r="H27" i="332" s="1"/>
  <c r="H30" i="332" s="1"/>
  <c r="Q26" i="332"/>
  <c r="M26" i="332"/>
  <c r="I26" i="332"/>
  <c r="E26" i="332"/>
  <c r="Q25" i="332"/>
  <c r="O25" i="332"/>
  <c r="M25" i="332"/>
  <c r="K25" i="332"/>
  <c r="J25" i="332"/>
  <c r="J26" i="332" s="1"/>
  <c r="J41" i="332" s="1"/>
  <c r="J43" i="332" s="1"/>
  <c r="I25" i="332"/>
  <c r="G25" i="332"/>
  <c r="G26" i="332" s="1"/>
  <c r="E25" i="332"/>
  <c r="D25" i="332"/>
  <c r="D26" i="332" s="1"/>
  <c r="C25" i="332"/>
  <c r="B25" i="332"/>
  <c r="B26" i="332" s="1"/>
  <c r="L24" i="332"/>
  <c r="N24" i="332" s="1"/>
  <c r="P24" i="332" s="1"/>
  <c r="R24" i="332" s="1"/>
  <c r="F24" i="332"/>
  <c r="H24" i="332" s="1"/>
  <c r="P23" i="332"/>
  <c r="R23" i="332" s="1"/>
  <c r="N23" i="332"/>
  <c r="L23" i="332"/>
  <c r="F23" i="332"/>
  <c r="H23" i="332" s="1"/>
  <c r="L22" i="332"/>
  <c r="N22" i="332" s="1"/>
  <c r="P22" i="332" s="1"/>
  <c r="R22" i="332" s="1"/>
  <c r="H22" i="332"/>
  <c r="F22" i="332"/>
  <c r="P21" i="332"/>
  <c r="R21" i="332" s="1"/>
  <c r="N21" i="332"/>
  <c r="L21" i="332"/>
  <c r="F21" i="332"/>
  <c r="H21" i="332" s="1"/>
  <c r="L20" i="332"/>
  <c r="N20" i="332" s="1"/>
  <c r="P20" i="332" s="1"/>
  <c r="R20" i="332" s="1"/>
  <c r="H20" i="332"/>
  <c r="F20" i="332"/>
  <c r="P19" i="332"/>
  <c r="R19" i="332" s="1"/>
  <c r="N19" i="332"/>
  <c r="L19" i="332"/>
  <c r="F19" i="332"/>
  <c r="H19" i="332" s="1"/>
  <c r="L18" i="332"/>
  <c r="N18" i="332" s="1"/>
  <c r="P18" i="332" s="1"/>
  <c r="R18" i="332" s="1"/>
  <c r="H18" i="332"/>
  <c r="F18" i="332"/>
  <c r="P17" i="332"/>
  <c r="R17" i="332" s="1"/>
  <c r="N17" i="332"/>
  <c r="L17" i="332"/>
  <c r="F17" i="332"/>
  <c r="H17" i="332" s="1"/>
  <c r="L16" i="332"/>
  <c r="N16" i="332" s="1"/>
  <c r="P16" i="332" s="1"/>
  <c r="R16" i="332" s="1"/>
  <c r="H16" i="332"/>
  <c r="F16" i="332"/>
  <c r="P15" i="332"/>
  <c r="R15" i="332" s="1"/>
  <c r="N15" i="332"/>
  <c r="L15" i="332"/>
  <c r="F15" i="332"/>
  <c r="H15" i="332" s="1"/>
  <c r="L14" i="332"/>
  <c r="N14" i="332" s="1"/>
  <c r="P14" i="332" s="1"/>
  <c r="R14" i="332" s="1"/>
  <c r="H14" i="332"/>
  <c r="F14" i="332"/>
  <c r="P13" i="332"/>
  <c r="N13" i="332"/>
  <c r="L13" i="332"/>
  <c r="F13" i="332"/>
  <c r="H13" i="332" s="1"/>
  <c r="Q12" i="332"/>
  <c r="O12" i="332"/>
  <c r="M12" i="332"/>
  <c r="K12" i="332"/>
  <c r="J12" i="332"/>
  <c r="I12" i="332"/>
  <c r="G12" i="332"/>
  <c r="E12" i="332"/>
  <c r="D12" i="332"/>
  <c r="C12" i="332"/>
  <c r="B12" i="332"/>
  <c r="N11" i="332"/>
  <c r="P11" i="332" s="1"/>
  <c r="R11" i="332" s="1"/>
  <c r="L11" i="332"/>
  <c r="F11" i="332"/>
  <c r="H11" i="332" s="1"/>
  <c r="L10" i="332"/>
  <c r="N10" i="332" s="1"/>
  <c r="P10" i="332" s="1"/>
  <c r="R10" i="332" s="1"/>
  <c r="H10" i="332"/>
  <c r="F10" i="332"/>
  <c r="N9" i="332"/>
  <c r="P9" i="332" s="1"/>
  <c r="R9" i="332" s="1"/>
  <c r="L9" i="332"/>
  <c r="F9" i="332"/>
  <c r="H9" i="332" s="1"/>
  <c r="R8" i="332"/>
  <c r="L8" i="332"/>
  <c r="N8" i="332" s="1"/>
  <c r="P8" i="332" s="1"/>
  <c r="H8" i="332"/>
  <c r="F8" i="332"/>
  <c r="N7" i="332"/>
  <c r="P7" i="332" s="1"/>
  <c r="R7" i="332" s="1"/>
  <c r="L7" i="332"/>
  <c r="F7" i="332"/>
  <c r="H7" i="332" s="1"/>
  <c r="L6" i="332"/>
  <c r="L12" i="332" s="1"/>
  <c r="H6" i="332"/>
  <c r="F6" i="332"/>
  <c r="F12" i="332" s="1"/>
  <c r="Q5" i="332"/>
  <c r="O5" i="332"/>
  <c r="M5" i="332"/>
  <c r="L5" i="332"/>
  <c r="K5" i="332"/>
  <c r="J5" i="332"/>
  <c r="I5" i="332"/>
  <c r="G5" i="332"/>
  <c r="E5" i="332"/>
  <c r="D5" i="332"/>
  <c r="C5" i="332"/>
  <c r="B5" i="332"/>
  <c r="L4" i="332"/>
  <c r="N4" i="332" s="1"/>
  <c r="P4" i="332" s="1"/>
  <c r="R4" i="332" s="1"/>
  <c r="F4" i="332"/>
  <c r="H4" i="332" s="1"/>
  <c r="H5" i="332" s="1"/>
  <c r="L3" i="332"/>
  <c r="N3" i="332" s="1"/>
  <c r="F3" i="332"/>
  <c r="H3" i="332" s="1"/>
  <c r="P25" i="332" l="1"/>
  <c r="R13" i="332"/>
  <c r="R25" i="332" s="1"/>
  <c r="H25" i="332"/>
  <c r="O26" i="332"/>
  <c r="N27" i="332"/>
  <c r="L30" i="332"/>
  <c r="L41" i="332" s="1"/>
  <c r="L43" i="332" s="1"/>
  <c r="H40" i="332"/>
  <c r="I41" i="332"/>
  <c r="I43" i="332" s="1"/>
  <c r="O41" i="332"/>
  <c r="O43" i="332" s="1"/>
  <c r="H12" i="332"/>
  <c r="L25" i="332"/>
  <c r="L26" i="332" s="1"/>
  <c r="F25" i="332"/>
  <c r="K26" i="332"/>
  <c r="K41" i="332" s="1"/>
  <c r="K43" i="332" s="1"/>
  <c r="D41" i="332"/>
  <c r="D43" i="332" s="1"/>
  <c r="Q41" i="332"/>
  <c r="Q43" i="332" s="1"/>
  <c r="N25" i="332"/>
  <c r="N5" i="332"/>
  <c r="P3" i="332"/>
  <c r="C26" i="332"/>
  <c r="C41" i="332" s="1"/>
  <c r="C43" i="332" s="1"/>
  <c r="E41" i="332"/>
  <c r="E43" i="332" s="1"/>
  <c r="F5" i="332"/>
  <c r="N6" i="332"/>
  <c r="N32" i="332"/>
  <c r="H42" i="332"/>
  <c r="P42" i="332"/>
  <c r="N12" i="332" l="1"/>
  <c r="N26" i="332" s="1"/>
  <c r="P6" i="332"/>
  <c r="R42" i="332"/>
  <c r="R3" i="332"/>
  <c r="R5" i="332" s="1"/>
  <c r="P5" i="332"/>
  <c r="F26" i="332"/>
  <c r="F41" i="332" s="1"/>
  <c r="F43" i="332" s="1"/>
  <c r="P27" i="332"/>
  <c r="N30" i="332"/>
  <c r="N40" i="332"/>
  <c r="P32" i="332"/>
  <c r="H26" i="332"/>
  <c r="H41" i="332" s="1"/>
  <c r="H43" i="332" s="1"/>
  <c r="P40" i="332" l="1"/>
  <c r="P41" i="332" s="1"/>
  <c r="P43" i="332" s="1"/>
  <c r="R32" i="332"/>
  <c r="R40" i="332" s="1"/>
  <c r="P12" i="332"/>
  <c r="P26" i="332" s="1"/>
  <c r="R6" i="332"/>
  <c r="R12" i="332" s="1"/>
  <c r="R26" i="332" s="1"/>
  <c r="N41" i="332"/>
  <c r="N43" i="332" s="1"/>
  <c r="R27" i="332"/>
  <c r="R30" i="332" s="1"/>
  <c r="P30" i="332"/>
  <c r="R41" i="332" l="1"/>
  <c r="R43" i="332" s="1"/>
  <c r="K482" i="331" l="1"/>
  <c r="G482" i="331"/>
  <c r="C482" i="331"/>
  <c r="H476" i="331"/>
  <c r="H486" i="331" s="1"/>
  <c r="I469" i="331"/>
  <c r="I476" i="331" s="1"/>
  <c r="N465" i="331"/>
  <c r="N482" i="331" s="1"/>
  <c r="K465" i="331"/>
  <c r="J465" i="331"/>
  <c r="J482" i="331" s="1"/>
  <c r="I465" i="331"/>
  <c r="I482" i="331" s="1"/>
  <c r="G465" i="331"/>
  <c r="F465" i="331"/>
  <c r="F482" i="331" s="1"/>
  <c r="E465" i="331"/>
  <c r="E482" i="331" s="1"/>
  <c r="D465" i="331"/>
  <c r="D482" i="331" s="1"/>
  <c r="C465" i="331"/>
  <c r="N463" i="331"/>
  <c r="K463" i="331"/>
  <c r="J463" i="331"/>
  <c r="I463" i="331"/>
  <c r="G463" i="331"/>
  <c r="F463" i="331"/>
  <c r="D463" i="331"/>
  <c r="C463" i="331"/>
  <c r="N462" i="331"/>
  <c r="K462" i="331"/>
  <c r="J462" i="331"/>
  <c r="I462" i="331"/>
  <c r="G462" i="331"/>
  <c r="F462" i="331"/>
  <c r="E462" i="331"/>
  <c r="D462" i="331"/>
  <c r="C462" i="331"/>
  <c r="N461" i="331"/>
  <c r="K461" i="331"/>
  <c r="J461" i="331"/>
  <c r="I461" i="331"/>
  <c r="G461" i="331"/>
  <c r="F461" i="331"/>
  <c r="E461" i="331"/>
  <c r="D461" i="331"/>
  <c r="C461" i="331"/>
  <c r="N460" i="331"/>
  <c r="K460" i="331"/>
  <c r="J460" i="331"/>
  <c r="I460" i="331"/>
  <c r="G460" i="331"/>
  <c r="F460" i="331"/>
  <c r="E460" i="331"/>
  <c r="D460" i="331"/>
  <c r="C460" i="331"/>
  <c r="N459" i="331"/>
  <c r="K459" i="331"/>
  <c r="J459" i="331"/>
  <c r="I459" i="331"/>
  <c r="G459" i="331"/>
  <c r="F459" i="331"/>
  <c r="E459" i="331"/>
  <c r="D459" i="331"/>
  <c r="C459" i="331"/>
  <c r="N458" i="331"/>
  <c r="K458" i="331"/>
  <c r="J458" i="331"/>
  <c r="I458" i="331"/>
  <c r="G458" i="331"/>
  <c r="F458" i="331"/>
  <c r="E458" i="331"/>
  <c r="D458" i="331"/>
  <c r="D481" i="331" s="1"/>
  <c r="C458" i="331"/>
  <c r="N457" i="331"/>
  <c r="K457" i="331"/>
  <c r="J457" i="331"/>
  <c r="I457" i="331"/>
  <c r="G457" i="331"/>
  <c r="F457" i="331"/>
  <c r="E457" i="331"/>
  <c r="D457" i="331"/>
  <c r="C457" i="331"/>
  <c r="N456" i="331"/>
  <c r="K456" i="331"/>
  <c r="J456" i="331"/>
  <c r="J481" i="331" s="1"/>
  <c r="I456" i="331"/>
  <c r="G456" i="331"/>
  <c r="G481" i="331" s="1"/>
  <c r="F456" i="331"/>
  <c r="E456" i="331"/>
  <c r="D456" i="331"/>
  <c r="C456" i="331"/>
  <c r="C481" i="331" s="1"/>
  <c r="N454" i="331"/>
  <c r="K454" i="331"/>
  <c r="J454" i="331"/>
  <c r="I454" i="331"/>
  <c r="G454" i="331"/>
  <c r="F454" i="331"/>
  <c r="E454" i="331"/>
  <c r="D454" i="331"/>
  <c r="C454" i="331"/>
  <c r="N453" i="331"/>
  <c r="K453" i="331"/>
  <c r="J453" i="331"/>
  <c r="I453" i="331"/>
  <c r="G453" i="331"/>
  <c r="F453" i="331"/>
  <c r="D453" i="331"/>
  <c r="C453" i="331"/>
  <c r="N452" i="331"/>
  <c r="K452" i="331"/>
  <c r="J452" i="331"/>
  <c r="I452" i="331"/>
  <c r="G452" i="331"/>
  <c r="D452" i="331"/>
  <c r="C452" i="331"/>
  <c r="N451" i="331"/>
  <c r="K451" i="331"/>
  <c r="J451" i="331"/>
  <c r="I451" i="331"/>
  <c r="G451" i="331"/>
  <c r="F451" i="331"/>
  <c r="E451" i="331"/>
  <c r="D451" i="331"/>
  <c r="C451" i="331"/>
  <c r="N450" i="331"/>
  <c r="K450" i="331"/>
  <c r="J450" i="331"/>
  <c r="I450" i="331"/>
  <c r="G450" i="331"/>
  <c r="F450" i="331"/>
  <c r="E450" i="331"/>
  <c r="D450" i="331"/>
  <c r="C450" i="331"/>
  <c r="N449" i="331"/>
  <c r="K449" i="331"/>
  <c r="J449" i="331"/>
  <c r="I449" i="331"/>
  <c r="G449" i="331"/>
  <c r="F449" i="331"/>
  <c r="E449" i="331"/>
  <c r="D449" i="331"/>
  <c r="C449" i="331"/>
  <c r="N448" i="331"/>
  <c r="K448" i="331"/>
  <c r="J448" i="331"/>
  <c r="I448" i="331"/>
  <c r="G448" i="331"/>
  <c r="F448" i="331"/>
  <c r="E448" i="331"/>
  <c r="D448" i="331"/>
  <c r="C448" i="331"/>
  <c r="N447" i="331"/>
  <c r="N480" i="331" s="1"/>
  <c r="K447" i="331"/>
  <c r="J447" i="331"/>
  <c r="J480" i="331" s="1"/>
  <c r="J479" i="331" s="1"/>
  <c r="I447" i="331"/>
  <c r="G447" i="331"/>
  <c r="F447" i="331"/>
  <c r="E447" i="331"/>
  <c r="D447" i="331"/>
  <c r="D480" i="331" s="1"/>
  <c r="C447" i="331"/>
  <c r="N445" i="331"/>
  <c r="N466" i="331" s="1"/>
  <c r="K445" i="331"/>
  <c r="K466" i="331" s="1"/>
  <c r="J445" i="331"/>
  <c r="I445" i="331"/>
  <c r="G445" i="331"/>
  <c r="G466" i="331" s="1"/>
  <c r="F445" i="331"/>
  <c r="N443" i="331"/>
  <c r="N469" i="331" s="1"/>
  <c r="N476" i="331" s="1"/>
  <c r="K443" i="331"/>
  <c r="K469" i="331" s="1"/>
  <c r="K476" i="331" s="1"/>
  <c r="K486" i="331" s="1"/>
  <c r="J443" i="331"/>
  <c r="J469" i="331" s="1"/>
  <c r="J476" i="331" s="1"/>
  <c r="J486" i="331" s="1"/>
  <c r="I443" i="331"/>
  <c r="H443" i="331"/>
  <c r="H469" i="331" s="1"/>
  <c r="G443" i="331"/>
  <c r="G469" i="331" s="1"/>
  <c r="G476" i="331" s="1"/>
  <c r="G486" i="331" s="1"/>
  <c r="F443" i="331"/>
  <c r="F469" i="331" s="1"/>
  <c r="F476" i="331" s="1"/>
  <c r="F486" i="331" s="1"/>
  <c r="E443" i="331"/>
  <c r="E469" i="331" s="1"/>
  <c r="E476" i="331" s="1"/>
  <c r="E486" i="331" s="1"/>
  <c r="D443" i="331"/>
  <c r="D469" i="331" s="1"/>
  <c r="D476" i="331" s="1"/>
  <c r="C443" i="331"/>
  <c r="C469" i="331" s="1"/>
  <c r="C476" i="331" s="1"/>
  <c r="C486" i="331" s="1"/>
  <c r="N442" i="331"/>
  <c r="K442" i="331"/>
  <c r="J442" i="331"/>
  <c r="I442" i="331"/>
  <c r="G442" i="331"/>
  <c r="F442" i="331"/>
  <c r="E442" i="331"/>
  <c r="D442" i="331"/>
  <c r="C442" i="331"/>
  <c r="N441" i="331"/>
  <c r="K441" i="331"/>
  <c r="J441" i="331"/>
  <c r="I441" i="331"/>
  <c r="G441" i="331"/>
  <c r="F441" i="331"/>
  <c r="E441" i="331"/>
  <c r="D441" i="331"/>
  <c r="C441" i="331"/>
  <c r="N440" i="331"/>
  <c r="K440" i="331"/>
  <c r="J440" i="331"/>
  <c r="I440" i="331"/>
  <c r="H440" i="331"/>
  <c r="G440" i="331"/>
  <c r="F440" i="331"/>
  <c r="E440" i="331"/>
  <c r="D440" i="331"/>
  <c r="C440" i="331"/>
  <c r="L439" i="331"/>
  <c r="H439" i="331"/>
  <c r="H465" i="331" s="1"/>
  <c r="H482" i="331" s="1"/>
  <c r="L437" i="331"/>
  <c r="M437" i="331" s="1"/>
  <c r="O437" i="331" s="1"/>
  <c r="H437" i="331"/>
  <c r="L436" i="331"/>
  <c r="M436" i="331" s="1"/>
  <c r="O436" i="331" s="1"/>
  <c r="H436" i="331"/>
  <c r="M434" i="331"/>
  <c r="O434" i="331" s="1"/>
  <c r="L434" i="331"/>
  <c r="H434" i="331"/>
  <c r="L433" i="331"/>
  <c r="M433" i="331" s="1"/>
  <c r="O433" i="331" s="1"/>
  <c r="H433" i="331"/>
  <c r="L432" i="331"/>
  <c r="M432" i="331" s="1"/>
  <c r="O432" i="331" s="1"/>
  <c r="H432" i="331"/>
  <c r="L430" i="331"/>
  <c r="M430" i="331" s="1"/>
  <c r="H430" i="331"/>
  <c r="M429" i="331"/>
  <c r="L429" i="331"/>
  <c r="H429" i="331"/>
  <c r="H442" i="331" s="1"/>
  <c r="L428" i="331"/>
  <c r="H428" i="331"/>
  <c r="H441" i="331" s="1"/>
  <c r="L427" i="331"/>
  <c r="L440" i="331" s="1"/>
  <c r="H427" i="331"/>
  <c r="N423" i="331"/>
  <c r="L423" i="331"/>
  <c r="K423" i="331"/>
  <c r="J423" i="331"/>
  <c r="I423" i="331"/>
  <c r="G423" i="331"/>
  <c r="F423" i="331"/>
  <c r="E423" i="331"/>
  <c r="D423" i="331"/>
  <c r="C423" i="331"/>
  <c r="N422" i="331"/>
  <c r="L422" i="331"/>
  <c r="K422" i="331"/>
  <c r="J422" i="331"/>
  <c r="I422" i="331"/>
  <c r="H422" i="331"/>
  <c r="G422" i="331"/>
  <c r="F422" i="331"/>
  <c r="E422" i="331"/>
  <c r="D422" i="331"/>
  <c r="C422" i="331"/>
  <c r="N421" i="331"/>
  <c r="K421" i="331"/>
  <c r="J421" i="331"/>
  <c r="I421" i="331"/>
  <c r="G421" i="331"/>
  <c r="F421" i="331"/>
  <c r="F424" i="331" s="1"/>
  <c r="E421" i="331"/>
  <c r="D421" i="331"/>
  <c r="C421" i="331"/>
  <c r="O420" i="331"/>
  <c r="L420" i="331"/>
  <c r="H420" i="331"/>
  <c r="M420" i="331" s="1"/>
  <c r="O419" i="331"/>
  <c r="L419" i="331"/>
  <c r="H419" i="331"/>
  <c r="M419" i="331" s="1"/>
  <c r="L418" i="331"/>
  <c r="H418" i="331"/>
  <c r="M418" i="331" s="1"/>
  <c r="O418" i="331" s="1"/>
  <c r="L417" i="331"/>
  <c r="L459" i="331" s="1"/>
  <c r="H417" i="331"/>
  <c r="O416" i="331"/>
  <c r="L416" i="331"/>
  <c r="H416" i="331"/>
  <c r="M416" i="331" s="1"/>
  <c r="O414" i="331"/>
  <c r="L414" i="331"/>
  <c r="H414" i="331"/>
  <c r="M414" i="331" s="1"/>
  <c r="L412" i="331"/>
  <c r="H412" i="331"/>
  <c r="M412" i="331" s="1"/>
  <c r="L411" i="331"/>
  <c r="H411" i="331"/>
  <c r="M411" i="331" s="1"/>
  <c r="O411" i="331" s="1"/>
  <c r="O422" i="331" s="1"/>
  <c r="L410" i="331"/>
  <c r="L421" i="331" s="1"/>
  <c r="H410" i="331"/>
  <c r="N408" i="331"/>
  <c r="K408" i="331"/>
  <c r="J408" i="331"/>
  <c r="I408" i="331"/>
  <c r="H408" i="331"/>
  <c r="G408" i="331"/>
  <c r="F408" i="331"/>
  <c r="E408" i="331"/>
  <c r="D408" i="331"/>
  <c r="C408" i="331"/>
  <c r="N407" i="331"/>
  <c r="K407" i="331"/>
  <c r="J407" i="331"/>
  <c r="I407" i="331"/>
  <c r="H407" i="331"/>
  <c r="G407" i="331"/>
  <c r="F407" i="331"/>
  <c r="E407" i="331"/>
  <c r="D407" i="331"/>
  <c r="C407" i="331"/>
  <c r="L406" i="331"/>
  <c r="M406" i="331" s="1"/>
  <c r="O406" i="331" s="1"/>
  <c r="H406" i="331"/>
  <c r="L405" i="331"/>
  <c r="M405" i="331" s="1"/>
  <c r="O405" i="331" s="1"/>
  <c r="H405" i="331"/>
  <c r="M404" i="331"/>
  <c r="O404" i="331" s="1"/>
  <c r="L404" i="331"/>
  <c r="H404" i="331"/>
  <c r="M403" i="331"/>
  <c r="O403" i="331" s="1"/>
  <c r="L403" i="331"/>
  <c r="H403" i="331"/>
  <c r="L401" i="331"/>
  <c r="H401" i="331"/>
  <c r="L400" i="331"/>
  <c r="L407" i="331" s="1"/>
  <c r="H400" i="331"/>
  <c r="N398" i="331"/>
  <c r="L398" i="331"/>
  <c r="K398" i="331"/>
  <c r="J398" i="331"/>
  <c r="I398" i="331"/>
  <c r="G398" i="331"/>
  <c r="F398" i="331"/>
  <c r="E398" i="331"/>
  <c r="D398" i="331"/>
  <c r="C398" i="331"/>
  <c r="N397" i="331"/>
  <c r="K397" i="331"/>
  <c r="J397" i="331"/>
  <c r="I397" i="331"/>
  <c r="G397" i="331"/>
  <c r="F397" i="331"/>
  <c r="E397" i="331"/>
  <c r="D397" i="331"/>
  <c r="C397" i="331"/>
  <c r="L396" i="331"/>
  <c r="H396" i="331"/>
  <c r="M396" i="331" s="1"/>
  <c r="O396" i="331" s="1"/>
  <c r="L395" i="331"/>
  <c r="H395" i="331"/>
  <c r="M395" i="331" s="1"/>
  <c r="O395" i="331" s="1"/>
  <c r="O394" i="331"/>
  <c r="L394" i="331"/>
  <c r="H394" i="331"/>
  <c r="M394" i="331" s="1"/>
  <c r="O393" i="331"/>
  <c r="L393" i="331"/>
  <c r="H393" i="331"/>
  <c r="M393" i="331" s="1"/>
  <c r="L392" i="331"/>
  <c r="L456" i="331" s="1"/>
  <c r="H392" i="331"/>
  <c r="L390" i="331"/>
  <c r="H390" i="331"/>
  <c r="L389" i="331"/>
  <c r="L397" i="331" s="1"/>
  <c r="H389" i="331"/>
  <c r="N387" i="331"/>
  <c r="K387" i="331"/>
  <c r="J387" i="331"/>
  <c r="I387" i="331"/>
  <c r="H387" i="331"/>
  <c r="G387" i="331"/>
  <c r="F387" i="331"/>
  <c r="E387" i="331"/>
  <c r="D387" i="331"/>
  <c r="C387" i="331"/>
  <c r="N386" i="331"/>
  <c r="K386" i="331"/>
  <c r="J386" i="331"/>
  <c r="I386" i="331"/>
  <c r="H386" i="331"/>
  <c r="G386" i="331"/>
  <c r="F386" i="331"/>
  <c r="E386" i="331"/>
  <c r="D386" i="331"/>
  <c r="C386" i="331"/>
  <c r="L385" i="331"/>
  <c r="M385" i="331" s="1"/>
  <c r="O385" i="331" s="1"/>
  <c r="H385" i="331"/>
  <c r="L384" i="331"/>
  <c r="M384" i="331" s="1"/>
  <c r="O384" i="331" s="1"/>
  <c r="H384" i="331"/>
  <c r="M383" i="331"/>
  <c r="O383" i="331" s="1"/>
  <c r="L383" i="331"/>
  <c r="H383" i="331"/>
  <c r="M382" i="331"/>
  <c r="O382" i="331" s="1"/>
  <c r="L382" i="331"/>
  <c r="H382" i="331"/>
  <c r="L380" i="331"/>
  <c r="H380" i="331"/>
  <c r="L379" i="331"/>
  <c r="L386" i="331" s="1"/>
  <c r="H379" i="331"/>
  <c r="N377" i="331"/>
  <c r="L377" i="331"/>
  <c r="K377" i="331"/>
  <c r="J377" i="331"/>
  <c r="I377" i="331"/>
  <c r="G377" i="331"/>
  <c r="F377" i="331"/>
  <c r="E377" i="331"/>
  <c r="D377" i="331"/>
  <c r="C377" i="331"/>
  <c r="N376" i="331"/>
  <c r="K376" i="331"/>
  <c r="J376" i="331"/>
  <c r="I376" i="331"/>
  <c r="G376" i="331"/>
  <c r="F376" i="331"/>
  <c r="E376" i="331"/>
  <c r="D376" i="331"/>
  <c r="C376" i="331"/>
  <c r="L375" i="331"/>
  <c r="H375" i="331"/>
  <c r="M375" i="331" s="1"/>
  <c r="O375" i="331" s="1"/>
  <c r="L374" i="331"/>
  <c r="H374" i="331"/>
  <c r="M374" i="331" s="1"/>
  <c r="O374" i="331" s="1"/>
  <c r="O373" i="331"/>
  <c r="L373" i="331"/>
  <c r="H373" i="331"/>
  <c r="M373" i="331" s="1"/>
  <c r="O372" i="331"/>
  <c r="L372" i="331"/>
  <c r="H372" i="331"/>
  <c r="M372" i="331" s="1"/>
  <c r="L370" i="331"/>
  <c r="H370" i="331"/>
  <c r="L369" i="331"/>
  <c r="L376" i="331" s="1"/>
  <c r="H369" i="331"/>
  <c r="N367" i="331"/>
  <c r="K367" i="331"/>
  <c r="J367" i="331"/>
  <c r="I367" i="331"/>
  <c r="G367" i="331"/>
  <c r="F367" i="331"/>
  <c r="D367" i="331"/>
  <c r="C367" i="331"/>
  <c r="N366" i="331"/>
  <c r="K366" i="331"/>
  <c r="J366" i="331"/>
  <c r="I366" i="331"/>
  <c r="G366" i="331"/>
  <c r="F366" i="331"/>
  <c r="E366" i="331"/>
  <c r="D366" i="331"/>
  <c r="C366" i="331"/>
  <c r="N365" i="331"/>
  <c r="N424" i="331" s="1"/>
  <c r="K365" i="331"/>
  <c r="J365" i="331"/>
  <c r="J424" i="331" s="1"/>
  <c r="I365" i="331"/>
  <c r="G365" i="331"/>
  <c r="F365" i="331"/>
  <c r="D365" i="331"/>
  <c r="C365" i="331"/>
  <c r="L364" i="331"/>
  <c r="E364" i="331"/>
  <c r="L363" i="331"/>
  <c r="H363" i="331"/>
  <c r="L362" i="331"/>
  <c r="L460" i="331" s="1"/>
  <c r="H362" i="331"/>
  <c r="L361" i="331"/>
  <c r="H361" i="331"/>
  <c r="L360" i="331"/>
  <c r="H360" i="331"/>
  <c r="M360" i="331" s="1"/>
  <c r="O360" i="331" s="1"/>
  <c r="E360" i="331"/>
  <c r="E365" i="331" s="1"/>
  <c r="M359" i="331"/>
  <c r="O359" i="331" s="1"/>
  <c r="L359" i="331"/>
  <c r="H359" i="331"/>
  <c r="M358" i="331"/>
  <c r="O358" i="331" s="1"/>
  <c r="L358" i="331"/>
  <c r="L366" i="331" s="1"/>
  <c r="H358" i="331"/>
  <c r="L357" i="331"/>
  <c r="M357" i="331" s="1"/>
  <c r="O357" i="331" s="1"/>
  <c r="H357" i="331"/>
  <c r="L356" i="331"/>
  <c r="L367" i="331" s="1"/>
  <c r="H356" i="331"/>
  <c r="M355" i="331"/>
  <c r="O355" i="331" s="1"/>
  <c r="L355" i="331"/>
  <c r="H355" i="331"/>
  <c r="M354" i="331"/>
  <c r="L354" i="331"/>
  <c r="H354" i="331"/>
  <c r="N352" i="331"/>
  <c r="K352" i="331"/>
  <c r="J352" i="331"/>
  <c r="I352" i="331"/>
  <c r="G352" i="331"/>
  <c r="F352" i="331"/>
  <c r="E352" i="331"/>
  <c r="D352" i="331"/>
  <c r="C352" i="331"/>
  <c r="N351" i="331"/>
  <c r="K351" i="331"/>
  <c r="J351" i="331"/>
  <c r="I351" i="331"/>
  <c r="G351" i="331"/>
  <c r="F351" i="331"/>
  <c r="E351" i="331"/>
  <c r="D351" i="331"/>
  <c r="C351" i="331"/>
  <c r="N350" i="331"/>
  <c r="K350" i="331"/>
  <c r="J350" i="331"/>
  <c r="I350" i="331"/>
  <c r="H350" i="331"/>
  <c r="G350" i="331"/>
  <c r="F350" i="331"/>
  <c r="E350" i="331"/>
  <c r="D350" i="331"/>
  <c r="C350" i="331"/>
  <c r="M349" i="331"/>
  <c r="L349" i="331"/>
  <c r="H349" i="331"/>
  <c r="L348" i="331"/>
  <c r="M348" i="331" s="1"/>
  <c r="O348" i="331" s="1"/>
  <c r="H348" i="331"/>
  <c r="L347" i="331"/>
  <c r="L350" i="331" s="1"/>
  <c r="H347" i="331"/>
  <c r="H352" i="331" s="1"/>
  <c r="M345" i="331"/>
  <c r="O345" i="331" s="1"/>
  <c r="L345" i="331"/>
  <c r="H345" i="331"/>
  <c r="E345" i="331"/>
  <c r="O344" i="331"/>
  <c r="M344" i="331"/>
  <c r="L344" i="331"/>
  <c r="H344" i="331"/>
  <c r="O343" i="331"/>
  <c r="M343" i="331"/>
  <c r="L343" i="331"/>
  <c r="H343" i="331"/>
  <c r="O342" i="331"/>
  <c r="O450" i="331" s="1"/>
  <c r="M342" i="331"/>
  <c r="M450" i="331" s="1"/>
  <c r="L342" i="331"/>
  <c r="H342" i="331"/>
  <c r="O341" i="331"/>
  <c r="M341" i="331"/>
  <c r="L341" i="331"/>
  <c r="H341" i="331"/>
  <c r="O339" i="331"/>
  <c r="M339" i="331"/>
  <c r="L339" i="331"/>
  <c r="H339" i="331"/>
  <c r="O338" i="331"/>
  <c r="O351" i="331" s="1"/>
  <c r="M338" i="331"/>
  <c r="L338" i="331"/>
  <c r="L351" i="331" s="1"/>
  <c r="H338" i="331"/>
  <c r="H351" i="331" s="1"/>
  <c r="O337" i="331"/>
  <c r="M337" i="331"/>
  <c r="L337" i="331"/>
  <c r="H337" i="331"/>
  <c r="N335" i="331"/>
  <c r="K335" i="331"/>
  <c r="J335" i="331"/>
  <c r="I335" i="331"/>
  <c r="G335" i="331"/>
  <c r="F335" i="331"/>
  <c r="E335" i="331"/>
  <c r="D335" i="331"/>
  <c r="C335" i="331"/>
  <c r="N334" i="331"/>
  <c r="K334" i="331"/>
  <c r="J334" i="331"/>
  <c r="I334" i="331"/>
  <c r="G334" i="331"/>
  <c r="G424" i="331" s="1"/>
  <c r="F334" i="331"/>
  <c r="E334" i="331"/>
  <c r="D334" i="331"/>
  <c r="D424" i="331" s="1"/>
  <c r="C334" i="331"/>
  <c r="C424" i="331" s="1"/>
  <c r="L333" i="331"/>
  <c r="L462" i="331" s="1"/>
  <c r="H333" i="331"/>
  <c r="L332" i="331"/>
  <c r="H332" i="331"/>
  <c r="L331" i="331"/>
  <c r="L457" i="331" s="1"/>
  <c r="H331" i="331"/>
  <c r="L329" i="331"/>
  <c r="H329" i="331"/>
  <c r="L328" i="331"/>
  <c r="L334" i="331" s="1"/>
  <c r="H328" i="331"/>
  <c r="N326" i="331"/>
  <c r="K326" i="331"/>
  <c r="J326" i="331"/>
  <c r="I326" i="331"/>
  <c r="H326" i="331"/>
  <c r="G326" i="331"/>
  <c r="F326" i="331"/>
  <c r="E326" i="331"/>
  <c r="D326" i="331"/>
  <c r="C326" i="331"/>
  <c r="N325" i="331"/>
  <c r="K325" i="331"/>
  <c r="J325" i="331"/>
  <c r="I325" i="331"/>
  <c r="G325" i="331"/>
  <c r="F325" i="331"/>
  <c r="E325" i="331"/>
  <c r="D325" i="331"/>
  <c r="C325" i="331"/>
  <c r="N324" i="331"/>
  <c r="K324" i="331"/>
  <c r="J324" i="331"/>
  <c r="I324" i="331"/>
  <c r="G324" i="331"/>
  <c r="F324" i="331"/>
  <c r="E324" i="331"/>
  <c r="D324" i="331"/>
  <c r="C324" i="331"/>
  <c r="L323" i="331"/>
  <c r="H323" i="331"/>
  <c r="L321" i="331"/>
  <c r="H321" i="331"/>
  <c r="M321" i="331" s="1"/>
  <c r="O321" i="331" s="1"/>
  <c r="L320" i="331"/>
  <c r="H320" i="331"/>
  <c r="M320" i="331" s="1"/>
  <c r="O320" i="331" s="1"/>
  <c r="L319" i="331"/>
  <c r="H319" i="331"/>
  <c r="L317" i="331"/>
  <c r="H317" i="331"/>
  <c r="L316" i="331"/>
  <c r="L325" i="331" s="1"/>
  <c r="H316" i="331"/>
  <c r="L315" i="331"/>
  <c r="H315" i="331"/>
  <c r="M315" i="331" s="1"/>
  <c r="I313" i="331"/>
  <c r="N312" i="331"/>
  <c r="L312" i="331"/>
  <c r="K312" i="331"/>
  <c r="J312" i="331"/>
  <c r="I312" i="331"/>
  <c r="G312" i="331"/>
  <c r="F312" i="331"/>
  <c r="E312" i="331"/>
  <c r="D312" i="331"/>
  <c r="C312" i="331"/>
  <c r="N311" i="331"/>
  <c r="K311" i="331"/>
  <c r="J311" i="331"/>
  <c r="I311" i="331"/>
  <c r="G311" i="331"/>
  <c r="D311" i="331"/>
  <c r="C311" i="331"/>
  <c r="N310" i="331"/>
  <c r="K310" i="331"/>
  <c r="J310" i="331"/>
  <c r="I310" i="331"/>
  <c r="G310" i="331"/>
  <c r="E310" i="331"/>
  <c r="D310" i="331"/>
  <c r="D313" i="331" s="1"/>
  <c r="C310" i="331"/>
  <c r="L309" i="331"/>
  <c r="H309" i="331"/>
  <c r="M309" i="331" s="1"/>
  <c r="O309" i="331" s="1"/>
  <c r="L307" i="331"/>
  <c r="H307" i="331"/>
  <c r="M307" i="331" s="1"/>
  <c r="O307" i="331" s="1"/>
  <c r="E307" i="331"/>
  <c r="L306" i="331"/>
  <c r="F306" i="331"/>
  <c r="E306" i="331"/>
  <c r="E311" i="331" s="1"/>
  <c r="L305" i="331"/>
  <c r="H305" i="331"/>
  <c r="M305" i="331" s="1"/>
  <c r="O305" i="331" s="1"/>
  <c r="L304" i="331"/>
  <c r="H304" i="331"/>
  <c r="M304" i="331" s="1"/>
  <c r="O304" i="331" s="1"/>
  <c r="L302" i="331"/>
  <c r="H302" i="331"/>
  <c r="L301" i="331"/>
  <c r="L311" i="331" s="1"/>
  <c r="H301" i="331"/>
  <c r="L300" i="331"/>
  <c r="L310" i="331" s="1"/>
  <c r="H300" i="331"/>
  <c r="N298" i="331"/>
  <c r="L298" i="331"/>
  <c r="K298" i="331"/>
  <c r="J298" i="331"/>
  <c r="I298" i="331"/>
  <c r="H298" i="331"/>
  <c r="G298" i="331"/>
  <c r="F298" i="331"/>
  <c r="E298" i="331"/>
  <c r="D298" i="331"/>
  <c r="C298" i="331"/>
  <c r="N297" i="331"/>
  <c r="L297" i="331"/>
  <c r="K297" i="331"/>
  <c r="J297" i="331"/>
  <c r="I297" i="331"/>
  <c r="H297" i="331"/>
  <c r="G297" i="331"/>
  <c r="F297" i="331"/>
  <c r="E297" i="331"/>
  <c r="D297" i="331"/>
  <c r="C297" i="331"/>
  <c r="N296" i="331"/>
  <c r="K296" i="331"/>
  <c r="J296" i="331"/>
  <c r="I296" i="331"/>
  <c r="H296" i="331"/>
  <c r="G296" i="331"/>
  <c r="F296" i="331"/>
  <c r="E296" i="331"/>
  <c r="D296" i="331"/>
  <c r="C296" i="331"/>
  <c r="M295" i="331"/>
  <c r="O295" i="331" s="1"/>
  <c r="L295" i="331"/>
  <c r="H295" i="331"/>
  <c r="M293" i="331"/>
  <c r="O293" i="331" s="1"/>
  <c r="L293" i="331"/>
  <c r="H293" i="331"/>
  <c r="M292" i="331"/>
  <c r="O292" i="331" s="1"/>
  <c r="L292" i="331"/>
  <c r="H292" i="331"/>
  <c r="M291" i="331"/>
  <c r="O291" i="331" s="1"/>
  <c r="L291" i="331"/>
  <c r="H291" i="331"/>
  <c r="M290" i="331"/>
  <c r="O290" i="331" s="1"/>
  <c r="L290" i="331"/>
  <c r="H290" i="331"/>
  <c r="M288" i="331"/>
  <c r="L288" i="331"/>
  <c r="H288" i="331"/>
  <c r="M287" i="331"/>
  <c r="L287" i="331"/>
  <c r="H287" i="331"/>
  <c r="M286" i="331"/>
  <c r="L286" i="331"/>
  <c r="L296" i="331" s="1"/>
  <c r="H286" i="331"/>
  <c r="N284" i="331"/>
  <c r="K284" i="331"/>
  <c r="J284" i="331"/>
  <c r="I284" i="331"/>
  <c r="G284" i="331"/>
  <c r="F284" i="331"/>
  <c r="E284" i="331"/>
  <c r="D284" i="331"/>
  <c r="C284" i="331"/>
  <c r="N283" i="331"/>
  <c r="L283" i="331"/>
  <c r="K283" i="331"/>
  <c r="J283" i="331"/>
  <c r="I283" i="331"/>
  <c r="H283" i="331"/>
  <c r="G283" i="331"/>
  <c r="F283" i="331"/>
  <c r="E283" i="331"/>
  <c r="D283" i="331"/>
  <c r="C283" i="331"/>
  <c r="N282" i="331"/>
  <c r="K282" i="331"/>
  <c r="K313" i="331" s="1"/>
  <c r="J282" i="331"/>
  <c r="J313" i="331" s="1"/>
  <c r="I282" i="331"/>
  <c r="G282" i="331"/>
  <c r="G313" i="331" s="1"/>
  <c r="F282" i="331"/>
  <c r="E282" i="331"/>
  <c r="E313" i="331" s="1"/>
  <c r="D282" i="331"/>
  <c r="C282" i="331"/>
  <c r="C313" i="331" s="1"/>
  <c r="M281" i="331"/>
  <c r="O281" i="331" s="1"/>
  <c r="L281" i="331"/>
  <c r="H281" i="331"/>
  <c r="M279" i="331"/>
  <c r="O279" i="331" s="1"/>
  <c r="L279" i="331"/>
  <c r="H279" i="331"/>
  <c r="M278" i="331"/>
  <c r="L278" i="331"/>
  <c r="H278" i="331"/>
  <c r="M277" i="331"/>
  <c r="L277" i="331"/>
  <c r="L449" i="331" s="1"/>
  <c r="H277" i="331"/>
  <c r="H449" i="331" s="1"/>
  <c r="M276" i="331"/>
  <c r="O276" i="331" s="1"/>
  <c r="L276" i="331"/>
  <c r="H276" i="331"/>
  <c r="M275" i="331"/>
  <c r="O275" i="331" s="1"/>
  <c r="L275" i="331"/>
  <c r="H275" i="331"/>
  <c r="M273" i="331"/>
  <c r="L273" i="331"/>
  <c r="L284" i="331" s="1"/>
  <c r="H273" i="331"/>
  <c r="H284" i="331" s="1"/>
  <c r="M272" i="331"/>
  <c r="L272" i="331"/>
  <c r="H272" i="331"/>
  <c r="M271" i="331"/>
  <c r="O271" i="331" s="1"/>
  <c r="L271" i="331"/>
  <c r="L282" i="331" s="1"/>
  <c r="L313" i="331" s="1"/>
  <c r="H271" i="331"/>
  <c r="H282" i="331" s="1"/>
  <c r="N267" i="331"/>
  <c r="L267" i="331"/>
  <c r="K267" i="331"/>
  <c r="J267" i="331"/>
  <c r="I267" i="331"/>
  <c r="G267" i="331"/>
  <c r="F267" i="331"/>
  <c r="E267" i="331"/>
  <c r="D267" i="331"/>
  <c r="C267" i="331"/>
  <c r="N266" i="331"/>
  <c r="K266" i="331"/>
  <c r="J266" i="331"/>
  <c r="I266" i="331"/>
  <c r="G266" i="331"/>
  <c r="F266" i="331"/>
  <c r="E266" i="331"/>
  <c r="D266" i="331"/>
  <c r="C266" i="331"/>
  <c r="N265" i="331"/>
  <c r="K265" i="331"/>
  <c r="J265" i="331"/>
  <c r="I265" i="331"/>
  <c r="G265" i="331"/>
  <c r="F265" i="331"/>
  <c r="E265" i="331"/>
  <c r="D265" i="331"/>
  <c r="C265" i="331"/>
  <c r="L264" i="331"/>
  <c r="H264" i="331"/>
  <c r="M264" i="331" s="1"/>
  <c r="O264" i="331" s="1"/>
  <c r="L262" i="331"/>
  <c r="H262" i="331"/>
  <c r="M262" i="331" s="1"/>
  <c r="O262" i="331" s="1"/>
  <c r="L261" i="331"/>
  <c r="H261" i="331"/>
  <c r="M261" i="331" s="1"/>
  <c r="O261" i="331" s="1"/>
  <c r="L259" i="331"/>
  <c r="H259" i="331"/>
  <c r="M259" i="331" s="1"/>
  <c r="L258" i="331"/>
  <c r="L266" i="331" s="1"/>
  <c r="H258" i="331"/>
  <c r="L257" i="331"/>
  <c r="L265" i="331" s="1"/>
  <c r="H257" i="331"/>
  <c r="N255" i="331"/>
  <c r="K255" i="331"/>
  <c r="J255" i="331"/>
  <c r="I255" i="331"/>
  <c r="G255" i="331"/>
  <c r="F255" i="331"/>
  <c r="E255" i="331"/>
  <c r="D255" i="331"/>
  <c r="C255" i="331"/>
  <c r="N254" i="331"/>
  <c r="K254" i="331"/>
  <c r="J254" i="331"/>
  <c r="I254" i="331"/>
  <c r="G254" i="331"/>
  <c r="F254" i="331"/>
  <c r="E254" i="331"/>
  <c r="D254" i="331"/>
  <c r="C254" i="331"/>
  <c r="N253" i="331"/>
  <c r="K253" i="331"/>
  <c r="J253" i="331"/>
  <c r="I253" i="331"/>
  <c r="G253" i="331"/>
  <c r="F253" i="331"/>
  <c r="D253" i="331"/>
  <c r="C253" i="331"/>
  <c r="L252" i="331"/>
  <c r="H252" i="331"/>
  <c r="M252" i="331" s="1"/>
  <c r="O252" i="331" s="1"/>
  <c r="L251" i="331"/>
  <c r="H251" i="331"/>
  <c r="M251" i="331" s="1"/>
  <c r="O251" i="331" s="1"/>
  <c r="L249" i="331"/>
  <c r="H249" i="331"/>
  <c r="E249" i="331"/>
  <c r="E253" i="331" s="1"/>
  <c r="L248" i="331"/>
  <c r="M248" i="331" s="1"/>
  <c r="O248" i="331" s="1"/>
  <c r="H248" i="331"/>
  <c r="L246" i="331"/>
  <c r="M246" i="331" s="1"/>
  <c r="H246" i="331"/>
  <c r="L245" i="331"/>
  <c r="H245" i="331"/>
  <c r="L244" i="331"/>
  <c r="H244" i="331"/>
  <c r="N242" i="331"/>
  <c r="K242" i="331"/>
  <c r="J242" i="331"/>
  <c r="I242" i="331"/>
  <c r="G242" i="331"/>
  <c r="F242" i="331"/>
  <c r="E242" i="331"/>
  <c r="D242" i="331"/>
  <c r="C242" i="331"/>
  <c r="N241" i="331"/>
  <c r="K241" i="331"/>
  <c r="J241" i="331"/>
  <c r="I241" i="331"/>
  <c r="G241" i="331"/>
  <c r="F241" i="331"/>
  <c r="E241" i="331"/>
  <c r="D241" i="331"/>
  <c r="C241" i="331"/>
  <c r="N240" i="331"/>
  <c r="K240" i="331"/>
  <c r="J240" i="331"/>
  <c r="I240" i="331"/>
  <c r="H240" i="331"/>
  <c r="G240" i="331"/>
  <c r="F240" i="331"/>
  <c r="E240" i="331"/>
  <c r="D240" i="331"/>
  <c r="C240" i="331"/>
  <c r="L239" i="331"/>
  <c r="M239" i="331" s="1"/>
  <c r="O239" i="331" s="1"/>
  <c r="H239" i="331"/>
  <c r="L237" i="331"/>
  <c r="M237" i="331" s="1"/>
  <c r="O237" i="331" s="1"/>
  <c r="H237" i="331"/>
  <c r="M235" i="331"/>
  <c r="O235" i="331" s="1"/>
  <c r="O242" i="331" s="1"/>
  <c r="L235" i="331"/>
  <c r="H235" i="331"/>
  <c r="H242" i="331" s="1"/>
  <c r="M234" i="331"/>
  <c r="L234" i="331"/>
  <c r="L241" i="331" s="1"/>
  <c r="H234" i="331"/>
  <c r="H241" i="331" s="1"/>
  <c r="L233" i="331"/>
  <c r="L240" i="331" s="1"/>
  <c r="H233" i="331"/>
  <c r="N231" i="331"/>
  <c r="K231" i="331"/>
  <c r="J231" i="331"/>
  <c r="I231" i="331"/>
  <c r="G231" i="331"/>
  <c r="F231" i="331"/>
  <c r="E231" i="331"/>
  <c r="D231" i="331"/>
  <c r="C231" i="331"/>
  <c r="N230" i="331"/>
  <c r="K230" i="331"/>
  <c r="J230" i="331"/>
  <c r="I230" i="331"/>
  <c r="G230" i="331"/>
  <c r="F230" i="331"/>
  <c r="E230" i="331"/>
  <c r="D230" i="331"/>
  <c r="C230" i="331"/>
  <c r="N229" i="331"/>
  <c r="K229" i="331"/>
  <c r="J229" i="331"/>
  <c r="I229" i="331"/>
  <c r="H229" i="331"/>
  <c r="G229" i="331"/>
  <c r="F229" i="331"/>
  <c r="E229" i="331"/>
  <c r="D229" i="331"/>
  <c r="C229" i="331"/>
  <c r="L228" i="331"/>
  <c r="M228" i="331" s="1"/>
  <c r="O228" i="331" s="1"/>
  <c r="H228" i="331"/>
  <c r="L226" i="331"/>
  <c r="M226" i="331" s="1"/>
  <c r="O226" i="331" s="1"/>
  <c r="H226" i="331"/>
  <c r="M224" i="331"/>
  <c r="O224" i="331" s="1"/>
  <c r="L224" i="331"/>
  <c r="H224" i="331"/>
  <c r="H231" i="331" s="1"/>
  <c r="M223" i="331"/>
  <c r="L223" i="331"/>
  <c r="L230" i="331" s="1"/>
  <c r="H223" i="331"/>
  <c r="H230" i="331" s="1"/>
  <c r="L222" i="331"/>
  <c r="L229" i="331" s="1"/>
  <c r="H222" i="331"/>
  <c r="N220" i="331"/>
  <c r="K220" i="331"/>
  <c r="J220" i="331"/>
  <c r="I220" i="331"/>
  <c r="G220" i="331"/>
  <c r="F220" i="331"/>
  <c r="E220" i="331"/>
  <c r="D220" i="331"/>
  <c r="C220" i="331"/>
  <c r="N219" i="331"/>
  <c r="K219" i="331"/>
  <c r="J219" i="331"/>
  <c r="I219" i="331"/>
  <c r="G219" i="331"/>
  <c r="F219" i="331"/>
  <c r="E219" i="331"/>
  <c r="D219" i="331"/>
  <c r="C219" i="331"/>
  <c r="N218" i="331"/>
  <c r="K218" i="331"/>
  <c r="J218" i="331"/>
  <c r="I218" i="331"/>
  <c r="H218" i="331"/>
  <c r="G218" i="331"/>
  <c r="F218" i="331"/>
  <c r="E218" i="331"/>
  <c r="D218" i="331"/>
  <c r="C218" i="331"/>
  <c r="M217" i="331"/>
  <c r="O217" i="331" s="1"/>
  <c r="L217" i="331"/>
  <c r="H217" i="331"/>
  <c r="M215" i="331"/>
  <c r="O215" i="331" s="1"/>
  <c r="L215" i="331"/>
  <c r="H215" i="331"/>
  <c r="M214" i="331"/>
  <c r="O214" i="331" s="1"/>
  <c r="L214" i="331"/>
  <c r="H214" i="331"/>
  <c r="M213" i="331"/>
  <c r="O213" i="331" s="1"/>
  <c r="L213" i="331"/>
  <c r="H213" i="331"/>
  <c r="M211" i="331"/>
  <c r="L211" i="331"/>
  <c r="L220" i="331" s="1"/>
  <c r="H211" i="331"/>
  <c r="H220" i="331" s="1"/>
  <c r="M210" i="331"/>
  <c r="L210" i="331"/>
  <c r="L219" i="331" s="1"/>
  <c r="H210" i="331"/>
  <c r="H219" i="331" s="1"/>
  <c r="M209" i="331"/>
  <c r="O209" i="331" s="1"/>
  <c r="L209" i="331"/>
  <c r="L218" i="331" s="1"/>
  <c r="H209" i="331"/>
  <c r="N207" i="331"/>
  <c r="K207" i="331"/>
  <c r="J207" i="331"/>
  <c r="I207" i="331"/>
  <c r="G207" i="331"/>
  <c r="F207" i="331"/>
  <c r="E207" i="331"/>
  <c r="D207" i="331"/>
  <c r="C207" i="331"/>
  <c r="N206" i="331"/>
  <c r="K206" i="331"/>
  <c r="J206" i="331"/>
  <c r="I206" i="331"/>
  <c r="H206" i="331"/>
  <c r="G206" i="331"/>
  <c r="F206" i="331"/>
  <c r="E206" i="331"/>
  <c r="D206" i="331"/>
  <c r="C206" i="331"/>
  <c r="N205" i="331"/>
  <c r="K205" i="331"/>
  <c r="J205" i="331"/>
  <c r="I205" i="331"/>
  <c r="H205" i="331"/>
  <c r="G205" i="331"/>
  <c r="F205" i="331"/>
  <c r="E205" i="331"/>
  <c r="D205" i="331"/>
  <c r="C205" i="331"/>
  <c r="M204" i="331"/>
  <c r="O204" i="331" s="1"/>
  <c r="L204" i="331"/>
  <c r="H204" i="331"/>
  <c r="M202" i="331"/>
  <c r="O202" i="331" s="1"/>
  <c r="L202" i="331"/>
  <c r="H202" i="331"/>
  <c r="M201" i="331"/>
  <c r="O201" i="331" s="1"/>
  <c r="L201" i="331"/>
  <c r="H201" i="331"/>
  <c r="M200" i="331"/>
  <c r="O200" i="331" s="1"/>
  <c r="L200" i="331"/>
  <c r="H200" i="331"/>
  <c r="M198" i="331"/>
  <c r="L198" i="331"/>
  <c r="L207" i="331" s="1"/>
  <c r="H198" i="331"/>
  <c r="H207" i="331" s="1"/>
  <c r="M197" i="331"/>
  <c r="L197" i="331"/>
  <c r="L206" i="331" s="1"/>
  <c r="H197" i="331"/>
  <c r="M196" i="331"/>
  <c r="O196" i="331" s="1"/>
  <c r="L196" i="331"/>
  <c r="L205" i="331" s="1"/>
  <c r="H196" i="331"/>
  <c r="N194" i="331"/>
  <c r="K194" i="331"/>
  <c r="J194" i="331"/>
  <c r="I194" i="331"/>
  <c r="G194" i="331"/>
  <c r="F194" i="331"/>
  <c r="E194" i="331"/>
  <c r="D194" i="331"/>
  <c r="C194" i="331"/>
  <c r="N193" i="331"/>
  <c r="K193" i="331"/>
  <c r="J193" i="331"/>
  <c r="I193" i="331"/>
  <c r="H193" i="331"/>
  <c r="G193" i="331"/>
  <c r="F193" i="331"/>
  <c r="E193" i="331"/>
  <c r="D193" i="331"/>
  <c r="C193" i="331"/>
  <c r="N192" i="331"/>
  <c r="K192" i="331"/>
  <c r="J192" i="331"/>
  <c r="I192" i="331"/>
  <c r="H192" i="331"/>
  <c r="G192" i="331"/>
  <c r="F192" i="331"/>
  <c r="E192" i="331"/>
  <c r="D192" i="331"/>
  <c r="C192" i="331"/>
  <c r="M191" i="331"/>
  <c r="O191" i="331" s="1"/>
  <c r="L191" i="331"/>
  <c r="H191" i="331"/>
  <c r="M189" i="331"/>
  <c r="O189" i="331" s="1"/>
  <c r="L189" i="331"/>
  <c r="H189" i="331"/>
  <c r="M188" i="331"/>
  <c r="O188" i="331" s="1"/>
  <c r="L188" i="331"/>
  <c r="H188" i="331"/>
  <c r="M186" i="331"/>
  <c r="L186" i="331"/>
  <c r="L194" i="331" s="1"/>
  <c r="H186" i="331"/>
  <c r="H194" i="331" s="1"/>
  <c r="M185" i="331"/>
  <c r="L185" i="331"/>
  <c r="L193" i="331" s="1"/>
  <c r="H185" i="331"/>
  <c r="M184" i="331"/>
  <c r="O184" i="331" s="1"/>
  <c r="L184" i="331"/>
  <c r="L192" i="331" s="1"/>
  <c r="H184" i="331"/>
  <c r="N182" i="331"/>
  <c r="K182" i="331"/>
  <c r="J182" i="331"/>
  <c r="I182" i="331"/>
  <c r="G182" i="331"/>
  <c r="F182" i="331"/>
  <c r="E182" i="331"/>
  <c r="D182" i="331"/>
  <c r="C182" i="331"/>
  <c r="N181" i="331"/>
  <c r="K181" i="331"/>
  <c r="J181" i="331"/>
  <c r="I181" i="331"/>
  <c r="H181" i="331"/>
  <c r="G181" i="331"/>
  <c r="F181" i="331"/>
  <c r="E181" i="331"/>
  <c r="D181" i="331"/>
  <c r="C181" i="331"/>
  <c r="N180" i="331"/>
  <c r="K180" i="331"/>
  <c r="J180" i="331"/>
  <c r="I180" i="331"/>
  <c r="H180" i="331"/>
  <c r="G180" i="331"/>
  <c r="F180" i="331"/>
  <c r="E180" i="331"/>
  <c r="D180" i="331"/>
  <c r="C180" i="331"/>
  <c r="M179" i="331"/>
  <c r="O179" i="331" s="1"/>
  <c r="L179" i="331"/>
  <c r="H179" i="331"/>
  <c r="M178" i="331"/>
  <c r="O178" i="331" s="1"/>
  <c r="L178" i="331"/>
  <c r="H178" i="331"/>
  <c r="M176" i="331"/>
  <c r="O176" i="331" s="1"/>
  <c r="L176" i="331"/>
  <c r="H176" i="331"/>
  <c r="M175" i="331"/>
  <c r="O175" i="331" s="1"/>
  <c r="L175" i="331"/>
  <c r="H175" i="331"/>
  <c r="M173" i="331"/>
  <c r="L173" i="331"/>
  <c r="L182" i="331" s="1"/>
  <c r="H173" i="331"/>
  <c r="H182" i="331" s="1"/>
  <c r="M172" i="331"/>
  <c r="L172" i="331"/>
  <c r="L181" i="331" s="1"/>
  <c r="H172" i="331"/>
  <c r="M171" i="331"/>
  <c r="O171" i="331" s="1"/>
  <c r="L171" i="331"/>
  <c r="L180" i="331" s="1"/>
  <c r="H171" i="331"/>
  <c r="N169" i="331"/>
  <c r="K169" i="331"/>
  <c r="J169" i="331"/>
  <c r="I169" i="331"/>
  <c r="G169" i="331"/>
  <c r="F169" i="331"/>
  <c r="E169" i="331"/>
  <c r="D169" i="331"/>
  <c r="C169" i="331"/>
  <c r="N168" i="331"/>
  <c r="K168" i="331"/>
  <c r="J168" i="331"/>
  <c r="I168" i="331"/>
  <c r="G168" i="331"/>
  <c r="F168" i="331"/>
  <c r="D168" i="331"/>
  <c r="C168" i="331"/>
  <c r="N167" i="331"/>
  <c r="K167" i="331"/>
  <c r="J167" i="331"/>
  <c r="I167" i="331"/>
  <c r="G167" i="331"/>
  <c r="F167" i="331"/>
  <c r="E167" i="331"/>
  <c r="D167" i="331"/>
  <c r="C167" i="331"/>
  <c r="M166" i="331"/>
  <c r="O166" i="331" s="1"/>
  <c r="L166" i="331"/>
  <c r="L167" i="331" s="1"/>
  <c r="H166" i="331"/>
  <c r="M164" i="331"/>
  <c r="O164" i="331" s="1"/>
  <c r="L164" i="331"/>
  <c r="H164" i="331"/>
  <c r="L163" i="331"/>
  <c r="L168" i="331" s="1"/>
  <c r="E163" i="331"/>
  <c r="E168" i="331" s="1"/>
  <c r="O162" i="331"/>
  <c r="M162" i="331"/>
  <c r="L162" i="331"/>
  <c r="H162" i="331"/>
  <c r="O161" i="331"/>
  <c r="M161" i="331"/>
  <c r="L161" i="331"/>
  <c r="H161" i="331"/>
  <c r="O159" i="331"/>
  <c r="O169" i="331" s="1"/>
  <c r="M159" i="331"/>
  <c r="M169" i="331" s="1"/>
  <c r="L159" i="331"/>
  <c r="L169" i="331" s="1"/>
  <c r="H159" i="331"/>
  <c r="H169" i="331" s="1"/>
  <c r="O158" i="331"/>
  <c r="M158" i="331"/>
  <c r="L158" i="331"/>
  <c r="H158" i="331"/>
  <c r="O157" i="331"/>
  <c r="M157" i="331"/>
  <c r="L157" i="331"/>
  <c r="H157" i="331"/>
  <c r="O155" i="331"/>
  <c r="N155" i="331"/>
  <c r="L155" i="331"/>
  <c r="K155" i="331"/>
  <c r="J155" i="331"/>
  <c r="I155" i="331"/>
  <c r="G155" i="331"/>
  <c r="F155" i="331"/>
  <c r="E155" i="331"/>
  <c r="D155" i="331"/>
  <c r="C155" i="331"/>
  <c r="N154" i="331"/>
  <c r="L154" i="331"/>
  <c r="K154" i="331"/>
  <c r="J154" i="331"/>
  <c r="I154" i="331"/>
  <c r="H154" i="331"/>
  <c r="G154" i="331"/>
  <c r="F154" i="331"/>
  <c r="E154" i="331"/>
  <c r="D154" i="331"/>
  <c r="C154" i="331"/>
  <c r="N153" i="331"/>
  <c r="K153" i="331"/>
  <c r="J153" i="331"/>
  <c r="I153" i="331"/>
  <c r="G153" i="331"/>
  <c r="F153" i="331"/>
  <c r="E153" i="331"/>
  <c r="D153" i="331"/>
  <c r="C153" i="331"/>
  <c r="O152" i="331"/>
  <c r="M152" i="331"/>
  <c r="L152" i="331"/>
  <c r="H152" i="331"/>
  <c r="O150" i="331"/>
  <c r="M150" i="331"/>
  <c r="L150" i="331"/>
  <c r="H150" i="331"/>
  <c r="O149" i="331"/>
  <c r="M149" i="331"/>
  <c r="L149" i="331"/>
  <c r="H149" i="331"/>
  <c r="O148" i="331"/>
  <c r="M148" i="331"/>
  <c r="L148" i="331"/>
  <c r="H148" i="331"/>
  <c r="O146" i="331"/>
  <c r="M146" i="331"/>
  <c r="M155" i="331" s="1"/>
  <c r="L146" i="331"/>
  <c r="H146" i="331"/>
  <c r="H155" i="331" s="1"/>
  <c r="O145" i="331"/>
  <c r="O154" i="331" s="1"/>
  <c r="M145" i="331"/>
  <c r="M154" i="331" s="1"/>
  <c r="L145" i="331"/>
  <c r="H145" i="331"/>
  <c r="O144" i="331"/>
  <c r="O153" i="331" s="1"/>
  <c r="M144" i="331"/>
  <c r="M153" i="331" s="1"/>
  <c r="L144" i="331"/>
  <c r="L153" i="331" s="1"/>
  <c r="H144" i="331"/>
  <c r="H153" i="331" s="1"/>
  <c r="N142" i="331"/>
  <c r="K142" i="331"/>
  <c r="J142" i="331"/>
  <c r="I142" i="331"/>
  <c r="G142" i="331"/>
  <c r="F142" i="331"/>
  <c r="E142" i="331"/>
  <c r="D142" i="331"/>
  <c r="C142" i="331"/>
  <c r="N141" i="331"/>
  <c r="L141" i="331"/>
  <c r="K141" i="331"/>
  <c r="J141" i="331"/>
  <c r="I141" i="331"/>
  <c r="G141" i="331"/>
  <c r="F141" i="331"/>
  <c r="D141" i="331"/>
  <c r="C141" i="331"/>
  <c r="N140" i="331"/>
  <c r="K140" i="331"/>
  <c r="J140" i="331"/>
  <c r="I140" i="331"/>
  <c r="G140" i="331"/>
  <c r="F140" i="331"/>
  <c r="D140" i="331"/>
  <c r="C140" i="331"/>
  <c r="O139" i="331"/>
  <c r="M139" i="331"/>
  <c r="L139" i="331"/>
  <c r="H139" i="331"/>
  <c r="L137" i="331"/>
  <c r="E137" i="331"/>
  <c r="L136" i="331"/>
  <c r="H136" i="331"/>
  <c r="M136" i="331" s="1"/>
  <c r="O136" i="331" s="1"/>
  <c r="L135" i="331"/>
  <c r="H135" i="331"/>
  <c r="M135" i="331" s="1"/>
  <c r="O135" i="331" s="1"/>
  <c r="L133" i="331"/>
  <c r="L142" i="331" s="1"/>
  <c r="H133" i="331"/>
  <c r="L132" i="331"/>
  <c r="H132" i="331"/>
  <c r="M132" i="331" s="1"/>
  <c r="L131" i="331"/>
  <c r="L140" i="331" s="1"/>
  <c r="H131" i="331"/>
  <c r="N129" i="331"/>
  <c r="L129" i="331"/>
  <c r="K129" i="331"/>
  <c r="J129" i="331"/>
  <c r="I129" i="331"/>
  <c r="G129" i="331"/>
  <c r="F129" i="331"/>
  <c r="E129" i="331"/>
  <c r="D129" i="331"/>
  <c r="C129" i="331"/>
  <c r="N128" i="331"/>
  <c r="L128" i="331"/>
  <c r="K128" i="331"/>
  <c r="J128" i="331"/>
  <c r="I128" i="331"/>
  <c r="G128" i="331"/>
  <c r="F128" i="331"/>
  <c r="E128" i="331"/>
  <c r="D128" i="331"/>
  <c r="C128" i="331"/>
  <c r="N127" i="331"/>
  <c r="K127" i="331"/>
  <c r="K268" i="331" s="1"/>
  <c r="J127" i="331"/>
  <c r="I127" i="331"/>
  <c r="G127" i="331"/>
  <c r="G268" i="331" s="1"/>
  <c r="F127" i="331"/>
  <c r="E127" i="331"/>
  <c r="D127" i="331"/>
  <c r="D268" i="331" s="1"/>
  <c r="C127" i="331"/>
  <c r="C268" i="331" s="1"/>
  <c r="L126" i="331"/>
  <c r="H126" i="331"/>
  <c r="M126" i="331" s="1"/>
  <c r="O126" i="331" s="1"/>
  <c r="L124" i="331"/>
  <c r="H124" i="331"/>
  <c r="M124" i="331" s="1"/>
  <c r="O124" i="331" s="1"/>
  <c r="L123" i="331"/>
  <c r="H123" i="331"/>
  <c r="M123" i="331" s="1"/>
  <c r="O123" i="331" s="1"/>
  <c r="L122" i="331"/>
  <c r="H122" i="331"/>
  <c r="M122" i="331" s="1"/>
  <c r="O122" i="331" s="1"/>
  <c r="L120" i="331"/>
  <c r="H120" i="331"/>
  <c r="M120" i="331" s="1"/>
  <c r="L119" i="331"/>
  <c r="H119" i="331"/>
  <c r="L118" i="331"/>
  <c r="L127" i="331" s="1"/>
  <c r="H118" i="331"/>
  <c r="N115" i="331"/>
  <c r="K115" i="331"/>
  <c r="J115" i="331"/>
  <c r="I115" i="331"/>
  <c r="G115" i="331"/>
  <c r="F115" i="331"/>
  <c r="E115" i="331"/>
  <c r="D115" i="331"/>
  <c r="C115" i="331"/>
  <c r="N114" i="331"/>
  <c r="K114" i="331"/>
  <c r="J114" i="331"/>
  <c r="I114" i="331"/>
  <c r="G114" i="331"/>
  <c r="F114" i="331"/>
  <c r="E114" i="331"/>
  <c r="D114" i="331"/>
  <c r="C114" i="331"/>
  <c r="N113" i="331"/>
  <c r="K113" i="331"/>
  <c r="J113" i="331"/>
  <c r="I113" i="331"/>
  <c r="H113" i="331"/>
  <c r="G113" i="331"/>
  <c r="F113" i="331"/>
  <c r="E113" i="331"/>
  <c r="D113" i="331"/>
  <c r="C113" i="331"/>
  <c r="L112" i="331"/>
  <c r="H112" i="331"/>
  <c r="M112" i="331" s="1"/>
  <c r="O112" i="331" s="1"/>
  <c r="L110" i="331"/>
  <c r="H110" i="331"/>
  <c r="L109" i="331"/>
  <c r="H109" i="331"/>
  <c r="M109" i="331" s="1"/>
  <c r="O109" i="331" s="1"/>
  <c r="L108" i="331"/>
  <c r="L113" i="331" s="1"/>
  <c r="H108" i="331"/>
  <c r="L106" i="331"/>
  <c r="L115" i="331" s="1"/>
  <c r="H106" i="331"/>
  <c r="H115" i="331" s="1"/>
  <c r="L105" i="331"/>
  <c r="L114" i="331" s="1"/>
  <c r="H105" i="331"/>
  <c r="H114" i="331" s="1"/>
  <c r="L104" i="331"/>
  <c r="H104" i="331"/>
  <c r="M104" i="331" s="1"/>
  <c r="N102" i="331"/>
  <c r="K102" i="331"/>
  <c r="J102" i="331"/>
  <c r="I102" i="331"/>
  <c r="G102" i="331"/>
  <c r="F102" i="331"/>
  <c r="E102" i="331"/>
  <c r="D102" i="331"/>
  <c r="C102" i="331"/>
  <c r="N101" i="331"/>
  <c r="K101" i="331"/>
  <c r="J101" i="331"/>
  <c r="I101" i="331"/>
  <c r="G101" i="331"/>
  <c r="F101" i="331"/>
  <c r="E101" i="331"/>
  <c r="D101" i="331"/>
  <c r="C101" i="331"/>
  <c r="N100" i="331"/>
  <c r="K100" i="331"/>
  <c r="J100" i="331"/>
  <c r="I100" i="331"/>
  <c r="H100" i="331"/>
  <c r="G100" i="331"/>
  <c r="F100" i="331"/>
  <c r="E100" i="331"/>
  <c r="D100" i="331"/>
  <c r="C100" i="331"/>
  <c r="L99" i="331"/>
  <c r="H99" i="331"/>
  <c r="L97" i="331"/>
  <c r="H97" i="331"/>
  <c r="L96" i="331"/>
  <c r="H96" i="331"/>
  <c r="L95" i="331"/>
  <c r="H95" i="331"/>
  <c r="L93" i="331"/>
  <c r="L102" i="331" s="1"/>
  <c r="H93" i="331"/>
  <c r="H102" i="331" s="1"/>
  <c r="L92" i="331"/>
  <c r="H92" i="331"/>
  <c r="H101" i="331" s="1"/>
  <c r="L91" i="331"/>
  <c r="L100" i="331" s="1"/>
  <c r="H91" i="331"/>
  <c r="N89" i="331"/>
  <c r="K89" i="331"/>
  <c r="J89" i="331"/>
  <c r="I89" i="331"/>
  <c r="G89" i="331"/>
  <c r="F89" i="331"/>
  <c r="E89" i="331"/>
  <c r="D89" i="331"/>
  <c r="C89" i="331"/>
  <c r="N88" i="331"/>
  <c r="K88" i="331"/>
  <c r="J88" i="331"/>
  <c r="I88" i="331"/>
  <c r="G88" i="331"/>
  <c r="F88" i="331"/>
  <c r="E88" i="331"/>
  <c r="D88" i="331"/>
  <c r="C88" i="331"/>
  <c r="N87" i="331"/>
  <c r="K87" i="331"/>
  <c r="J87" i="331"/>
  <c r="I87" i="331"/>
  <c r="H87" i="331"/>
  <c r="G87" i="331"/>
  <c r="F87" i="331"/>
  <c r="E87" i="331"/>
  <c r="D87" i="331"/>
  <c r="C87" i="331"/>
  <c r="L86" i="331"/>
  <c r="H86" i="331"/>
  <c r="L84" i="331"/>
  <c r="H84" i="331"/>
  <c r="M84" i="331" s="1"/>
  <c r="O84" i="331" s="1"/>
  <c r="L83" i="331"/>
  <c r="H83" i="331"/>
  <c r="L82" i="331"/>
  <c r="H82" i="331"/>
  <c r="M82" i="331" s="1"/>
  <c r="O82" i="331" s="1"/>
  <c r="L80" i="331"/>
  <c r="L89" i="331" s="1"/>
  <c r="H80" i="331"/>
  <c r="H89" i="331" s="1"/>
  <c r="L79" i="331"/>
  <c r="H79" i="331"/>
  <c r="H88" i="331" s="1"/>
  <c r="L78" i="331"/>
  <c r="L87" i="331" s="1"/>
  <c r="H78" i="331"/>
  <c r="N76" i="331"/>
  <c r="K76" i="331"/>
  <c r="J76" i="331"/>
  <c r="I76" i="331"/>
  <c r="G76" i="331"/>
  <c r="F76" i="331"/>
  <c r="E76" i="331"/>
  <c r="D76" i="331"/>
  <c r="C76" i="331"/>
  <c r="N75" i="331"/>
  <c r="K75" i="331"/>
  <c r="J75" i="331"/>
  <c r="I75" i="331"/>
  <c r="G75" i="331"/>
  <c r="F75" i="331"/>
  <c r="E75" i="331"/>
  <c r="D75" i="331"/>
  <c r="C75" i="331"/>
  <c r="N74" i="331"/>
  <c r="K74" i="331"/>
  <c r="J74" i="331"/>
  <c r="I74" i="331"/>
  <c r="H74" i="331"/>
  <c r="G74" i="331"/>
  <c r="F74" i="331"/>
  <c r="E74" i="331"/>
  <c r="D74" i="331"/>
  <c r="C74" i="331"/>
  <c r="L73" i="331"/>
  <c r="H73" i="331"/>
  <c r="L71" i="331"/>
  <c r="H71" i="331"/>
  <c r="L70" i="331"/>
  <c r="H70" i="331"/>
  <c r="L69" i="331"/>
  <c r="L74" i="331" s="1"/>
  <c r="H69" i="331"/>
  <c r="L67" i="331"/>
  <c r="L76" i="331" s="1"/>
  <c r="H67" i="331"/>
  <c r="H76" i="331" s="1"/>
  <c r="L66" i="331"/>
  <c r="L75" i="331" s="1"/>
  <c r="H66" i="331"/>
  <c r="H75" i="331" s="1"/>
  <c r="L65" i="331"/>
  <c r="H65" i="331"/>
  <c r="N63" i="331"/>
  <c r="K63" i="331"/>
  <c r="J63" i="331"/>
  <c r="I63" i="331"/>
  <c r="G63" i="331"/>
  <c r="F63" i="331"/>
  <c r="E63" i="331"/>
  <c r="D63" i="331"/>
  <c r="C63" i="331"/>
  <c r="N62" i="331"/>
  <c r="K62" i="331"/>
  <c r="J62" i="331"/>
  <c r="I62" i="331"/>
  <c r="G62" i="331"/>
  <c r="F62" i="331"/>
  <c r="E62" i="331"/>
  <c r="D62" i="331"/>
  <c r="C62" i="331"/>
  <c r="N61" i="331"/>
  <c r="K61" i="331"/>
  <c r="J61" i="331"/>
  <c r="I61" i="331"/>
  <c r="H61" i="331"/>
  <c r="G61" i="331"/>
  <c r="F61" i="331"/>
  <c r="E61" i="331"/>
  <c r="D61" i="331"/>
  <c r="C61" i="331"/>
  <c r="L60" i="331"/>
  <c r="H60" i="331"/>
  <c r="M60" i="331" s="1"/>
  <c r="O60" i="331" s="1"/>
  <c r="L58" i="331"/>
  <c r="H58" i="331"/>
  <c r="L57" i="331"/>
  <c r="H57" i="331"/>
  <c r="M57" i="331" s="1"/>
  <c r="O57" i="331" s="1"/>
  <c r="L56" i="331"/>
  <c r="L61" i="331" s="1"/>
  <c r="H56" i="331"/>
  <c r="L54" i="331"/>
  <c r="L63" i="331" s="1"/>
  <c r="H54" i="331"/>
  <c r="H63" i="331" s="1"/>
  <c r="L53" i="331"/>
  <c r="L62" i="331" s="1"/>
  <c r="H53" i="331"/>
  <c r="H62" i="331" s="1"/>
  <c r="L52" i="331"/>
  <c r="H52" i="331"/>
  <c r="M52" i="331" s="1"/>
  <c r="N50" i="331"/>
  <c r="K50" i="331"/>
  <c r="J50" i="331"/>
  <c r="I50" i="331"/>
  <c r="G50" i="331"/>
  <c r="F50" i="331"/>
  <c r="E50" i="331"/>
  <c r="D50" i="331"/>
  <c r="C50" i="331"/>
  <c r="N49" i="331"/>
  <c r="K49" i="331"/>
  <c r="J49" i="331"/>
  <c r="I49" i="331"/>
  <c r="G49" i="331"/>
  <c r="F49" i="331"/>
  <c r="E49" i="331"/>
  <c r="D49" i="331"/>
  <c r="C49" i="331"/>
  <c r="N48" i="331"/>
  <c r="N116" i="331" s="1"/>
  <c r="K48" i="331"/>
  <c r="K116" i="331" s="1"/>
  <c r="J48" i="331"/>
  <c r="J116" i="331" s="1"/>
  <c r="I48" i="331"/>
  <c r="I116" i="331" s="1"/>
  <c r="H48" i="331"/>
  <c r="H116" i="331" s="1"/>
  <c r="G48" i="331"/>
  <c r="G116" i="331" s="1"/>
  <c r="F48" i="331"/>
  <c r="F116" i="331" s="1"/>
  <c r="E48" i="331"/>
  <c r="E116" i="331" s="1"/>
  <c r="D48" i="331"/>
  <c r="D116" i="331" s="1"/>
  <c r="C48" i="331"/>
  <c r="C116" i="331" s="1"/>
  <c r="L47" i="331"/>
  <c r="L48" i="331" s="1"/>
  <c r="H47" i="331"/>
  <c r="H50" i="331" s="1"/>
  <c r="L45" i="331"/>
  <c r="H45" i="331"/>
  <c r="E45" i="331"/>
  <c r="M44" i="331"/>
  <c r="O44" i="331" s="1"/>
  <c r="L44" i="331"/>
  <c r="H44" i="331"/>
  <c r="M43" i="331"/>
  <c r="O43" i="331" s="1"/>
  <c r="L43" i="331"/>
  <c r="H43" i="331"/>
  <c r="M41" i="331"/>
  <c r="O41" i="331" s="1"/>
  <c r="L41" i="331"/>
  <c r="L50" i="331" s="1"/>
  <c r="H41" i="331"/>
  <c r="M40" i="331"/>
  <c r="L40" i="331"/>
  <c r="L49" i="331" s="1"/>
  <c r="H40" i="331"/>
  <c r="H49" i="331" s="1"/>
  <c r="M39" i="331"/>
  <c r="L39" i="331"/>
  <c r="H39" i="331"/>
  <c r="N37" i="331"/>
  <c r="J37" i="331"/>
  <c r="N36" i="331"/>
  <c r="K36" i="331"/>
  <c r="J36" i="331"/>
  <c r="I36" i="331"/>
  <c r="G36" i="331"/>
  <c r="F36" i="331"/>
  <c r="E36" i="331"/>
  <c r="D36" i="331"/>
  <c r="C36" i="331"/>
  <c r="N35" i="331"/>
  <c r="M35" i="331"/>
  <c r="L35" i="331"/>
  <c r="K35" i="331"/>
  <c r="J35" i="331"/>
  <c r="I35" i="331"/>
  <c r="H35" i="331"/>
  <c r="G35" i="331"/>
  <c r="F35" i="331"/>
  <c r="E35" i="331"/>
  <c r="D35" i="331"/>
  <c r="C35" i="331"/>
  <c r="N34" i="331"/>
  <c r="K34" i="331"/>
  <c r="J34" i="331"/>
  <c r="I34" i="331"/>
  <c r="G34" i="331"/>
  <c r="F34" i="331"/>
  <c r="F37" i="331" s="1"/>
  <c r="O33" i="331"/>
  <c r="M33" i="331"/>
  <c r="L33" i="331"/>
  <c r="H33" i="331"/>
  <c r="O32" i="331"/>
  <c r="M32" i="331"/>
  <c r="L32" i="331"/>
  <c r="L458" i="331" s="1"/>
  <c r="H32" i="331"/>
  <c r="H458" i="331" s="1"/>
  <c r="O30" i="331"/>
  <c r="M30" i="331"/>
  <c r="L30" i="331"/>
  <c r="H30" i="331"/>
  <c r="O29" i="331"/>
  <c r="O454" i="331" s="1"/>
  <c r="M29" i="331"/>
  <c r="M454" i="331" s="1"/>
  <c r="L29" i="331"/>
  <c r="L454" i="331" s="1"/>
  <c r="H29" i="331"/>
  <c r="H454" i="331" s="1"/>
  <c r="O28" i="331"/>
  <c r="M28" i="331"/>
  <c r="L28" i="331"/>
  <c r="H28" i="331"/>
  <c r="O27" i="331"/>
  <c r="M27" i="331"/>
  <c r="L27" i="331"/>
  <c r="H27" i="331"/>
  <c r="O26" i="331"/>
  <c r="M26" i="331"/>
  <c r="L26" i="331"/>
  <c r="H26" i="331"/>
  <c r="O25" i="331"/>
  <c r="M25" i="331"/>
  <c r="L25" i="331"/>
  <c r="H25" i="331"/>
  <c r="O23" i="331"/>
  <c r="O36" i="331" s="1"/>
  <c r="M23" i="331"/>
  <c r="M36" i="331" s="1"/>
  <c r="L23" i="331"/>
  <c r="L36" i="331" s="1"/>
  <c r="H23" i="331"/>
  <c r="H36" i="331" s="1"/>
  <c r="O22" i="331"/>
  <c r="O35" i="331" s="1"/>
  <c r="M22" i="331"/>
  <c r="L22" i="331"/>
  <c r="H22" i="331"/>
  <c r="L21" i="331"/>
  <c r="L34" i="331" s="1"/>
  <c r="E21" i="331"/>
  <c r="E34" i="331" s="1"/>
  <c r="D21" i="331"/>
  <c r="D34" i="331" s="1"/>
  <c r="C21" i="331"/>
  <c r="C34" i="331" s="1"/>
  <c r="N19" i="331"/>
  <c r="N468" i="331" s="1"/>
  <c r="N475" i="331" s="1"/>
  <c r="K19" i="331"/>
  <c r="J19" i="331"/>
  <c r="I19" i="331"/>
  <c r="G19" i="331"/>
  <c r="F19" i="331"/>
  <c r="F468" i="331" s="1"/>
  <c r="F475" i="331" s="1"/>
  <c r="E19" i="331"/>
  <c r="D19" i="331"/>
  <c r="C19" i="331"/>
  <c r="N18" i="331"/>
  <c r="K18" i="331"/>
  <c r="J18" i="331"/>
  <c r="I18" i="331"/>
  <c r="G18" i="331"/>
  <c r="F18" i="331"/>
  <c r="E18" i="331"/>
  <c r="D18" i="331"/>
  <c r="C18" i="331"/>
  <c r="N17" i="331"/>
  <c r="K17" i="331"/>
  <c r="K37" i="331" s="1"/>
  <c r="K269" i="331" s="1"/>
  <c r="J17" i="331"/>
  <c r="I17" i="331"/>
  <c r="I37" i="331" s="1"/>
  <c r="G17" i="331"/>
  <c r="G37" i="331" s="1"/>
  <c r="G269" i="331" s="1"/>
  <c r="G425" i="331" s="1"/>
  <c r="G444" i="331" s="1"/>
  <c r="F17" i="331"/>
  <c r="E17" i="331"/>
  <c r="D17" i="331"/>
  <c r="D37" i="331" s="1"/>
  <c r="M16" i="331"/>
  <c r="L16" i="331"/>
  <c r="H16" i="331"/>
  <c r="M15" i="331"/>
  <c r="O15" i="331" s="1"/>
  <c r="L15" i="331"/>
  <c r="L14" i="331"/>
  <c r="H14" i="331"/>
  <c r="L13" i="331"/>
  <c r="L451" i="331" s="1"/>
  <c r="H13" i="331"/>
  <c r="M13" i="331" s="1"/>
  <c r="L12" i="331"/>
  <c r="H12" i="331"/>
  <c r="L11" i="331"/>
  <c r="M11" i="331" s="1"/>
  <c r="O11" i="331" s="1"/>
  <c r="L10" i="331"/>
  <c r="L19" i="331" s="1"/>
  <c r="H10" i="331"/>
  <c r="L9" i="331"/>
  <c r="H9" i="331"/>
  <c r="L8" i="331"/>
  <c r="H8" i="331"/>
  <c r="E8" i="331"/>
  <c r="D8" i="331"/>
  <c r="C8" i="331"/>
  <c r="C445" i="331" s="1"/>
  <c r="C466" i="331" s="1"/>
  <c r="C471" i="331" s="1"/>
  <c r="L116" i="331" l="1"/>
  <c r="M451" i="331"/>
  <c r="O13" i="331"/>
  <c r="O451" i="331" s="1"/>
  <c r="O16" i="331"/>
  <c r="O461" i="331" s="1"/>
  <c r="O52" i="331"/>
  <c r="M118" i="331"/>
  <c r="H127" i="331"/>
  <c r="O120" i="331"/>
  <c r="O129" i="331" s="1"/>
  <c r="M129" i="331"/>
  <c r="O132" i="331"/>
  <c r="M141" i="331"/>
  <c r="E140" i="331"/>
  <c r="E141" i="331"/>
  <c r="H137" i="331"/>
  <c r="M137" i="331" s="1"/>
  <c r="O137" i="331" s="1"/>
  <c r="M181" i="331"/>
  <c r="O172" i="331"/>
  <c r="O181" i="331" s="1"/>
  <c r="M193" i="331"/>
  <c r="O185" i="331"/>
  <c r="O193" i="331" s="1"/>
  <c r="M207" i="331"/>
  <c r="O198" i="331"/>
  <c r="O207" i="331" s="1"/>
  <c r="M220" i="331"/>
  <c r="O211" i="331"/>
  <c r="O220" i="331" s="1"/>
  <c r="K467" i="331"/>
  <c r="K474" i="331" s="1"/>
  <c r="P35" i="331"/>
  <c r="O448" i="331"/>
  <c r="M45" i="331"/>
  <c r="O45" i="331" s="1"/>
  <c r="M65" i="331"/>
  <c r="M70" i="331"/>
  <c r="O70" i="331" s="1"/>
  <c r="M73" i="331"/>
  <c r="O73" i="331" s="1"/>
  <c r="L88" i="331"/>
  <c r="M95" i="331"/>
  <c r="O95" i="331" s="1"/>
  <c r="M97" i="331"/>
  <c r="O97" i="331" s="1"/>
  <c r="O180" i="331"/>
  <c r="M180" i="331"/>
  <c r="O192" i="331"/>
  <c r="M206" i="331"/>
  <c r="O197" i="331"/>
  <c r="O206" i="331" s="1"/>
  <c r="P205" i="331" s="1"/>
  <c r="M219" i="331"/>
  <c r="O210" i="331"/>
  <c r="O219" i="331" s="1"/>
  <c r="O104" i="331"/>
  <c r="O113" i="331" s="1"/>
  <c r="M9" i="331"/>
  <c r="H18" i="331"/>
  <c r="D269" i="331"/>
  <c r="D425" i="331" s="1"/>
  <c r="D444" i="331" s="1"/>
  <c r="L18" i="331"/>
  <c r="M12" i="331"/>
  <c r="M14" i="331"/>
  <c r="E37" i="331"/>
  <c r="E269" i="331" s="1"/>
  <c r="E425" i="331" s="1"/>
  <c r="E444" i="331" s="1"/>
  <c r="C467" i="331"/>
  <c r="C474" i="331" s="1"/>
  <c r="G467" i="331"/>
  <c r="G474" i="331" s="1"/>
  <c r="J468" i="331"/>
  <c r="J475" i="331" s="1"/>
  <c r="J485" i="331" s="1"/>
  <c r="M49" i="331"/>
  <c r="O40" i="331"/>
  <c r="O49" i="331" s="1"/>
  <c r="M56" i="331"/>
  <c r="O56" i="331" s="1"/>
  <c r="M58" i="331"/>
  <c r="O58" i="331" s="1"/>
  <c r="M78" i="331"/>
  <c r="M83" i="331"/>
  <c r="O83" i="331" s="1"/>
  <c r="M86" i="331"/>
  <c r="O86" i="331" s="1"/>
  <c r="L101" i="331"/>
  <c r="M108" i="331"/>
  <c r="O108" i="331" s="1"/>
  <c r="M110" i="331"/>
  <c r="O110" i="331" s="1"/>
  <c r="H128" i="331"/>
  <c r="M119" i="331"/>
  <c r="H140" i="331"/>
  <c r="M131" i="331"/>
  <c r="M133" i="331"/>
  <c r="H142" i="331"/>
  <c r="P153" i="331"/>
  <c r="M192" i="331"/>
  <c r="O205" i="331"/>
  <c r="M205" i="331"/>
  <c r="O218" i="331"/>
  <c r="M218" i="331"/>
  <c r="N269" i="331"/>
  <c r="N425" i="331" s="1"/>
  <c r="N444" i="331" s="1"/>
  <c r="H129" i="331"/>
  <c r="H17" i="331"/>
  <c r="M8" i="331"/>
  <c r="H19" i="331"/>
  <c r="M10" i="331"/>
  <c r="L447" i="331"/>
  <c r="L17" i="331"/>
  <c r="L37" i="331" s="1"/>
  <c r="L453" i="331"/>
  <c r="J269" i="331"/>
  <c r="J425" i="331" s="1"/>
  <c r="J444" i="331" s="1"/>
  <c r="O39" i="331"/>
  <c r="M69" i="331"/>
  <c r="O69" i="331" s="1"/>
  <c r="M71" i="331"/>
  <c r="O71" i="331" s="1"/>
  <c r="M91" i="331"/>
  <c r="M96" i="331"/>
  <c r="O96" i="331" s="1"/>
  <c r="M99" i="331"/>
  <c r="O99" i="331" s="1"/>
  <c r="H141" i="331"/>
  <c r="M182" i="331"/>
  <c r="O173" i="331"/>
  <c r="O182" i="331" s="1"/>
  <c r="M194" i="331"/>
  <c r="O186" i="331"/>
  <c r="O194" i="331" s="1"/>
  <c r="M230" i="331"/>
  <c r="O223" i="331"/>
  <c r="O230" i="331" s="1"/>
  <c r="O246" i="331"/>
  <c r="O255" i="331" s="1"/>
  <c r="M255" i="331"/>
  <c r="M257" i="331"/>
  <c r="H265" i="331"/>
  <c r="L445" i="331"/>
  <c r="D467" i="331"/>
  <c r="D474" i="331" s="1"/>
  <c r="D484" i="331" s="1"/>
  <c r="C468" i="331"/>
  <c r="C475" i="331" s="1"/>
  <c r="C485" i="331" s="1"/>
  <c r="G468" i="331"/>
  <c r="G475" i="331" s="1"/>
  <c r="G485" i="331" s="1"/>
  <c r="K468" i="331"/>
  <c r="K475" i="331" s="1"/>
  <c r="K485" i="331" s="1"/>
  <c r="H21" i="331"/>
  <c r="H445" i="331" s="1"/>
  <c r="H448" i="331"/>
  <c r="M47" i="331"/>
  <c r="O47" i="331" s="1"/>
  <c r="O50" i="331" s="1"/>
  <c r="M53" i="331"/>
  <c r="M54" i="331"/>
  <c r="M66" i="331"/>
  <c r="M67" i="331"/>
  <c r="M79" i="331"/>
  <c r="M80" i="331"/>
  <c r="M92" i="331"/>
  <c r="M93" i="331"/>
  <c r="M105" i="331"/>
  <c r="M106" i="331"/>
  <c r="M222" i="331"/>
  <c r="M231" i="331"/>
  <c r="M233" i="331"/>
  <c r="M242" i="331"/>
  <c r="H254" i="331"/>
  <c r="H267" i="331"/>
  <c r="M282" i="331"/>
  <c r="M297" i="331"/>
  <c r="O287" i="331"/>
  <c r="O297" i="331" s="1"/>
  <c r="H312" i="331"/>
  <c r="I424" i="331"/>
  <c r="M442" i="331"/>
  <c r="O429" i="331"/>
  <c r="O442" i="331" s="1"/>
  <c r="K471" i="331"/>
  <c r="K473" i="331"/>
  <c r="I480" i="331"/>
  <c r="I479" i="331" s="1"/>
  <c r="I466" i="331"/>
  <c r="L253" i="331"/>
  <c r="L268" i="331" s="1"/>
  <c r="M244" i="331"/>
  <c r="M249" i="331"/>
  <c r="O249" i="331" s="1"/>
  <c r="H253" i="331"/>
  <c r="O259" i="331"/>
  <c r="O267" i="331" s="1"/>
  <c r="M267" i="331"/>
  <c r="F452" i="331"/>
  <c r="F466" i="331" s="1"/>
  <c r="F310" i="331"/>
  <c r="F311" i="331"/>
  <c r="H325" i="331"/>
  <c r="M316" i="331"/>
  <c r="O349" i="331"/>
  <c r="M365" i="331"/>
  <c r="O354" i="331"/>
  <c r="L465" i="331"/>
  <c r="L482" i="331" s="1"/>
  <c r="M439" i="331"/>
  <c r="C477" i="331"/>
  <c r="D445" i="331"/>
  <c r="D466" i="331" s="1"/>
  <c r="H461" i="331"/>
  <c r="C17" i="331"/>
  <c r="C37" i="331" s="1"/>
  <c r="C269" i="331" s="1"/>
  <c r="C425" i="331" s="1"/>
  <c r="C444" i="331" s="1"/>
  <c r="E467" i="331"/>
  <c r="E474" i="331" s="1"/>
  <c r="I467" i="331"/>
  <c r="I474" i="331" s="1"/>
  <c r="D468" i="331"/>
  <c r="D475" i="331" s="1"/>
  <c r="D485" i="331" s="1"/>
  <c r="L448" i="331"/>
  <c r="E453" i="331"/>
  <c r="E268" i="331"/>
  <c r="I268" i="331"/>
  <c r="I269" i="331" s="1"/>
  <c r="I425" i="331" s="1"/>
  <c r="I444" i="331" s="1"/>
  <c r="H163" i="331"/>
  <c r="L231" i="331"/>
  <c r="L468" i="331" s="1"/>
  <c r="L475" i="331" s="1"/>
  <c r="L242" i="331"/>
  <c r="L254" i="331"/>
  <c r="M245" i="331"/>
  <c r="H255" i="331"/>
  <c r="L255" i="331"/>
  <c r="H266" i="331"/>
  <c r="M258" i="331"/>
  <c r="M284" i="331"/>
  <c r="O273" i="331"/>
  <c r="O284" i="331" s="1"/>
  <c r="O278" i="331"/>
  <c r="O452" i="331" s="1"/>
  <c r="M296" i="331"/>
  <c r="O286" i="331"/>
  <c r="O296" i="331" s="1"/>
  <c r="M328" i="331"/>
  <c r="H334" i="331"/>
  <c r="H457" i="331"/>
  <c r="M331" i="331"/>
  <c r="M333" i="331"/>
  <c r="H462" i="331"/>
  <c r="E424" i="331"/>
  <c r="M366" i="331"/>
  <c r="L387" i="331"/>
  <c r="M380" i="331"/>
  <c r="L408" i="331"/>
  <c r="M401" i="331"/>
  <c r="H423" i="331"/>
  <c r="L441" i="331"/>
  <c r="M428" i="331"/>
  <c r="M241" i="331"/>
  <c r="O234" i="331"/>
  <c r="O241" i="331" s="1"/>
  <c r="P240" i="331" s="1"/>
  <c r="M298" i="331"/>
  <c r="O288" i="331"/>
  <c r="O298" i="331" s="1"/>
  <c r="M300" i="331"/>
  <c r="E445" i="331"/>
  <c r="H447" i="331"/>
  <c r="H451" i="331"/>
  <c r="H453" i="331"/>
  <c r="L461" i="331"/>
  <c r="L481" i="331" s="1"/>
  <c r="F467" i="331"/>
  <c r="F474" i="331" s="1"/>
  <c r="J467" i="331"/>
  <c r="J474" i="331" s="1"/>
  <c r="J484" i="331" s="1"/>
  <c r="N467" i="331"/>
  <c r="N474" i="331" s="1"/>
  <c r="N484" i="331" s="1"/>
  <c r="E468" i="331"/>
  <c r="E475" i="331" s="1"/>
  <c r="I468" i="331"/>
  <c r="I475" i="331" s="1"/>
  <c r="M448" i="331"/>
  <c r="F268" i="331"/>
  <c r="F269" i="331" s="1"/>
  <c r="F425" i="331" s="1"/>
  <c r="F444" i="331" s="1"/>
  <c r="J268" i="331"/>
  <c r="N268" i="331"/>
  <c r="O231" i="331"/>
  <c r="M283" i="331"/>
  <c r="O272" i="331"/>
  <c r="M449" i="331"/>
  <c r="O277" i="331"/>
  <c r="O449" i="331" s="1"/>
  <c r="L324" i="331"/>
  <c r="L326" i="331"/>
  <c r="K424" i="331"/>
  <c r="K425" i="331" s="1"/>
  <c r="K444" i="331" s="1"/>
  <c r="H377" i="331"/>
  <c r="M370" i="331"/>
  <c r="H456" i="331"/>
  <c r="M392" i="331"/>
  <c r="O412" i="331"/>
  <c r="M443" i="331"/>
  <c r="M469" i="331" s="1"/>
  <c r="M476" i="331" s="1"/>
  <c r="O430" i="331"/>
  <c r="D486" i="331"/>
  <c r="C473" i="331"/>
  <c r="F313" i="331"/>
  <c r="N313" i="331"/>
  <c r="M324" i="331"/>
  <c r="L352" i="331"/>
  <c r="H460" i="331"/>
  <c r="M362" i="331"/>
  <c r="E463" i="331"/>
  <c r="E367" i="331"/>
  <c r="M369" i="331"/>
  <c r="H376" i="331"/>
  <c r="H398" i="331"/>
  <c r="M390" i="331"/>
  <c r="H459" i="331"/>
  <c r="M417" i="331"/>
  <c r="M422" i="331"/>
  <c r="G471" i="331"/>
  <c r="G477" i="331" s="1"/>
  <c r="G473" i="331"/>
  <c r="N473" i="331"/>
  <c r="N471" i="331"/>
  <c r="N477" i="331" s="1"/>
  <c r="I486" i="331"/>
  <c r="M302" i="331"/>
  <c r="M319" i="331"/>
  <c r="O319" i="331" s="1"/>
  <c r="H324" i="331"/>
  <c r="H335" i="331"/>
  <c r="M329" i="331"/>
  <c r="M332" i="331"/>
  <c r="O332" i="331" s="1"/>
  <c r="M351" i="331"/>
  <c r="M347" i="331"/>
  <c r="H365" i="331"/>
  <c r="M356" i="331"/>
  <c r="H364" i="331"/>
  <c r="M364" i="331" s="1"/>
  <c r="O364" i="331" s="1"/>
  <c r="M379" i="331"/>
  <c r="M389" i="331"/>
  <c r="H397" i="331"/>
  <c r="M400" i="331"/>
  <c r="M410" i="331"/>
  <c r="H421" i="331"/>
  <c r="M427" i="331"/>
  <c r="L443" i="331"/>
  <c r="L469" i="331" s="1"/>
  <c r="L476" i="331" s="1"/>
  <c r="L486" i="331" s="1"/>
  <c r="F481" i="331"/>
  <c r="F485" i="331" s="1"/>
  <c r="K481" i="331"/>
  <c r="L452" i="331"/>
  <c r="M301" i="331"/>
  <c r="E452" i="331"/>
  <c r="H306" i="331"/>
  <c r="M306" i="331" s="1"/>
  <c r="O306" i="331" s="1"/>
  <c r="O315" i="331"/>
  <c r="M317" i="331"/>
  <c r="M323" i="331"/>
  <c r="O323" i="331" s="1"/>
  <c r="L335" i="331"/>
  <c r="L463" i="331"/>
  <c r="L365" i="331"/>
  <c r="L424" i="331" s="1"/>
  <c r="O366" i="331"/>
  <c r="M361" i="331"/>
  <c r="O361" i="331" s="1"/>
  <c r="M363" i="331"/>
  <c r="O363" i="331" s="1"/>
  <c r="H366" i="331"/>
  <c r="L442" i="331"/>
  <c r="D479" i="331"/>
  <c r="N481" i="331"/>
  <c r="N479" i="331" s="1"/>
  <c r="H450" i="331"/>
  <c r="F480" i="331"/>
  <c r="K480" i="331"/>
  <c r="K479" i="331" s="1"/>
  <c r="I481" i="331"/>
  <c r="L450" i="331"/>
  <c r="H463" i="331"/>
  <c r="N486" i="331"/>
  <c r="J466" i="331"/>
  <c r="C480" i="331"/>
  <c r="C479" i="331" s="1"/>
  <c r="G480" i="331"/>
  <c r="G479" i="331" s="1"/>
  <c r="E481" i="331"/>
  <c r="F473" i="331" l="1"/>
  <c r="F471" i="331"/>
  <c r="F477" i="331" s="1"/>
  <c r="L485" i="331"/>
  <c r="H466" i="331"/>
  <c r="O301" i="331"/>
  <c r="O311" i="331" s="1"/>
  <c r="M311" i="331"/>
  <c r="O379" i="331"/>
  <c r="O386" i="331" s="1"/>
  <c r="M386" i="331"/>
  <c r="M335" i="331"/>
  <c r="O329" i="331"/>
  <c r="E485" i="331"/>
  <c r="L466" i="331"/>
  <c r="L269" i="331"/>
  <c r="L425" i="331" s="1"/>
  <c r="L444" i="331" s="1"/>
  <c r="P192" i="331"/>
  <c r="F479" i="331"/>
  <c r="O324" i="331"/>
  <c r="H311" i="331"/>
  <c r="O400" i="331"/>
  <c r="O407" i="331" s="1"/>
  <c r="M407" i="331"/>
  <c r="H367" i="331"/>
  <c r="O347" i="331"/>
  <c r="M352" i="331"/>
  <c r="H452" i="331"/>
  <c r="M460" i="331"/>
  <c r="O362" i="331"/>
  <c r="O460" i="331" s="1"/>
  <c r="O443" i="331"/>
  <c r="O469" i="331" s="1"/>
  <c r="O476" i="331" s="1"/>
  <c r="O486" i="331" s="1"/>
  <c r="M456" i="331"/>
  <c r="O392" i="331"/>
  <c r="O456" i="331" s="1"/>
  <c r="M458" i="331"/>
  <c r="H310" i="331"/>
  <c r="H313" i="331" s="1"/>
  <c r="M462" i="331"/>
  <c r="O333" i="331"/>
  <c r="O462" i="331" s="1"/>
  <c r="O328" i="331"/>
  <c r="M334" i="331"/>
  <c r="M424" i="331" s="1"/>
  <c r="M452" i="331"/>
  <c r="O258" i="331"/>
  <c r="O266" i="331" s="1"/>
  <c r="P265" i="331" s="1"/>
  <c r="M266" i="331"/>
  <c r="O245" i="331"/>
  <c r="O254" i="331" s="1"/>
  <c r="P253" i="331" s="1"/>
  <c r="M254" i="331"/>
  <c r="H167" i="331"/>
  <c r="H268" i="331" s="1"/>
  <c r="M163" i="331"/>
  <c r="M465" i="331"/>
  <c r="M482" i="331" s="1"/>
  <c r="M486" i="331" s="1"/>
  <c r="O439" i="331"/>
  <c r="O465" i="331" s="1"/>
  <c r="O482" i="331" s="1"/>
  <c r="O463" i="331"/>
  <c r="M253" i="331"/>
  <c r="O244" i="331"/>
  <c r="O253" i="331" s="1"/>
  <c r="O93" i="331"/>
  <c r="O102" i="331" s="1"/>
  <c r="M102" i="331"/>
  <c r="O67" i="331"/>
  <c r="O76" i="331" s="1"/>
  <c r="M76" i="331"/>
  <c r="M350" i="331"/>
  <c r="L480" i="331"/>
  <c r="L479" i="331" s="1"/>
  <c r="O133" i="331"/>
  <c r="O142" i="331" s="1"/>
  <c r="M142" i="331"/>
  <c r="M453" i="331"/>
  <c r="O14" i="331"/>
  <c r="H467" i="331"/>
  <c r="H474" i="331" s="1"/>
  <c r="H484" i="331" s="1"/>
  <c r="N485" i="331"/>
  <c r="O141" i="331"/>
  <c r="O118" i="331"/>
  <c r="O127" i="331" s="1"/>
  <c r="M127" i="331"/>
  <c r="M461" i="331"/>
  <c r="M459" i="331"/>
  <c r="O417" i="331"/>
  <c r="O459" i="331" s="1"/>
  <c r="M423" i="331"/>
  <c r="E466" i="331"/>
  <c r="M387" i="331"/>
  <c r="O380" i="331"/>
  <c r="O387" i="331" s="1"/>
  <c r="E484" i="331"/>
  <c r="O119" i="331"/>
  <c r="O128" i="331" s="1"/>
  <c r="P127" i="331" s="1"/>
  <c r="M128" i="331"/>
  <c r="O65" i="331"/>
  <c r="O74" i="331" s="1"/>
  <c r="M74" i="331"/>
  <c r="O427" i="331"/>
  <c r="O440" i="331" s="1"/>
  <c r="M440" i="331"/>
  <c r="M376" i="331"/>
  <c r="O369" i="331"/>
  <c r="O376" i="331" s="1"/>
  <c r="H481" i="331"/>
  <c r="O300" i="331"/>
  <c r="O310" i="331" s="1"/>
  <c r="M310" i="331"/>
  <c r="M313" i="331" s="1"/>
  <c r="M408" i="331"/>
  <c r="O401" i="331"/>
  <c r="O408" i="331" s="1"/>
  <c r="O331" i="331"/>
  <c r="O457" i="331" s="1"/>
  <c r="M457" i="331"/>
  <c r="M463" i="331"/>
  <c r="K477" i="331"/>
  <c r="P296" i="331"/>
  <c r="O222" i="331"/>
  <c r="O229" i="331" s="1"/>
  <c r="M229" i="331"/>
  <c r="M101" i="331"/>
  <c r="O92" i="331"/>
  <c r="O101" i="331" s="1"/>
  <c r="P100" i="331" s="1"/>
  <c r="M75" i="331"/>
  <c r="O66" i="331"/>
  <c r="O75" i="331" s="1"/>
  <c r="P74" i="331" s="1"/>
  <c r="P229" i="331"/>
  <c r="O48" i="331"/>
  <c r="M19" i="331"/>
  <c r="O10" i="331"/>
  <c r="O19" i="331" s="1"/>
  <c r="H168" i="331"/>
  <c r="M140" i="331"/>
  <c r="O131" i="331"/>
  <c r="O140" i="331" s="1"/>
  <c r="M50" i="331"/>
  <c r="G484" i="331"/>
  <c r="M447" i="331"/>
  <c r="M480" i="331" s="1"/>
  <c r="O12" i="331"/>
  <c r="O447" i="331" s="1"/>
  <c r="O9" i="331"/>
  <c r="M18" i="331"/>
  <c r="P218" i="331"/>
  <c r="K484" i="331"/>
  <c r="P180" i="331"/>
  <c r="M61" i="331"/>
  <c r="M326" i="331"/>
  <c r="O317" i="331"/>
  <c r="O326" i="331" s="1"/>
  <c r="M421" i="331"/>
  <c r="O410" i="331"/>
  <c r="O421" i="331" s="1"/>
  <c r="M312" i="331"/>
  <c r="O302" i="331"/>
  <c r="O312" i="331" s="1"/>
  <c r="H424" i="331"/>
  <c r="O282" i="331"/>
  <c r="O313" i="331" s="1"/>
  <c r="O233" i="331"/>
  <c r="O240" i="331" s="1"/>
  <c r="M240" i="331"/>
  <c r="M114" i="331"/>
  <c r="O105" i="331"/>
  <c r="O114" i="331" s="1"/>
  <c r="M88" i="331"/>
  <c r="O79" i="331"/>
  <c r="O88" i="331" s="1"/>
  <c r="M62" i="331"/>
  <c r="O53" i="331"/>
  <c r="O62" i="331" s="1"/>
  <c r="M445" i="331"/>
  <c r="M466" i="331" s="1"/>
  <c r="O8" i="331"/>
  <c r="M17" i="331"/>
  <c r="J473" i="331"/>
  <c r="J471" i="331"/>
  <c r="J477" i="331" s="1"/>
  <c r="E480" i="331"/>
  <c r="E479" i="331" s="1"/>
  <c r="M397" i="331"/>
  <c r="O389" i="331"/>
  <c r="O397" i="331" s="1"/>
  <c r="M367" i="331"/>
  <c r="O356" i="331"/>
  <c r="O367" i="331" s="1"/>
  <c r="P365" i="331" s="1"/>
  <c r="O390" i="331"/>
  <c r="O398" i="331" s="1"/>
  <c r="M398" i="331"/>
  <c r="O423" i="331"/>
  <c r="P421" i="331" s="1"/>
  <c r="M377" i="331"/>
  <c r="O370" i="331"/>
  <c r="O377" i="331" s="1"/>
  <c r="O283" i="331"/>
  <c r="P282" i="331" s="1"/>
  <c r="I485" i="331"/>
  <c r="F484" i="331"/>
  <c r="H480" i="331"/>
  <c r="H479" i="331" s="1"/>
  <c r="M441" i="331"/>
  <c r="O428" i="331"/>
  <c r="O441" i="331" s="1"/>
  <c r="P440" i="331" s="1"/>
  <c r="I484" i="331"/>
  <c r="D473" i="331"/>
  <c r="D471" i="331"/>
  <c r="D477" i="331" s="1"/>
  <c r="O365" i="331"/>
  <c r="M325" i="331"/>
  <c r="O316" i="331"/>
  <c r="O325" i="331" s="1"/>
  <c r="I473" i="331"/>
  <c r="I471" i="331"/>
  <c r="I477" i="331" s="1"/>
  <c r="O106" i="331"/>
  <c r="O115" i="331" s="1"/>
  <c r="M115" i="331"/>
  <c r="O80" i="331"/>
  <c r="O89" i="331" s="1"/>
  <c r="M89" i="331"/>
  <c r="O54" i="331"/>
  <c r="O63" i="331" s="1"/>
  <c r="M63" i="331"/>
  <c r="M21" i="331"/>
  <c r="H34" i="331"/>
  <c r="H37" i="331" s="1"/>
  <c r="O257" i="331"/>
  <c r="O265" i="331" s="1"/>
  <c r="M265" i="331"/>
  <c r="O91" i="331"/>
  <c r="O100" i="331" s="1"/>
  <c r="M100" i="331"/>
  <c r="M48" i="331"/>
  <c r="H468" i="331"/>
  <c r="H475" i="331" s="1"/>
  <c r="H485" i="331" s="1"/>
  <c r="O78" i="331"/>
  <c r="O87" i="331" s="1"/>
  <c r="M87" i="331"/>
  <c r="P48" i="331"/>
  <c r="C484" i="331"/>
  <c r="L467" i="331"/>
  <c r="L474" i="331" s="1"/>
  <c r="L484" i="331" s="1"/>
  <c r="M113" i="331"/>
  <c r="O61" i="331"/>
  <c r="H269" i="331" l="1"/>
  <c r="H425" i="331" s="1"/>
  <c r="H444" i="331" s="1"/>
  <c r="M34" i="331"/>
  <c r="O21" i="331"/>
  <c r="O34" i="331" s="1"/>
  <c r="P61" i="331"/>
  <c r="P113" i="331"/>
  <c r="O116" i="331"/>
  <c r="O163" i="331"/>
  <c r="M167" i="331"/>
  <c r="M168" i="331"/>
  <c r="M467" i="331" s="1"/>
  <c r="M474" i="331" s="1"/>
  <c r="M484" i="331" s="1"/>
  <c r="O334" i="331"/>
  <c r="O458" i="331"/>
  <c r="O352" i="331"/>
  <c r="P350" i="331" s="1"/>
  <c r="O350" i="331"/>
  <c r="M473" i="331"/>
  <c r="M471" i="331"/>
  <c r="M468" i="331"/>
  <c r="M475" i="331" s="1"/>
  <c r="L473" i="331"/>
  <c r="L471" i="331"/>
  <c r="L477" i="331" s="1"/>
  <c r="H473" i="331"/>
  <c r="H471" i="331"/>
  <c r="H477" i="331" s="1"/>
  <c r="P324" i="331"/>
  <c r="M37" i="331"/>
  <c r="P140" i="331"/>
  <c r="O481" i="331"/>
  <c r="O335" i="331"/>
  <c r="M268" i="331"/>
  <c r="M116" i="331"/>
  <c r="O445" i="331"/>
  <c r="O17" i="331"/>
  <c r="O37" i="331" s="1"/>
  <c r="P87" i="331"/>
  <c r="O18" i="331"/>
  <c r="O468" i="331"/>
  <c r="O475" i="331" s="1"/>
  <c r="E473" i="331"/>
  <c r="E471" i="331"/>
  <c r="E477" i="331" s="1"/>
  <c r="M481" i="331"/>
  <c r="M479" i="331" s="1"/>
  <c r="P310" i="331"/>
  <c r="M485" i="331" l="1"/>
  <c r="P17" i="331"/>
  <c r="O269" i="331"/>
  <c r="O425" i="331" s="1"/>
  <c r="O444" i="331" s="1"/>
  <c r="M477" i="331"/>
  <c r="O168" i="331"/>
  <c r="P167" i="331" s="1"/>
  <c r="O167" i="331"/>
  <c r="O268" i="331" s="1"/>
  <c r="O485" i="331"/>
  <c r="M269" i="331"/>
  <c r="M425" i="331" s="1"/>
  <c r="M444" i="331" s="1"/>
  <c r="O424" i="331"/>
  <c r="O453" i="331"/>
  <c r="O480" i="331" s="1"/>
  <c r="O479" i="331" s="1"/>
  <c r="O467" i="331" l="1"/>
  <c r="O466" i="331"/>
  <c r="O471" i="331" l="1"/>
  <c r="O477" i="331" s="1"/>
  <c r="O473" i="331"/>
  <c r="P466" i="331"/>
  <c r="O474" i="331"/>
  <c r="O484" i="331" s="1"/>
  <c r="H486" i="330" l="1"/>
  <c r="D486" i="330"/>
  <c r="N484" i="330"/>
  <c r="E469" i="330"/>
  <c r="N468" i="330"/>
  <c r="N486" i="330" s="1"/>
  <c r="J468" i="330"/>
  <c r="J486" i="330" s="1"/>
  <c r="I468" i="330"/>
  <c r="I486" i="330" s="1"/>
  <c r="H468" i="330"/>
  <c r="G468" i="330"/>
  <c r="G486" i="330" s="1"/>
  <c r="F468" i="330"/>
  <c r="F486" i="330" s="1"/>
  <c r="E468" i="330"/>
  <c r="E486" i="330" s="1"/>
  <c r="D468" i="330"/>
  <c r="C468" i="330"/>
  <c r="C486" i="330" s="1"/>
  <c r="N466" i="330"/>
  <c r="I466" i="330"/>
  <c r="H466" i="330"/>
  <c r="G466" i="330"/>
  <c r="F466" i="330"/>
  <c r="E466" i="330"/>
  <c r="D466" i="330"/>
  <c r="C466" i="330"/>
  <c r="N465" i="330"/>
  <c r="M465" i="330"/>
  <c r="I465" i="330"/>
  <c r="H465" i="330"/>
  <c r="G465" i="330"/>
  <c r="F465" i="330"/>
  <c r="E465" i="330"/>
  <c r="D465" i="330"/>
  <c r="C465" i="330"/>
  <c r="N464" i="330"/>
  <c r="M464" i="330"/>
  <c r="I464" i="330"/>
  <c r="H464" i="330"/>
  <c r="G464" i="330"/>
  <c r="F464" i="330"/>
  <c r="E464" i="330"/>
  <c r="D464" i="330"/>
  <c r="C464" i="330"/>
  <c r="N463" i="330"/>
  <c r="M463" i="330"/>
  <c r="I463" i="330"/>
  <c r="H463" i="330"/>
  <c r="G463" i="330"/>
  <c r="F463" i="330"/>
  <c r="E463" i="330"/>
  <c r="D463" i="330"/>
  <c r="C463" i="330"/>
  <c r="N462" i="330"/>
  <c r="M462" i="330"/>
  <c r="K462" i="330"/>
  <c r="I462" i="330"/>
  <c r="H462" i="330"/>
  <c r="G462" i="330"/>
  <c r="F462" i="330"/>
  <c r="E462" i="330"/>
  <c r="D462" i="330"/>
  <c r="C462" i="330"/>
  <c r="N461" i="330"/>
  <c r="M461" i="330"/>
  <c r="I461" i="330"/>
  <c r="H461" i="330"/>
  <c r="G461" i="330"/>
  <c r="F461" i="330"/>
  <c r="E461" i="330"/>
  <c r="D461" i="330"/>
  <c r="C461" i="330"/>
  <c r="N460" i="330"/>
  <c r="M460" i="330"/>
  <c r="I460" i="330"/>
  <c r="I485" i="330" s="1"/>
  <c r="H460" i="330"/>
  <c r="G460" i="330"/>
  <c r="F460" i="330"/>
  <c r="E460" i="330"/>
  <c r="E485" i="330" s="1"/>
  <c r="D460" i="330"/>
  <c r="C460" i="330"/>
  <c r="N459" i="330"/>
  <c r="M459" i="330"/>
  <c r="I459" i="330"/>
  <c r="H459" i="330"/>
  <c r="H485" i="330" s="1"/>
  <c r="G459" i="330"/>
  <c r="G485" i="330" s="1"/>
  <c r="F459" i="330"/>
  <c r="F485" i="330" s="1"/>
  <c r="E459" i="330"/>
  <c r="D459" i="330"/>
  <c r="D485" i="330" s="1"/>
  <c r="C459" i="330"/>
  <c r="C485" i="330" s="1"/>
  <c r="N457" i="330"/>
  <c r="I457" i="330"/>
  <c r="H457" i="330"/>
  <c r="G457" i="330"/>
  <c r="F457" i="330"/>
  <c r="E457" i="330"/>
  <c r="D457" i="330"/>
  <c r="C457" i="330"/>
  <c r="N456" i="330"/>
  <c r="M456" i="330"/>
  <c r="I456" i="330"/>
  <c r="H456" i="330"/>
  <c r="G456" i="330"/>
  <c r="F456" i="330"/>
  <c r="E456" i="330"/>
  <c r="D456" i="330"/>
  <c r="C456" i="330"/>
  <c r="N455" i="330"/>
  <c r="I455" i="330"/>
  <c r="I469" i="330" s="1"/>
  <c r="H455" i="330"/>
  <c r="G455" i="330"/>
  <c r="E455" i="330"/>
  <c r="D455" i="330"/>
  <c r="C455" i="330"/>
  <c r="N454" i="330"/>
  <c r="M454" i="330"/>
  <c r="I454" i="330"/>
  <c r="H454" i="330"/>
  <c r="G454" i="330"/>
  <c r="F454" i="330"/>
  <c r="E454" i="330"/>
  <c r="D454" i="330"/>
  <c r="C454" i="330"/>
  <c r="N453" i="330"/>
  <c r="M453" i="330"/>
  <c r="I453" i="330"/>
  <c r="H453" i="330"/>
  <c r="G453" i="330"/>
  <c r="F453" i="330"/>
  <c r="E453" i="330"/>
  <c r="D453" i="330"/>
  <c r="C453" i="330"/>
  <c r="N452" i="330"/>
  <c r="M452" i="330"/>
  <c r="I452" i="330"/>
  <c r="H452" i="330"/>
  <c r="G452" i="330"/>
  <c r="F452" i="330"/>
  <c r="E452" i="330"/>
  <c r="D452" i="330"/>
  <c r="C452" i="330"/>
  <c r="N451" i="330"/>
  <c r="M451" i="330"/>
  <c r="I451" i="330"/>
  <c r="H451" i="330"/>
  <c r="G451" i="330"/>
  <c r="F451" i="330"/>
  <c r="E451" i="330"/>
  <c r="D451" i="330"/>
  <c r="C451" i="330"/>
  <c r="N450" i="330"/>
  <c r="M450" i="330"/>
  <c r="I450" i="330"/>
  <c r="I484" i="330" s="1"/>
  <c r="H450" i="330"/>
  <c r="G450" i="330"/>
  <c r="F450" i="330"/>
  <c r="E450" i="330"/>
  <c r="E484" i="330" s="1"/>
  <c r="D450" i="330"/>
  <c r="C450" i="330"/>
  <c r="N448" i="330"/>
  <c r="M448" i="330"/>
  <c r="I448" i="330"/>
  <c r="H448" i="330"/>
  <c r="H469" i="330" s="1"/>
  <c r="G448" i="330"/>
  <c r="F448" i="330"/>
  <c r="E448" i="330"/>
  <c r="D448" i="330"/>
  <c r="D469" i="330" s="1"/>
  <c r="C448" i="330"/>
  <c r="N446" i="330"/>
  <c r="N472" i="330" s="1"/>
  <c r="I446" i="330"/>
  <c r="I472" i="330" s="1"/>
  <c r="H446" i="330"/>
  <c r="H472" i="330" s="1"/>
  <c r="H480" i="330" s="1"/>
  <c r="G446" i="330"/>
  <c r="G472" i="330" s="1"/>
  <c r="G480" i="330" s="1"/>
  <c r="F446" i="330"/>
  <c r="F472" i="330" s="1"/>
  <c r="F480" i="330" s="1"/>
  <c r="E446" i="330"/>
  <c r="E472" i="330" s="1"/>
  <c r="E480" i="330" s="1"/>
  <c r="D446" i="330"/>
  <c r="D472" i="330" s="1"/>
  <c r="C446" i="330"/>
  <c r="C472" i="330" s="1"/>
  <c r="C480" i="330" s="1"/>
  <c r="N445" i="330"/>
  <c r="J445" i="330"/>
  <c r="I445" i="330"/>
  <c r="H445" i="330"/>
  <c r="G445" i="330"/>
  <c r="F445" i="330"/>
  <c r="E445" i="330"/>
  <c r="D445" i="330"/>
  <c r="C445" i="330"/>
  <c r="N444" i="330"/>
  <c r="I444" i="330"/>
  <c r="H444" i="330"/>
  <c r="G444" i="330"/>
  <c r="F444" i="330"/>
  <c r="E444" i="330"/>
  <c r="D444" i="330"/>
  <c r="C444" i="330"/>
  <c r="N443" i="330"/>
  <c r="I443" i="330"/>
  <c r="H443" i="330"/>
  <c r="G443" i="330"/>
  <c r="F443" i="330"/>
  <c r="E443" i="330"/>
  <c r="D443" i="330"/>
  <c r="C443" i="330"/>
  <c r="M442" i="330"/>
  <c r="M468" i="330" s="1"/>
  <c r="M486" i="330" s="1"/>
  <c r="K442" i="330"/>
  <c r="K468" i="330" s="1"/>
  <c r="K486" i="330" s="1"/>
  <c r="J442" i="330"/>
  <c r="L442" i="330" s="1"/>
  <c r="K440" i="330"/>
  <c r="J440" i="330"/>
  <c r="L440" i="330" s="1"/>
  <c r="O440" i="330" s="1"/>
  <c r="O439" i="330"/>
  <c r="M439" i="330"/>
  <c r="M445" i="330" s="1"/>
  <c r="K439" i="330"/>
  <c r="J439" i="330"/>
  <c r="L439" i="330" s="1"/>
  <c r="K437" i="330"/>
  <c r="J437" i="330"/>
  <c r="L437" i="330" s="1"/>
  <c r="O437" i="330" s="1"/>
  <c r="M436" i="330"/>
  <c r="M457" i="330" s="1"/>
  <c r="K436" i="330"/>
  <c r="J436" i="330"/>
  <c r="L436" i="330" s="1"/>
  <c r="O436" i="330" s="1"/>
  <c r="K435" i="330"/>
  <c r="J435" i="330"/>
  <c r="K433" i="330"/>
  <c r="K446" i="330" s="1"/>
  <c r="K472" i="330" s="1"/>
  <c r="J433" i="330"/>
  <c r="J446" i="330" s="1"/>
  <c r="J472" i="330" s="1"/>
  <c r="J480" i="330" s="1"/>
  <c r="K432" i="330"/>
  <c r="K445" i="330" s="1"/>
  <c r="J432" i="330"/>
  <c r="K431" i="330"/>
  <c r="K444" i="330" s="1"/>
  <c r="J431" i="330"/>
  <c r="J444" i="330" s="1"/>
  <c r="K430" i="330"/>
  <c r="J430" i="330"/>
  <c r="C427" i="330"/>
  <c r="N426" i="330"/>
  <c r="M426" i="330"/>
  <c r="K426" i="330"/>
  <c r="I426" i="330"/>
  <c r="H426" i="330"/>
  <c r="G426" i="330"/>
  <c r="F426" i="330"/>
  <c r="E426" i="330"/>
  <c r="D426" i="330"/>
  <c r="C426" i="330"/>
  <c r="N425" i="330"/>
  <c r="M425" i="330"/>
  <c r="K425" i="330"/>
  <c r="I425" i="330"/>
  <c r="H425" i="330"/>
  <c r="G425" i="330"/>
  <c r="F425" i="330"/>
  <c r="E425" i="330"/>
  <c r="D425" i="330"/>
  <c r="C425" i="330"/>
  <c r="N424" i="330"/>
  <c r="M424" i="330"/>
  <c r="K424" i="330"/>
  <c r="J424" i="330"/>
  <c r="I424" i="330"/>
  <c r="H424" i="330"/>
  <c r="G424" i="330"/>
  <c r="F424" i="330"/>
  <c r="E424" i="330"/>
  <c r="D424" i="330"/>
  <c r="C424" i="330"/>
  <c r="O423" i="330"/>
  <c r="K423" i="330"/>
  <c r="J423" i="330"/>
  <c r="L423" i="330" s="1"/>
  <c r="O422" i="330"/>
  <c r="K422" i="330"/>
  <c r="J422" i="330"/>
  <c r="L422" i="330" s="1"/>
  <c r="K421" i="330"/>
  <c r="J421" i="330"/>
  <c r="K420" i="330"/>
  <c r="J420" i="330"/>
  <c r="L420" i="330" s="1"/>
  <c r="O420" i="330" s="1"/>
  <c r="O418" i="330"/>
  <c r="K418" i="330"/>
  <c r="J418" i="330"/>
  <c r="L418" i="330" s="1"/>
  <c r="O417" i="330"/>
  <c r="K417" i="330"/>
  <c r="J417" i="330"/>
  <c r="L417" i="330" s="1"/>
  <c r="K415" i="330"/>
  <c r="J415" i="330"/>
  <c r="K414" i="330"/>
  <c r="J414" i="330"/>
  <c r="O413" i="330"/>
  <c r="K413" i="330"/>
  <c r="J413" i="330"/>
  <c r="L413" i="330" s="1"/>
  <c r="N411" i="330"/>
  <c r="M411" i="330"/>
  <c r="I411" i="330"/>
  <c r="H411" i="330"/>
  <c r="G411" i="330"/>
  <c r="F411" i="330"/>
  <c r="E411" i="330"/>
  <c r="D411" i="330"/>
  <c r="C411" i="330"/>
  <c r="N410" i="330"/>
  <c r="M410" i="330"/>
  <c r="I410" i="330"/>
  <c r="H410" i="330"/>
  <c r="G410" i="330"/>
  <c r="F410" i="330"/>
  <c r="E410" i="330"/>
  <c r="D410" i="330"/>
  <c r="C410" i="330"/>
  <c r="L409" i="330"/>
  <c r="O409" i="330" s="1"/>
  <c r="K409" i="330"/>
  <c r="J409" i="330"/>
  <c r="L408" i="330"/>
  <c r="O408" i="330" s="1"/>
  <c r="K408" i="330"/>
  <c r="J408" i="330"/>
  <c r="K407" i="330"/>
  <c r="L407" i="330" s="1"/>
  <c r="O407" i="330" s="1"/>
  <c r="J407" i="330"/>
  <c r="K406" i="330"/>
  <c r="L406" i="330" s="1"/>
  <c r="O406" i="330" s="1"/>
  <c r="O411" i="330" s="1"/>
  <c r="J406" i="330"/>
  <c r="L404" i="330"/>
  <c r="O404" i="330" s="1"/>
  <c r="K404" i="330"/>
  <c r="J404" i="330"/>
  <c r="J411" i="330" s="1"/>
  <c r="L403" i="330"/>
  <c r="K403" i="330"/>
  <c r="J403" i="330"/>
  <c r="J410" i="330" s="1"/>
  <c r="N401" i="330"/>
  <c r="M401" i="330"/>
  <c r="I401" i="330"/>
  <c r="H401" i="330"/>
  <c r="G401" i="330"/>
  <c r="F401" i="330"/>
  <c r="E401" i="330"/>
  <c r="D401" i="330"/>
  <c r="C401" i="330"/>
  <c r="N400" i="330"/>
  <c r="M400" i="330"/>
  <c r="K400" i="330"/>
  <c r="I400" i="330"/>
  <c r="H400" i="330"/>
  <c r="G400" i="330"/>
  <c r="F400" i="330"/>
  <c r="E400" i="330"/>
  <c r="D400" i="330"/>
  <c r="C400" i="330"/>
  <c r="K399" i="330"/>
  <c r="J399" i="330"/>
  <c r="L399" i="330" s="1"/>
  <c r="O399" i="330" s="1"/>
  <c r="O398" i="330"/>
  <c r="K398" i="330"/>
  <c r="J398" i="330"/>
  <c r="L398" i="330" s="1"/>
  <c r="O397" i="330"/>
  <c r="K397" i="330"/>
  <c r="J397" i="330"/>
  <c r="L397" i="330" s="1"/>
  <c r="K396" i="330"/>
  <c r="J396" i="330"/>
  <c r="L396" i="330" s="1"/>
  <c r="O396" i="330" s="1"/>
  <c r="K395" i="330"/>
  <c r="K459" i="330" s="1"/>
  <c r="J395" i="330"/>
  <c r="O393" i="330"/>
  <c r="K393" i="330"/>
  <c r="K401" i="330" s="1"/>
  <c r="J393" i="330"/>
  <c r="L393" i="330" s="1"/>
  <c r="O392" i="330"/>
  <c r="K392" i="330"/>
  <c r="J392" i="330"/>
  <c r="L392" i="330" s="1"/>
  <c r="N390" i="330"/>
  <c r="M390" i="330"/>
  <c r="I390" i="330"/>
  <c r="H390" i="330"/>
  <c r="G390" i="330"/>
  <c r="F390" i="330"/>
  <c r="E390" i="330"/>
  <c r="D390" i="330"/>
  <c r="C390" i="330"/>
  <c r="N389" i="330"/>
  <c r="M389" i="330"/>
  <c r="I389" i="330"/>
  <c r="H389" i="330"/>
  <c r="G389" i="330"/>
  <c r="F389" i="330"/>
  <c r="E389" i="330"/>
  <c r="D389" i="330"/>
  <c r="C389" i="330"/>
  <c r="L388" i="330"/>
  <c r="O388" i="330" s="1"/>
  <c r="K388" i="330"/>
  <c r="J388" i="330"/>
  <c r="K387" i="330"/>
  <c r="L387" i="330" s="1"/>
  <c r="O387" i="330" s="1"/>
  <c r="J387" i="330"/>
  <c r="K386" i="330"/>
  <c r="L386" i="330" s="1"/>
  <c r="O386" i="330" s="1"/>
  <c r="J386" i="330"/>
  <c r="L385" i="330"/>
  <c r="O385" i="330" s="1"/>
  <c r="K385" i="330"/>
  <c r="J385" i="330"/>
  <c r="L383" i="330"/>
  <c r="K383" i="330"/>
  <c r="K390" i="330" s="1"/>
  <c r="J383" i="330"/>
  <c r="J390" i="330" s="1"/>
  <c r="K382" i="330"/>
  <c r="J382" i="330"/>
  <c r="J389" i="330" s="1"/>
  <c r="N380" i="330"/>
  <c r="M380" i="330"/>
  <c r="I380" i="330"/>
  <c r="H380" i="330"/>
  <c r="G380" i="330"/>
  <c r="F380" i="330"/>
  <c r="E380" i="330"/>
  <c r="D380" i="330"/>
  <c r="C380" i="330"/>
  <c r="N379" i="330"/>
  <c r="M379" i="330"/>
  <c r="K379" i="330"/>
  <c r="I379" i="330"/>
  <c r="H379" i="330"/>
  <c r="G379" i="330"/>
  <c r="F379" i="330"/>
  <c r="E379" i="330"/>
  <c r="D379" i="330"/>
  <c r="C379" i="330"/>
  <c r="O378" i="330"/>
  <c r="K378" i="330"/>
  <c r="J378" i="330"/>
  <c r="L378" i="330" s="1"/>
  <c r="O377" i="330"/>
  <c r="K377" i="330"/>
  <c r="J377" i="330"/>
  <c r="L377" i="330" s="1"/>
  <c r="K376" i="330"/>
  <c r="J376" i="330"/>
  <c r="L376" i="330" s="1"/>
  <c r="O376" i="330" s="1"/>
  <c r="O379" i="330" s="1"/>
  <c r="K374" i="330"/>
  <c r="K380" i="330" s="1"/>
  <c r="J374" i="330"/>
  <c r="L374" i="330" s="1"/>
  <c r="O373" i="330"/>
  <c r="K373" i="330"/>
  <c r="J373" i="330"/>
  <c r="L373" i="330" s="1"/>
  <c r="N371" i="330"/>
  <c r="M371" i="330"/>
  <c r="K371" i="330"/>
  <c r="I371" i="330"/>
  <c r="H371" i="330"/>
  <c r="G371" i="330"/>
  <c r="F371" i="330"/>
  <c r="E371" i="330"/>
  <c r="D371" i="330"/>
  <c r="C371" i="330"/>
  <c r="N370" i="330"/>
  <c r="M370" i="330"/>
  <c r="K370" i="330"/>
  <c r="I370" i="330"/>
  <c r="H370" i="330"/>
  <c r="G370" i="330"/>
  <c r="F370" i="330"/>
  <c r="E370" i="330"/>
  <c r="D370" i="330"/>
  <c r="C370" i="330"/>
  <c r="N369" i="330"/>
  <c r="M369" i="330"/>
  <c r="K369" i="330"/>
  <c r="I369" i="330"/>
  <c r="H369" i="330"/>
  <c r="G369" i="330"/>
  <c r="F369" i="330"/>
  <c r="E369" i="330"/>
  <c r="D369" i="330"/>
  <c r="C369" i="330"/>
  <c r="L368" i="330"/>
  <c r="O368" i="330" s="1"/>
  <c r="K368" i="330"/>
  <c r="J368" i="330"/>
  <c r="L367" i="330"/>
  <c r="O367" i="330" s="1"/>
  <c r="K367" i="330"/>
  <c r="J367" i="330"/>
  <c r="L366" i="330"/>
  <c r="L463" i="330" s="1"/>
  <c r="K366" i="330"/>
  <c r="K463" i="330" s="1"/>
  <c r="J366" i="330"/>
  <c r="J463" i="330" s="1"/>
  <c r="L364" i="330"/>
  <c r="O364" i="330" s="1"/>
  <c r="K364" i="330"/>
  <c r="J364" i="330"/>
  <c r="L363" i="330"/>
  <c r="O363" i="330" s="1"/>
  <c r="K363" i="330"/>
  <c r="J363" i="330"/>
  <c r="L361" i="330"/>
  <c r="L371" i="330" s="1"/>
  <c r="K361" i="330"/>
  <c r="J361" i="330"/>
  <c r="J371" i="330" s="1"/>
  <c r="L360" i="330"/>
  <c r="L370" i="330" s="1"/>
  <c r="K360" i="330"/>
  <c r="J360" i="330"/>
  <c r="J370" i="330" s="1"/>
  <c r="L359" i="330"/>
  <c r="L369" i="330" s="1"/>
  <c r="K359" i="330"/>
  <c r="J359" i="330"/>
  <c r="J369" i="330" s="1"/>
  <c r="N357" i="330"/>
  <c r="M357" i="330"/>
  <c r="K357" i="330"/>
  <c r="J357" i="330"/>
  <c r="I357" i="330"/>
  <c r="H357" i="330"/>
  <c r="G357" i="330"/>
  <c r="F357" i="330"/>
  <c r="E357" i="330"/>
  <c r="D357" i="330"/>
  <c r="C357" i="330"/>
  <c r="N356" i="330"/>
  <c r="M356" i="330"/>
  <c r="K356" i="330"/>
  <c r="I356" i="330"/>
  <c r="H356" i="330"/>
  <c r="G356" i="330"/>
  <c r="F356" i="330"/>
  <c r="E356" i="330"/>
  <c r="D356" i="330"/>
  <c r="C356" i="330"/>
  <c r="N355" i="330"/>
  <c r="N427" i="330" s="1"/>
  <c r="M355" i="330"/>
  <c r="K355" i="330"/>
  <c r="J355" i="330"/>
  <c r="I355" i="330"/>
  <c r="H355" i="330"/>
  <c r="G355" i="330"/>
  <c r="F355" i="330"/>
  <c r="F427" i="330" s="1"/>
  <c r="E355" i="330"/>
  <c r="D355" i="330"/>
  <c r="C355" i="330"/>
  <c r="L354" i="330"/>
  <c r="K354" i="330"/>
  <c r="J354" i="330"/>
  <c r="J465" i="330" s="1"/>
  <c r="L353" i="330"/>
  <c r="O353" i="330" s="1"/>
  <c r="K353" i="330"/>
  <c r="J353" i="330"/>
  <c r="L352" i="330"/>
  <c r="O352" i="330" s="1"/>
  <c r="K352" i="330"/>
  <c r="J352" i="330"/>
  <c r="L350" i="330"/>
  <c r="O350" i="330" s="1"/>
  <c r="K350" i="330"/>
  <c r="J350" i="330"/>
  <c r="L349" i="330"/>
  <c r="O349" i="330" s="1"/>
  <c r="K349" i="330"/>
  <c r="J349" i="330"/>
  <c r="L348" i="330"/>
  <c r="O348" i="330" s="1"/>
  <c r="K348" i="330"/>
  <c r="J348" i="330"/>
  <c r="L347" i="330"/>
  <c r="K347" i="330"/>
  <c r="K453" i="330" s="1"/>
  <c r="J347" i="330"/>
  <c r="J453" i="330" s="1"/>
  <c r="L346" i="330"/>
  <c r="O346" i="330" s="1"/>
  <c r="K346" i="330"/>
  <c r="J346" i="330"/>
  <c r="L344" i="330"/>
  <c r="K344" i="330"/>
  <c r="J344" i="330"/>
  <c r="L343" i="330"/>
  <c r="K343" i="330"/>
  <c r="J343" i="330"/>
  <c r="J356" i="330" s="1"/>
  <c r="L342" i="330"/>
  <c r="K342" i="330"/>
  <c r="J342" i="330"/>
  <c r="N340" i="330"/>
  <c r="M340" i="330"/>
  <c r="I340" i="330"/>
  <c r="H340" i="330"/>
  <c r="G340" i="330"/>
  <c r="F340" i="330"/>
  <c r="E340" i="330"/>
  <c r="D340" i="330"/>
  <c r="C340" i="330"/>
  <c r="N339" i="330"/>
  <c r="M339" i="330"/>
  <c r="I339" i="330"/>
  <c r="H339" i="330"/>
  <c r="G339" i="330"/>
  <c r="F339" i="330"/>
  <c r="E339" i="330"/>
  <c r="D339" i="330"/>
  <c r="C339" i="330"/>
  <c r="L338" i="330"/>
  <c r="K338" i="330"/>
  <c r="K466" i="330" s="1"/>
  <c r="J338" i="330"/>
  <c r="K337" i="330"/>
  <c r="J337" i="330"/>
  <c r="K336" i="330"/>
  <c r="K460" i="330" s="1"/>
  <c r="J336" i="330"/>
  <c r="K334" i="330"/>
  <c r="J334" i="330"/>
  <c r="L334" i="330" s="1"/>
  <c r="L333" i="330"/>
  <c r="K333" i="330"/>
  <c r="J333" i="330"/>
  <c r="N331" i="330"/>
  <c r="M331" i="330"/>
  <c r="I331" i="330"/>
  <c r="H331" i="330"/>
  <c r="G331" i="330"/>
  <c r="F331" i="330"/>
  <c r="E331" i="330"/>
  <c r="D331" i="330"/>
  <c r="C331" i="330"/>
  <c r="N330" i="330"/>
  <c r="M330" i="330"/>
  <c r="I330" i="330"/>
  <c r="H330" i="330"/>
  <c r="G330" i="330"/>
  <c r="F330" i="330"/>
  <c r="E330" i="330"/>
  <c r="D330" i="330"/>
  <c r="C330" i="330"/>
  <c r="N329" i="330"/>
  <c r="M329" i="330"/>
  <c r="I329" i="330"/>
  <c r="H329" i="330"/>
  <c r="G329" i="330"/>
  <c r="F329" i="330"/>
  <c r="E329" i="330"/>
  <c r="D329" i="330"/>
  <c r="C329" i="330"/>
  <c r="K328" i="330"/>
  <c r="L328" i="330" s="1"/>
  <c r="O328" i="330" s="1"/>
  <c r="J328" i="330"/>
  <c r="K326" i="330"/>
  <c r="J326" i="330"/>
  <c r="L326" i="330" s="1"/>
  <c r="O326" i="330" s="1"/>
  <c r="K325" i="330"/>
  <c r="J325" i="330"/>
  <c r="L325" i="330" s="1"/>
  <c r="O325" i="330" s="1"/>
  <c r="L323" i="330"/>
  <c r="K323" i="330"/>
  <c r="J323" i="330"/>
  <c r="J331" i="330" s="1"/>
  <c r="K322" i="330"/>
  <c r="J322" i="330"/>
  <c r="K321" i="330"/>
  <c r="K329" i="330" s="1"/>
  <c r="J321" i="330"/>
  <c r="N318" i="330"/>
  <c r="M318" i="330"/>
  <c r="I318" i="330"/>
  <c r="H318" i="330"/>
  <c r="G318" i="330"/>
  <c r="F318" i="330"/>
  <c r="E318" i="330"/>
  <c r="D318" i="330"/>
  <c r="C318" i="330"/>
  <c r="N317" i="330"/>
  <c r="M317" i="330"/>
  <c r="I317" i="330"/>
  <c r="H317" i="330"/>
  <c r="G317" i="330"/>
  <c r="F317" i="330"/>
  <c r="E317" i="330"/>
  <c r="D317" i="330"/>
  <c r="C317" i="330"/>
  <c r="N316" i="330"/>
  <c r="K316" i="330"/>
  <c r="I316" i="330"/>
  <c r="H316" i="330"/>
  <c r="G316" i="330"/>
  <c r="E316" i="330"/>
  <c r="D316" i="330"/>
  <c r="C316" i="330"/>
  <c r="K315" i="330"/>
  <c r="J315" i="330"/>
  <c r="L315" i="330" s="1"/>
  <c r="O315" i="330" s="1"/>
  <c r="M313" i="330"/>
  <c r="M316" i="330" s="1"/>
  <c r="K313" i="330"/>
  <c r="K317" i="330" s="1"/>
  <c r="F313" i="330"/>
  <c r="F316" i="330" s="1"/>
  <c r="O312" i="330"/>
  <c r="L312" i="330"/>
  <c r="K312" i="330"/>
  <c r="J312" i="330"/>
  <c r="O311" i="330"/>
  <c r="L311" i="330"/>
  <c r="K311" i="330"/>
  <c r="J311" i="330"/>
  <c r="O309" i="330"/>
  <c r="O318" i="330" s="1"/>
  <c r="L309" i="330"/>
  <c r="K309" i="330"/>
  <c r="K318" i="330" s="1"/>
  <c r="J309" i="330"/>
  <c r="J318" i="330" s="1"/>
  <c r="O308" i="330"/>
  <c r="L308" i="330"/>
  <c r="K308" i="330"/>
  <c r="J308" i="330"/>
  <c r="O307" i="330"/>
  <c r="L307" i="330"/>
  <c r="K307" i="330"/>
  <c r="J307" i="330"/>
  <c r="N305" i="330"/>
  <c r="M305" i="330"/>
  <c r="K305" i="330"/>
  <c r="J305" i="330"/>
  <c r="I305" i="330"/>
  <c r="H305" i="330"/>
  <c r="G305" i="330"/>
  <c r="F305" i="330"/>
  <c r="E305" i="330"/>
  <c r="D305" i="330"/>
  <c r="C305" i="330"/>
  <c r="N304" i="330"/>
  <c r="M304" i="330"/>
  <c r="K304" i="330"/>
  <c r="I304" i="330"/>
  <c r="H304" i="330"/>
  <c r="G304" i="330"/>
  <c r="F304" i="330"/>
  <c r="E304" i="330"/>
  <c r="D304" i="330"/>
  <c r="C304" i="330"/>
  <c r="N303" i="330"/>
  <c r="M303" i="330"/>
  <c r="K303" i="330"/>
  <c r="J303" i="330"/>
  <c r="I303" i="330"/>
  <c r="H303" i="330"/>
  <c r="G303" i="330"/>
  <c r="F303" i="330"/>
  <c r="E303" i="330"/>
  <c r="D303" i="330"/>
  <c r="C303" i="330"/>
  <c r="L302" i="330"/>
  <c r="O302" i="330" s="1"/>
  <c r="K302" i="330"/>
  <c r="J302" i="330"/>
  <c r="L300" i="330"/>
  <c r="O300" i="330" s="1"/>
  <c r="K300" i="330"/>
  <c r="J300" i="330"/>
  <c r="L299" i="330"/>
  <c r="O299" i="330" s="1"/>
  <c r="K299" i="330"/>
  <c r="J299" i="330"/>
  <c r="L298" i="330"/>
  <c r="O298" i="330" s="1"/>
  <c r="K298" i="330"/>
  <c r="J298" i="330"/>
  <c r="L297" i="330"/>
  <c r="O297" i="330" s="1"/>
  <c r="K297" i="330"/>
  <c r="J297" i="330"/>
  <c r="L295" i="330"/>
  <c r="L305" i="330" s="1"/>
  <c r="K295" i="330"/>
  <c r="J295" i="330"/>
  <c r="L294" i="330"/>
  <c r="L304" i="330" s="1"/>
  <c r="K294" i="330"/>
  <c r="J294" i="330"/>
  <c r="J304" i="330" s="1"/>
  <c r="L293" i="330"/>
  <c r="L303" i="330" s="1"/>
  <c r="K293" i="330"/>
  <c r="J293" i="330"/>
  <c r="N291" i="330"/>
  <c r="M291" i="330"/>
  <c r="K291" i="330"/>
  <c r="J291" i="330"/>
  <c r="I291" i="330"/>
  <c r="H291" i="330"/>
  <c r="G291" i="330"/>
  <c r="F291" i="330"/>
  <c r="E291" i="330"/>
  <c r="D291" i="330"/>
  <c r="C291" i="330"/>
  <c r="N290" i="330"/>
  <c r="M290" i="330"/>
  <c r="K290" i="330"/>
  <c r="I290" i="330"/>
  <c r="H290" i="330"/>
  <c r="G290" i="330"/>
  <c r="F290" i="330"/>
  <c r="E290" i="330"/>
  <c r="D290" i="330"/>
  <c r="C290" i="330"/>
  <c r="N289" i="330"/>
  <c r="N319" i="330" s="1"/>
  <c r="M289" i="330"/>
  <c r="K289" i="330"/>
  <c r="J289" i="330"/>
  <c r="I289" i="330"/>
  <c r="I319" i="330" s="1"/>
  <c r="H289" i="330"/>
  <c r="H319" i="330" s="1"/>
  <c r="G289" i="330"/>
  <c r="F289" i="330"/>
  <c r="E289" i="330"/>
  <c r="E319" i="330" s="1"/>
  <c r="D289" i="330"/>
  <c r="C289" i="330"/>
  <c r="L288" i="330"/>
  <c r="O288" i="330" s="1"/>
  <c r="K288" i="330"/>
  <c r="J288" i="330"/>
  <c r="L286" i="330"/>
  <c r="O286" i="330" s="1"/>
  <c r="K286" i="330"/>
  <c r="J286" i="330"/>
  <c r="L285" i="330"/>
  <c r="O285" i="330" s="1"/>
  <c r="K285" i="330"/>
  <c r="J285" i="330"/>
  <c r="L284" i="330"/>
  <c r="K284" i="330"/>
  <c r="K452" i="330" s="1"/>
  <c r="J284" i="330"/>
  <c r="J452" i="330" s="1"/>
  <c r="L283" i="330"/>
  <c r="O283" i="330" s="1"/>
  <c r="K283" i="330"/>
  <c r="J283" i="330"/>
  <c r="L282" i="330"/>
  <c r="O282" i="330" s="1"/>
  <c r="K282" i="330"/>
  <c r="J282" i="330"/>
  <c r="L280" i="330"/>
  <c r="K280" i="330"/>
  <c r="J280" i="330"/>
  <c r="L279" i="330"/>
  <c r="K279" i="330"/>
  <c r="J279" i="330"/>
  <c r="J290" i="330" s="1"/>
  <c r="L278" i="330"/>
  <c r="K278" i="330"/>
  <c r="J278" i="330"/>
  <c r="N274" i="330"/>
  <c r="M274" i="330"/>
  <c r="I274" i="330"/>
  <c r="H274" i="330"/>
  <c r="G274" i="330"/>
  <c r="F274" i="330"/>
  <c r="E274" i="330"/>
  <c r="D274" i="330"/>
  <c r="C274" i="330"/>
  <c r="N273" i="330"/>
  <c r="M273" i="330"/>
  <c r="J273" i="330"/>
  <c r="I273" i="330"/>
  <c r="H273" i="330"/>
  <c r="G273" i="330"/>
  <c r="F273" i="330"/>
  <c r="E273" i="330"/>
  <c r="D273" i="330"/>
  <c r="C273" i="330"/>
  <c r="N272" i="330"/>
  <c r="M272" i="330"/>
  <c r="I272" i="330"/>
  <c r="H272" i="330"/>
  <c r="G272" i="330"/>
  <c r="F272" i="330"/>
  <c r="E272" i="330"/>
  <c r="D272" i="330"/>
  <c r="C272" i="330"/>
  <c r="K271" i="330"/>
  <c r="J271" i="330"/>
  <c r="L271" i="330" s="1"/>
  <c r="O271" i="330" s="1"/>
  <c r="K269" i="330"/>
  <c r="J269" i="330"/>
  <c r="L269" i="330" s="1"/>
  <c r="O269" i="330" s="1"/>
  <c r="K268" i="330"/>
  <c r="J268" i="330"/>
  <c r="L268" i="330" s="1"/>
  <c r="O268" i="330" s="1"/>
  <c r="K267" i="330"/>
  <c r="J267" i="330"/>
  <c r="L267" i="330" s="1"/>
  <c r="O267" i="330" s="1"/>
  <c r="K265" i="330"/>
  <c r="K274" i="330" s="1"/>
  <c r="J265" i="330"/>
  <c r="K264" i="330"/>
  <c r="K273" i="330" s="1"/>
  <c r="J264" i="330"/>
  <c r="L264" i="330" s="1"/>
  <c r="K263" i="330"/>
  <c r="K272" i="330" s="1"/>
  <c r="J263" i="330"/>
  <c r="N261" i="330"/>
  <c r="M261" i="330"/>
  <c r="I261" i="330"/>
  <c r="H261" i="330"/>
  <c r="G261" i="330"/>
  <c r="F261" i="330"/>
  <c r="E261" i="330"/>
  <c r="D261" i="330"/>
  <c r="C261" i="330"/>
  <c r="N260" i="330"/>
  <c r="M260" i="330"/>
  <c r="K260" i="330"/>
  <c r="I260" i="330"/>
  <c r="H260" i="330"/>
  <c r="G260" i="330"/>
  <c r="F260" i="330"/>
  <c r="E260" i="330"/>
  <c r="D260" i="330"/>
  <c r="C260" i="330"/>
  <c r="N259" i="330"/>
  <c r="M259" i="330"/>
  <c r="I259" i="330"/>
  <c r="H259" i="330"/>
  <c r="G259" i="330"/>
  <c r="F259" i="330"/>
  <c r="E259" i="330"/>
  <c r="D259" i="330"/>
  <c r="C259" i="330"/>
  <c r="K258" i="330"/>
  <c r="J258" i="330"/>
  <c r="L258" i="330" s="1"/>
  <c r="O258" i="330" s="1"/>
  <c r="K257" i="330"/>
  <c r="J257" i="330"/>
  <c r="L257" i="330" s="1"/>
  <c r="O257" i="330" s="1"/>
  <c r="L255" i="330"/>
  <c r="O255" i="330" s="1"/>
  <c r="K255" i="330"/>
  <c r="J255" i="330"/>
  <c r="L254" i="330"/>
  <c r="O254" i="330" s="1"/>
  <c r="K254" i="330"/>
  <c r="J254" i="330"/>
  <c r="K253" i="330"/>
  <c r="J253" i="330"/>
  <c r="L253" i="330" s="1"/>
  <c r="O253" i="330" s="1"/>
  <c r="K251" i="330"/>
  <c r="J251" i="330"/>
  <c r="L250" i="330"/>
  <c r="K250" i="330"/>
  <c r="J250" i="330"/>
  <c r="K249" i="330"/>
  <c r="K259" i="330" s="1"/>
  <c r="J249" i="330"/>
  <c r="N247" i="330"/>
  <c r="M247" i="330"/>
  <c r="I247" i="330"/>
  <c r="H247" i="330"/>
  <c r="G247" i="330"/>
  <c r="F247" i="330"/>
  <c r="E247" i="330"/>
  <c r="D247" i="330"/>
  <c r="C247" i="330"/>
  <c r="N246" i="330"/>
  <c r="M246" i="330"/>
  <c r="I246" i="330"/>
  <c r="H246" i="330"/>
  <c r="G246" i="330"/>
  <c r="F246" i="330"/>
  <c r="E246" i="330"/>
  <c r="D246" i="330"/>
  <c r="C246" i="330"/>
  <c r="N245" i="330"/>
  <c r="M245" i="330"/>
  <c r="I245" i="330"/>
  <c r="H245" i="330"/>
  <c r="G245" i="330"/>
  <c r="F245" i="330"/>
  <c r="E245" i="330"/>
  <c r="D245" i="330"/>
  <c r="C245" i="330"/>
  <c r="K244" i="330"/>
  <c r="J244" i="330"/>
  <c r="L244" i="330" s="1"/>
  <c r="O244" i="330" s="1"/>
  <c r="K242" i="330"/>
  <c r="J242" i="330"/>
  <c r="L242" i="330" s="1"/>
  <c r="O242" i="330" s="1"/>
  <c r="K241" i="330"/>
  <c r="J241" i="330"/>
  <c r="L241" i="330" s="1"/>
  <c r="O241" i="330" s="1"/>
  <c r="K239" i="330"/>
  <c r="K247" i="330" s="1"/>
  <c r="J239" i="330"/>
  <c r="K238" i="330"/>
  <c r="K246" i="330" s="1"/>
  <c r="J238" i="330"/>
  <c r="K237" i="330"/>
  <c r="K245" i="330" s="1"/>
  <c r="J237" i="330"/>
  <c r="N235" i="330"/>
  <c r="M235" i="330"/>
  <c r="I235" i="330"/>
  <c r="H235" i="330"/>
  <c r="G235" i="330"/>
  <c r="F235" i="330"/>
  <c r="E235" i="330"/>
  <c r="D235" i="330"/>
  <c r="C235" i="330"/>
  <c r="N234" i="330"/>
  <c r="M234" i="330"/>
  <c r="I234" i="330"/>
  <c r="H234" i="330"/>
  <c r="G234" i="330"/>
  <c r="F234" i="330"/>
  <c r="E234" i="330"/>
  <c r="D234" i="330"/>
  <c r="C234" i="330"/>
  <c r="N233" i="330"/>
  <c r="M233" i="330"/>
  <c r="I233" i="330"/>
  <c r="H233" i="330"/>
  <c r="G233" i="330"/>
  <c r="F233" i="330"/>
  <c r="E233" i="330"/>
  <c r="D233" i="330"/>
  <c r="C233" i="330"/>
  <c r="K232" i="330"/>
  <c r="K235" i="330" s="1"/>
  <c r="J232" i="330"/>
  <c r="K230" i="330"/>
  <c r="J230" i="330"/>
  <c r="L230" i="330" s="1"/>
  <c r="O230" i="330" s="1"/>
  <c r="K229" i="330"/>
  <c r="J229" i="330"/>
  <c r="L229" i="330" s="1"/>
  <c r="O229" i="330" s="1"/>
  <c r="K227" i="330"/>
  <c r="J227" i="330"/>
  <c r="K226" i="330"/>
  <c r="K234" i="330" s="1"/>
  <c r="J226" i="330"/>
  <c r="K225" i="330"/>
  <c r="K233" i="330" s="1"/>
  <c r="J225" i="330"/>
  <c r="L225" i="330" s="1"/>
  <c r="N223" i="330"/>
  <c r="M223" i="330"/>
  <c r="I223" i="330"/>
  <c r="H223" i="330"/>
  <c r="G223" i="330"/>
  <c r="F223" i="330"/>
  <c r="E223" i="330"/>
  <c r="D223" i="330"/>
  <c r="C223" i="330"/>
  <c r="N222" i="330"/>
  <c r="M222" i="330"/>
  <c r="I222" i="330"/>
  <c r="H222" i="330"/>
  <c r="G222" i="330"/>
  <c r="F222" i="330"/>
  <c r="E222" i="330"/>
  <c r="D222" i="330"/>
  <c r="C222" i="330"/>
  <c r="N221" i="330"/>
  <c r="M221" i="330"/>
  <c r="I221" i="330"/>
  <c r="H221" i="330"/>
  <c r="G221" i="330"/>
  <c r="F221" i="330"/>
  <c r="E221" i="330"/>
  <c r="D221" i="330"/>
  <c r="C221" i="330"/>
  <c r="K220" i="330"/>
  <c r="J220" i="330"/>
  <c r="L220" i="330" s="1"/>
  <c r="O220" i="330" s="1"/>
  <c r="K218" i="330"/>
  <c r="J218" i="330"/>
  <c r="L218" i="330" s="1"/>
  <c r="O218" i="330" s="1"/>
  <c r="O217" i="330"/>
  <c r="K217" i="330"/>
  <c r="J217" i="330"/>
  <c r="L217" i="330" s="1"/>
  <c r="K216" i="330"/>
  <c r="J216" i="330"/>
  <c r="K215" i="330"/>
  <c r="J215" i="330"/>
  <c r="L215" i="330" s="1"/>
  <c r="K213" i="330"/>
  <c r="K223" i="330" s="1"/>
  <c r="J213" i="330"/>
  <c r="O212" i="330"/>
  <c r="K212" i="330"/>
  <c r="J212" i="330"/>
  <c r="L212" i="330" s="1"/>
  <c r="K211" i="330"/>
  <c r="K221" i="330" s="1"/>
  <c r="J211" i="330"/>
  <c r="N209" i="330"/>
  <c r="M209" i="330"/>
  <c r="I209" i="330"/>
  <c r="H209" i="330"/>
  <c r="G209" i="330"/>
  <c r="F209" i="330"/>
  <c r="E209" i="330"/>
  <c r="D209" i="330"/>
  <c r="C209" i="330"/>
  <c r="N208" i="330"/>
  <c r="M208" i="330"/>
  <c r="I208" i="330"/>
  <c r="H208" i="330"/>
  <c r="G208" i="330"/>
  <c r="F208" i="330"/>
  <c r="E208" i="330"/>
  <c r="D208" i="330"/>
  <c r="C208" i="330"/>
  <c r="N207" i="330"/>
  <c r="M207" i="330"/>
  <c r="I207" i="330"/>
  <c r="H207" i="330"/>
  <c r="G207" i="330"/>
  <c r="F207" i="330"/>
  <c r="E207" i="330"/>
  <c r="D207" i="330"/>
  <c r="C207" i="330"/>
  <c r="K206" i="330"/>
  <c r="J206" i="330"/>
  <c r="K204" i="330"/>
  <c r="J204" i="330"/>
  <c r="L204" i="330" s="1"/>
  <c r="O204" i="330" s="1"/>
  <c r="K203" i="330"/>
  <c r="J203" i="330"/>
  <c r="L203" i="330" s="1"/>
  <c r="O203" i="330" s="1"/>
  <c r="O202" i="330"/>
  <c r="K202" i="330"/>
  <c r="J202" i="330"/>
  <c r="L202" i="330" s="1"/>
  <c r="K201" i="330"/>
  <c r="K207" i="330" s="1"/>
  <c r="J201" i="330"/>
  <c r="K199" i="330"/>
  <c r="K209" i="330" s="1"/>
  <c r="J199" i="330"/>
  <c r="K198" i="330"/>
  <c r="J198" i="330"/>
  <c r="L198" i="330" s="1"/>
  <c r="O198" i="330" s="1"/>
  <c r="O197" i="330"/>
  <c r="K197" i="330"/>
  <c r="J197" i="330"/>
  <c r="L197" i="330" s="1"/>
  <c r="N195" i="330"/>
  <c r="M195" i="330"/>
  <c r="K195" i="330"/>
  <c r="I195" i="330"/>
  <c r="H195" i="330"/>
  <c r="G195" i="330"/>
  <c r="F195" i="330"/>
  <c r="E195" i="330"/>
  <c r="D195" i="330"/>
  <c r="C195" i="330"/>
  <c r="N194" i="330"/>
  <c r="M194" i="330"/>
  <c r="I194" i="330"/>
  <c r="H194" i="330"/>
  <c r="G194" i="330"/>
  <c r="F194" i="330"/>
  <c r="E194" i="330"/>
  <c r="D194" i="330"/>
  <c r="C194" i="330"/>
  <c r="N193" i="330"/>
  <c r="M193" i="330"/>
  <c r="I193" i="330"/>
  <c r="H193" i="330"/>
  <c r="G193" i="330"/>
  <c r="F193" i="330"/>
  <c r="E193" i="330"/>
  <c r="D193" i="330"/>
  <c r="C193" i="330"/>
  <c r="O192" i="330"/>
  <c r="K192" i="330"/>
  <c r="J192" i="330"/>
  <c r="L192" i="330" s="1"/>
  <c r="K190" i="330"/>
  <c r="J190" i="330"/>
  <c r="K189" i="330"/>
  <c r="J189" i="330"/>
  <c r="L189" i="330" s="1"/>
  <c r="O189" i="330" s="1"/>
  <c r="K187" i="330"/>
  <c r="J187" i="330"/>
  <c r="O186" i="330"/>
  <c r="K186" i="330"/>
  <c r="J186" i="330"/>
  <c r="L186" i="330" s="1"/>
  <c r="K185" i="330"/>
  <c r="K193" i="330" s="1"/>
  <c r="J185" i="330"/>
  <c r="N183" i="330"/>
  <c r="M183" i="330"/>
  <c r="I183" i="330"/>
  <c r="H183" i="330"/>
  <c r="G183" i="330"/>
  <c r="F183" i="330"/>
  <c r="E183" i="330"/>
  <c r="D183" i="330"/>
  <c r="C183" i="330"/>
  <c r="N182" i="330"/>
  <c r="M182" i="330"/>
  <c r="I182" i="330"/>
  <c r="H182" i="330"/>
  <c r="G182" i="330"/>
  <c r="F182" i="330"/>
  <c r="E182" i="330"/>
  <c r="D182" i="330"/>
  <c r="C182" i="330"/>
  <c r="N181" i="330"/>
  <c r="M181" i="330"/>
  <c r="I181" i="330"/>
  <c r="H181" i="330"/>
  <c r="G181" i="330"/>
  <c r="F181" i="330"/>
  <c r="E181" i="330"/>
  <c r="D181" i="330"/>
  <c r="C181" i="330"/>
  <c r="K180" i="330"/>
  <c r="J180" i="330"/>
  <c r="K179" i="330"/>
  <c r="J179" i="330"/>
  <c r="L179" i="330" s="1"/>
  <c r="O179" i="330" s="1"/>
  <c r="K177" i="330"/>
  <c r="J177" i="330"/>
  <c r="L177" i="330" s="1"/>
  <c r="O177" i="330" s="1"/>
  <c r="O176" i="330"/>
  <c r="K176" i="330"/>
  <c r="J176" i="330"/>
  <c r="L176" i="330" s="1"/>
  <c r="K175" i="330"/>
  <c r="K181" i="330" s="1"/>
  <c r="J175" i="330"/>
  <c r="K173" i="330"/>
  <c r="K183" i="330" s="1"/>
  <c r="J173" i="330"/>
  <c r="K172" i="330"/>
  <c r="J172" i="330"/>
  <c r="L172" i="330" s="1"/>
  <c r="O172" i="330" s="1"/>
  <c r="O171" i="330"/>
  <c r="K171" i="330"/>
  <c r="J171" i="330"/>
  <c r="L171" i="330" s="1"/>
  <c r="N169" i="330"/>
  <c r="M169" i="330"/>
  <c r="I169" i="330"/>
  <c r="H169" i="330"/>
  <c r="G169" i="330"/>
  <c r="F169" i="330"/>
  <c r="E169" i="330"/>
  <c r="D169" i="330"/>
  <c r="C169" i="330"/>
  <c r="N168" i="330"/>
  <c r="M168" i="330"/>
  <c r="I168" i="330"/>
  <c r="H168" i="330"/>
  <c r="G168" i="330"/>
  <c r="F168" i="330"/>
  <c r="E168" i="330"/>
  <c r="D168" i="330"/>
  <c r="C168" i="330"/>
  <c r="N167" i="330"/>
  <c r="I167" i="330"/>
  <c r="H167" i="330"/>
  <c r="G167" i="330"/>
  <c r="F167" i="330"/>
  <c r="E167" i="330"/>
  <c r="D167" i="330"/>
  <c r="C167" i="330"/>
  <c r="K166" i="330"/>
  <c r="K169" i="330" s="1"/>
  <c r="J166" i="330"/>
  <c r="M164" i="330"/>
  <c r="M455" i="330" s="1"/>
  <c r="L164" i="330"/>
  <c r="O164" i="330" s="1"/>
  <c r="K164" i="330"/>
  <c r="J164" i="330"/>
  <c r="K163" i="330"/>
  <c r="L163" i="330" s="1"/>
  <c r="O163" i="330" s="1"/>
  <c r="J163" i="330"/>
  <c r="K162" i="330"/>
  <c r="J162" i="330"/>
  <c r="J167" i="330" s="1"/>
  <c r="K160" i="330"/>
  <c r="J160" i="330"/>
  <c r="J169" i="330" s="1"/>
  <c r="L159" i="330"/>
  <c r="O159" i="330" s="1"/>
  <c r="K159" i="330"/>
  <c r="J159" i="330"/>
  <c r="J168" i="330" s="1"/>
  <c r="K158" i="330"/>
  <c r="L158" i="330" s="1"/>
  <c r="J158" i="330"/>
  <c r="N156" i="330"/>
  <c r="M156" i="330"/>
  <c r="I156" i="330"/>
  <c r="H156" i="330"/>
  <c r="G156" i="330"/>
  <c r="F156" i="330"/>
  <c r="E156" i="330"/>
  <c r="D156" i="330"/>
  <c r="C156" i="330"/>
  <c r="N155" i="330"/>
  <c r="M155" i="330"/>
  <c r="I155" i="330"/>
  <c r="H155" i="330"/>
  <c r="G155" i="330"/>
  <c r="F155" i="330"/>
  <c r="E155" i="330"/>
  <c r="D155" i="330"/>
  <c r="C155" i="330"/>
  <c r="N154" i="330"/>
  <c r="M154" i="330"/>
  <c r="I154" i="330"/>
  <c r="H154" i="330"/>
  <c r="G154" i="330"/>
  <c r="F154" i="330"/>
  <c r="E154" i="330"/>
  <c r="D154" i="330"/>
  <c r="C154" i="330"/>
  <c r="K153" i="330"/>
  <c r="J153" i="330"/>
  <c r="L153" i="330" s="1"/>
  <c r="O153" i="330" s="1"/>
  <c r="K151" i="330"/>
  <c r="J151" i="330"/>
  <c r="L151" i="330" s="1"/>
  <c r="O151" i="330" s="1"/>
  <c r="L150" i="330"/>
  <c r="O150" i="330" s="1"/>
  <c r="K150" i="330"/>
  <c r="J150" i="330"/>
  <c r="K149" i="330"/>
  <c r="L149" i="330" s="1"/>
  <c r="O149" i="330" s="1"/>
  <c r="J149" i="330"/>
  <c r="K148" i="330"/>
  <c r="J148" i="330"/>
  <c r="L148" i="330" s="1"/>
  <c r="O148" i="330" s="1"/>
  <c r="K146" i="330"/>
  <c r="J146" i="330"/>
  <c r="J156" i="330" s="1"/>
  <c r="L145" i="330"/>
  <c r="K145" i="330"/>
  <c r="J145" i="330"/>
  <c r="J155" i="330" s="1"/>
  <c r="K144" i="330"/>
  <c r="L144" i="330" s="1"/>
  <c r="J144" i="330"/>
  <c r="N142" i="330"/>
  <c r="M142" i="330"/>
  <c r="I142" i="330"/>
  <c r="H142" i="330"/>
  <c r="G142" i="330"/>
  <c r="F142" i="330"/>
  <c r="E142" i="330"/>
  <c r="D142" i="330"/>
  <c r="C142" i="330"/>
  <c r="N141" i="330"/>
  <c r="M141" i="330"/>
  <c r="K141" i="330"/>
  <c r="I141" i="330"/>
  <c r="H141" i="330"/>
  <c r="G141" i="330"/>
  <c r="F141" i="330"/>
  <c r="E141" i="330"/>
  <c r="D141" i="330"/>
  <c r="C141" i="330"/>
  <c r="N140" i="330"/>
  <c r="M140" i="330"/>
  <c r="I140" i="330"/>
  <c r="H140" i="330"/>
  <c r="G140" i="330"/>
  <c r="E140" i="330"/>
  <c r="D140" i="330"/>
  <c r="C140" i="330"/>
  <c r="C275" i="330" s="1"/>
  <c r="K139" i="330"/>
  <c r="J139" i="330"/>
  <c r="J142" i="330" s="1"/>
  <c r="L137" i="330"/>
  <c r="O137" i="330" s="1"/>
  <c r="K137" i="330"/>
  <c r="J137" i="330"/>
  <c r="J141" i="330" s="1"/>
  <c r="F137" i="330"/>
  <c r="F140" i="330" s="1"/>
  <c r="K136" i="330"/>
  <c r="L136" i="330" s="1"/>
  <c r="O136" i="330" s="1"/>
  <c r="J136" i="330"/>
  <c r="K135" i="330"/>
  <c r="L135" i="330" s="1"/>
  <c r="O135" i="330" s="1"/>
  <c r="J135" i="330"/>
  <c r="K133" i="330"/>
  <c r="K142" i="330" s="1"/>
  <c r="J133" i="330"/>
  <c r="K132" i="330"/>
  <c r="L132" i="330" s="1"/>
  <c r="J132" i="330"/>
  <c r="K131" i="330"/>
  <c r="L131" i="330" s="1"/>
  <c r="J131" i="330"/>
  <c r="J140" i="330" s="1"/>
  <c r="N129" i="330"/>
  <c r="M129" i="330"/>
  <c r="J129" i="330"/>
  <c r="I129" i="330"/>
  <c r="H129" i="330"/>
  <c r="G129" i="330"/>
  <c r="F129" i="330"/>
  <c r="E129" i="330"/>
  <c r="D129" i="330"/>
  <c r="C129" i="330"/>
  <c r="N128" i="330"/>
  <c r="M128" i="330"/>
  <c r="K128" i="330"/>
  <c r="J128" i="330"/>
  <c r="I128" i="330"/>
  <c r="H128" i="330"/>
  <c r="G128" i="330"/>
  <c r="F128" i="330"/>
  <c r="E128" i="330"/>
  <c r="D128" i="330"/>
  <c r="C128" i="330"/>
  <c r="N127" i="330"/>
  <c r="M127" i="330"/>
  <c r="J127" i="330"/>
  <c r="I127" i="330"/>
  <c r="H127" i="330"/>
  <c r="H275" i="330" s="1"/>
  <c r="G127" i="330"/>
  <c r="G275" i="330" s="1"/>
  <c r="F127" i="330"/>
  <c r="E127" i="330"/>
  <c r="D127" i="330"/>
  <c r="C127" i="330"/>
  <c r="K126" i="330"/>
  <c r="L126" i="330" s="1"/>
  <c r="O126" i="330" s="1"/>
  <c r="J126" i="330"/>
  <c r="K124" i="330"/>
  <c r="L124" i="330" s="1"/>
  <c r="O124" i="330" s="1"/>
  <c r="J124" i="330"/>
  <c r="K123" i="330"/>
  <c r="L123" i="330" s="1"/>
  <c r="O123" i="330" s="1"/>
  <c r="J123" i="330"/>
  <c r="K122" i="330"/>
  <c r="L122" i="330" s="1"/>
  <c r="O122" i="330" s="1"/>
  <c r="J122" i="330"/>
  <c r="K120" i="330"/>
  <c r="K129" i="330" s="1"/>
  <c r="J120" i="330"/>
  <c r="K119" i="330"/>
  <c r="L119" i="330" s="1"/>
  <c r="J119" i="330"/>
  <c r="K118" i="330"/>
  <c r="K127" i="330" s="1"/>
  <c r="J118" i="330"/>
  <c r="N115" i="330"/>
  <c r="M115" i="330"/>
  <c r="K115" i="330"/>
  <c r="J115" i="330"/>
  <c r="I115" i="330"/>
  <c r="H115" i="330"/>
  <c r="G115" i="330"/>
  <c r="F115" i="330"/>
  <c r="E115" i="330"/>
  <c r="D115" i="330"/>
  <c r="C115" i="330"/>
  <c r="N114" i="330"/>
  <c r="M114" i="330"/>
  <c r="K114" i="330"/>
  <c r="I114" i="330"/>
  <c r="H114" i="330"/>
  <c r="G114" i="330"/>
  <c r="F114" i="330"/>
  <c r="E114" i="330"/>
  <c r="D114" i="330"/>
  <c r="C114" i="330"/>
  <c r="N113" i="330"/>
  <c r="M113" i="330"/>
  <c r="K113" i="330"/>
  <c r="J113" i="330"/>
  <c r="I113" i="330"/>
  <c r="H113" i="330"/>
  <c r="G113" i="330"/>
  <c r="F113" i="330"/>
  <c r="E113" i="330"/>
  <c r="D113" i="330"/>
  <c r="C113" i="330"/>
  <c r="K112" i="330"/>
  <c r="J112" i="330"/>
  <c r="L112" i="330" s="1"/>
  <c r="O112" i="330" s="1"/>
  <c r="K110" i="330"/>
  <c r="J110" i="330"/>
  <c r="L110" i="330" s="1"/>
  <c r="O110" i="330" s="1"/>
  <c r="K109" i="330"/>
  <c r="J109" i="330"/>
  <c r="L109" i="330" s="1"/>
  <c r="O109" i="330" s="1"/>
  <c r="K108" i="330"/>
  <c r="J108" i="330"/>
  <c r="L108" i="330" s="1"/>
  <c r="O108" i="330" s="1"/>
  <c r="K106" i="330"/>
  <c r="J106" i="330"/>
  <c r="L106" i="330" s="1"/>
  <c r="K105" i="330"/>
  <c r="J105" i="330"/>
  <c r="J114" i="330" s="1"/>
  <c r="K104" i="330"/>
  <c r="J104" i="330"/>
  <c r="L104" i="330" s="1"/>
  <c r="N102" i="330"/>
  <c r="M102" i="330"/>
  <c r="K102" i="330"/>
  <c r="I102" i="330"/>
  <c r="H102" i="330"/>
  <c r="G102" i="330"/>
  <c r="F102" i="330"/>
  <c r="E102" i="330"/>
  <c r="D102" i="330"/>
  <c r="C102" i="330"/>
  <c r="N101" i="330"/>
  <c r="M101" i="330"/>
  <c r="K101" i="330"/>
  <c r="I101" i="330"/>
  <c r="H101" i="330"/>
  <c r="G101" i="330"/>
  <c r="F101" i="330"/>
  <c r="E101" i="330"/>
  <c r="D101" i="330"/>
  <c r="C101" i="330"/>
  <c r="N100" i="330"/>
  <c r="M100" i="330"/>
  <c r="K100" i="330"/>
  <c r="K116" i="330" s="1"/>
  <c r="I100" i="330"/>
  <c r="H100" i="330"/>
  <c r="G100" i="330"/>
  <c r="F100" i="330"/>
  <c r="E100" i="330"/>
  <c r="D100" i="330"/>
  <c r="C100" i="330"/>
  <c r="K99" i="330"/>
  <c r="J99" i="330"/>
  <c r="L99" i="330" s="1"/>
  <c r="O99" i="330" s="1"/>
  <c r="K97" i="330"/>
  <c r="J97" i="330"/>
  <c r="L97" i="330" s="1"/>
  <c r="O97" i="330" s="1"/>
  <c r="K96" i="330"/>
  <c r="J96" i="330"/>
  <c r="L96" i="330" s="1"/>
  <c r="O96" i="330" s="1"/>
  <c r="K95" i="330"/>
  <c r="J95" i="330"/>
  <c r="L95" i="330" s="1"/>
  <c r="O95" i="330" s="1"/>
  <c r="K94" i="330"/>
  <c r="J94" i="330"/>
  <c r="L94" i="330" s="1"/>
  <c r="O94" i="330" s="1"/>
  <c r="K92" i="330"/>
  <c r="J92" i="330"/>
  <c r="J102" i="330" s="1"/>
  <c r="K91" i="330"/>
  <c r="J91" i="330"/>
  <c r="J101" i="330" s="1"/>
  <c r="K90" i="330"/>
  <c r="J90" i="330"/>
  <c r="J100" i="330" s="1"/>
  <c r="N88" i="330"/>
  <c r="M88" i="330"/>
  <c r="L88" i="330"/>
  <c r="K88" i="330"/>
  <c r="J88" i="330"/>
  <c r="I88" i="330"/>
  <c r="H88" i="330"/>
  <c r="G88" i="330"/>
  <c r="F88" i="330"/>
  <c r="E88" i="330"/>
  <c r="D88" i="330"/>
  <c r="C88" i="330"/>
  <c r="N87" i="330"/>
  <c r="M87" i="330"/>
  <c r="K87" i="330"/>
  <c r="I87" i="330"/>
  <c r="H87" i="330"/>
  <c r="G87" i="330"/>
  <c r="F87" i="330"/>
  <c r="E87" i="330"/>
  <c r="D87" i="330"/>
  <c r="C87" i="330"/>
  <c r="N86" i="330"/>
  <c r="M86" i="330"/>
  <c r="M116" i="330" s="1"/>
  <c r="K86" i="330"/>
  <c r="J86" i="330"/>
  <c r="I86" i="330"/>
  <c r="H86" i="330"/>
  <c r="G86" i="330"/>
  <c r="F86" i="330"/>
  <c r="E86" i="330"/>
  <c r="D86" i="330"/>
  <c r="C86" i="330"/>
  <c r="L85" i="330"/>
  <c r="O85" i="330" s="1"/>
  <c r="K85" i="330"/>
  <c r="J85" i="330"/>
  <c r="L83" i="330"/>
  <c r="O83" i="330" s="1"/>
  <c r="K83" i="330"/>
  <c r="J83" i="330"/>
  <c r="L82" i="330"/>
  <c r="O82" i="330" s="1"/>
  <c r="K82" i="330"/>
  <c r="J82" i="330"/>
  <c r="L81" i="330"/>
  <c r="O81" i="330" s="1"/>
  <c r="K81" i="330"/>
  <c r="J81" i="330"/>
  <c r="L79" i="330"/>
  <c r="O79" i="330" s="1"/>
  <c r="O88" i="330" s="1"/>
  <c r="K79" i="330"/>
  <c r="J79" i="330"/>
  <c r="L78" i="330"/>
  <c r="L87" i="330" s="1"/>
  <c r="K78" i="330"/>
  <c r="J78" i="330"/>
  <c r="J87" i="330" s="1"/>
  <c r="L77" i="330"/>
  <c r="L86" i="330" s="1"/>
  <c r="K77" i="330"/>
  <c r="J77" i="330"/>
  <c r="N75" i="330"/>
  <c r="M75" i="330"/>
  <c r="K75" i="330"/>
  <c r="J75" i="330"/>
  <c r="I75" i="330"/>
  <c r="H75" i="330"/>
  <c r="G75" i="330"/>
  <c r="F75" i="330"/>
  <c r="E75" i="330"/>
  <c r="D75" i="330"/>
  <c r="C75" i="330"/>
  <c r="N74" i="330"/>
  <c r="M74" i="330"/>
  <c r="K74" i="330"/>
  <c r="I74" i="330"/>
  <c r="H74" i="330"/>
  <c r="G74" i="330"/>
  <c r="F74" i="330"/>
  <c r="E74" i="330"/>
  <c r="D74" i="330"/>
  <c r="C74" i="330"/>
  <c r="N73" i="330"/>
  <c r="N116" i="330" s="1"/>
  <c r="M73" i="330"/>
  <c r="K73" i="330"/>
  <c r="J73" i="330"/>
  <c r="I73" i="330"/>
  <c r="I116" i="330" s="1"/>
  <c r="H73" i="330"/>
  <c r="G73" i="330"/>
  <c r="F73" i="330"/>
  <c r="E73" i="330"/>
  <c r="D73" i="330"/>
  <c r="C73" i="330"/>
  <c r="L72" i="330"/>
  <c r="O72" i="330" s="1"/>
  <c r="K72" i="330"/>
  <c r="J72" i="330"/>
  <c r="L70" i="330"/>
  <c r="O70" i="330" s="1"/>
  <c r="K70" i="330"/>
  <c r="J70" i="330"/>
  <c r="L69" i="330"/>
  <c r="O69" i="330" s="1"/>
  <c r="K69" i="330"/>
  <c r="J69" i="330"/>
  <c r="L68" i="330"/>
  <c r="O68" i="330" s="1"/>
  <c r="K68" i="330"/>
  <c r="J68" i="330"/>
  <c r="L66" i="330"/>
  <c r="L75" i="330" s="1"/>
  <c r="K66" i="330"/>
  <c r="J66" i="330"/>
  <c r="L65" i="330"/>
  <c r="O65" i="330" s="1"/>
  <c r="O74" i="330" s="1"/>
  <c r="K65" i="330"/>
  <c r="J65" i="330"/>
  <c r="J74" i="330" s="1"/>
  <c r="L64" i="330"/>
  <c r="L73" i="330" s="1"/>
  <c r="K64" i="330"/>
  <c r="J64" i="330"/>
  <c r="N62" i="330"/>
  <c r="M62" i="330"/>
  <c r="K62" i="330"/>
  <c r="J62" i="330"/>
  <c r="I62" i="330"/>
  <c r="H62" i="330"/>
  <c r="G62" i="330"/>
  <c r="F62" i="330"/>
  <c r="E62" i="330"/>
  <c r="D62" i="330"/>
  <c r="C62" i="330"/>
  <c r="N61" i="330"/>
  <c r="M61" i="330"/>
  <c r="K61" i="330"/>
  <c r="I61" i="330"/>
  <c r="H61" i="330"/>
  <c r="G61" i="330"/>
  <c r="F61" i="330"/>
  <c r="E61" i="330"/>
  <c r="D61" i="330"/>
  <c r="C61" i="330"/>
  <c r="N60" i="330"/>
  <c r="M60" i="330"/>
  <c r="K60" i="330"/>
  <c r="J60" i="330"/>
  <c r="I60" i="330"/>
  <c r="H60" i="330"/>
  <c r="G60" i="330"/>
  <c r="F60" i="330"/>
  <c r="E60" i="330"/>
  <c r="D60" i="330"/>
  <c r="C60" i="330"/>
  <c r="K59" i="330"/>
  <c r="J59" i="330"/>
  <c r="L59" i="330" s="1"/>
  <c r="O59" i="330" s="1"/>
  <c r="K57" i="330"/>
  <c r="J57" i="330"/>
  <c r="L57" i="330" s="1"/>
  <c r="O57" i="330" s="1"/>
  <c r="K56" i="330"/>
  <c r="J56" i="330"/>
  <c r="L56" i="330" s="1"/>
  <c r="O56" i="330" s="1"/>
  <c r="K55" i="330"/>
  <c r="J55" i="330"/>
  <c r="L55" i="330" s="1"/>
  <c r="O55" i="330" s="1"/>
  <c r="K53" i="330"/>
  <c r="J53" i="330"/>
  <c r="L53" i="330" s="1"/>
  <c r="K52" i="330"/>
  <c r="J52" i="330"/>
  <c r="J61" i="330" s="1"/>
  <c r="K51" i="330"/>
  <c r="J51" i="330"/>
  <c r="L51" i="330" s="1"/>
  <c r="N49" i="330"/>
  <c r="M49" i="330"/>
  <c r="I49" i="330"/>
  <c r="H49" i="330"/>
  <c r="G49" i="330"/>
  <c r="F49" i="330"/>
  <c r="E49" i="330"/>
  <c r="D49" i="330"/>
  <c r="C49" i="330"/>
  <c r="N48" i="330"/>
  <c r="M48" i="330"/>
  <c r="I48" i="330"/>
  <c r="H48" i="330"/>
  <c r="G48" i="330"/>
  <c r="E48" i="330"/>
  <c r="D48" i="330"/>
  <c r="C48" i="330"/>
  <c r="N47" i="330"/>
  <c r="M47" i="330"/>
  <c r="K47" i="330"/>
  <c r="I47" i="330"/>
  <c r="H47" i="330"/>
  <c r="H116" i="330" s="1"/>
  <c r="G47" i="330"/>
  <c r="G116" i="330" s="1"/>
  <c r="E47" i="330"/>
  <c r="E116" i="330" s="1"/>
  <c r="D47" i="330"/>
  <c r="D116" i="330" s="1"/>
  <c r="C47" i="330"/>
  <c r="C116" i="330" s="1"/>
  <c r="K46" i="330"/>
  <c r="J46" i="330"/>
  <c r="L46" i="330" s="1"/>
  <c r="O46" i="330" s="1"/>
  <c r="K44" i="330"/>
  <c r="F44" i="330"/>
  <c r="K43" i="330"/>
  <c r="J43" i="330"/>
  <c r="L43" i="330" s="1"/>
  <c r="O43" i="330" s="1"/>
  <c r="O42" i="330"/>
  <c r="K42" i="330"/>
  <c r="J42" i="330"/>
  <c r="L42" i="330" s="1"/>
  <c r="K40" i="330"/>
  <c r="K49" i="330" s="1"/>
  <c r="J40" i="330"/>
  <c r="K39" i="330"/>
  <c r="K48" i="330" s="1"/>
  <c r="J39" i="330"/>
  <c r="K38" i="330"/>
  <c r="J38" i="330"/>
  <c r="L38" i="330" s="1"/>
  <c r="I36" i="330"/>
  <c r="N35" i="330"/>
  <c r="M35" i="330"/>
  <c r="I35" i="330"/>
  <c r="H35" i="330"/>
  <c r="G35" i="330"/>
  <c r="F35" i="330"/>
  <c r="E35" i="330"/>
  <c r="D35" i="330"/>
  <c r="C35" i="330"/>
  <c r="N34" i="330"/>
  <c r="M34" i="330"/>
  <c r="I34" i="330"/>
  <c r="H34" i="330"/>
  <c r="G34" i="330"/>
  <c r="F34" i="330"/>
  <c r="E34" i="330"/>
  <c r="D34" i="330"/>
  <c r="C34" i="330"/>
  <c r="N33" i="330"/>
  <c r="M33" i="330"/>
  <c r="I33" i="330"/>
  <c r="H33" i="330"/>
  <c r="G33" i="330"/>
  <c r="F33" i="330"/>
  <c r="E33" i="330"/>
  <c r="E36" i="330" s="1"/>
  <c r="D33" i="330"/>
  <c r="D36" i="330" s="1"/>
  <c r="C33" i="330"/>
  <c r="K32" i="330"/>
  <c r="J32" i="330"/>
  <c r="L32" i="330" s="1"/>
  <c r="O32" i="330" s="1"/>
  <c r="K31" i="330"/>
  <c r="J31" i="330"/>
  <c r="L29" i="330"/>
  <c r="O29" i="330" s="1"/>
  <c r="K29" i="330"/>
  <c r="J29" i="330"/>
  <c r="K28" i="330"/>
  <c r="K456" i="330" s="1"/>
  <c r="J28" i="330"/>
  <c r="J456" i="330" s="1"/>
  <c r="K27" i="330"/>
  <c r="J27" i="330"/>
  <c r="L27" i="330" s="1"/>
  <c r="O27" i="330" s="1"/>
  <c r="K26" i="330"/>
  <c r="J26" i="330"/>
  <c r="L26" i="330" s="1"/>
  <c r="O26" i="330" s="1"/>
  <c r="L25" i="330"/>
  <c r="K25" i="330"/>
  <c r="J25" i="330"/>
  <c r="K24" i="330"/>
  <c r="K33" i="330" s="1"/>
  <c r="J24" i="330"/>
  <c r="K22" i="330"/>
  <c r="K35" i="330" s="1"/>
  <c r="J22" i="330"/>
  <c r="J35" i="330" s="1"/>
  <c r="K21" i="330"/>
  <c r="J21" i="330"/>
  <c r="J34" i="330" s="1"/>
  <c r="L20" i="330"/>
  <c r="O20" i="330" s="1"/>
  <c r="K20" i="330"/>
  <c r="J20" i="330"/>
  <c r="N18" i="330"/>
  <c r="M18" i="330"/>
  <c r="M471" i="330" s="1"/>
  <c r="M479" i="330" s="1"/>
  <c r="I18" i="330"/>
  <c r="H18" i="330"/>
  <c r="H471" i="330" s="1"/>
  <c r="H479" i="330" s="1"/>
  <c r="G18" i="330"/>
  <c r="F18" i="330"/>
  <c r="E18" i="330"/>
  <c r="D18" i="330"/>
  <c r="D471" i="330" s="1"/>
  <c r="C18" i="330"/>
  <c r="N17" i="330"/>
  <c r="N470" i="330" s="1"/>
  <c r="N478" i="330" s="1"/>
  <c r="M17" i="330"/>
  <c r="I17" i="330"/>
  <c r="H17" i="330"/>
  <c r="G17" i="330"/>
  <c r="F17" i="330"/>
  <c r="E17" i="330"/>
  <c r="D17" i="330"/>
  <c r="D470" i="330" s="1"/>
  <c r="D478" i="330" s="1"/>
  <c r="C17" i="330"/>
  <c r="N16" i="330"/>
  <c r="N36" i="330" s="1"/>
  <c r="M16" i="330"/>
  <c r="M36" i="330" s="1"/>
  <c r="K16" i="330"/>
  <c r="K36" i="330" s="1"/>
  <c r="J16" i="330"/>
  <c r="I16" i="330"/>
  <c r="H16" i="330"/>
  <c r="H36" i="330" s="1"/>
  <c r="H276" i="330" s="1"/>
  <c r="G16" i="330"/>
  <c r="G36" i="330" s="1"/>
  <c r="G276" i="330" s="1"/>
  <c r="F16" i="330"/>
  <c r="F36" i="330" s="1"/>
  <c r="E16" i="330"/>
  <c r="D16" i="330"/>
  <c r="C16" i="330"/>
  <c r="C36" i="330" s="1"/>
  <c r="C276" i="330" s="1"/>
  <c r="K15" i="330"/>
  <c r="J15" i="330"/>
  <c r="K13" i="330"/>
  <c r="J13" i="330"/>
  <c r="K12" i="330"/>
  <c r="J12" i="330"/>
  <c r="K11" i="330"/>
  <c r="J11" i="330"/>
  <c r="J454" i="330" s="1"/>
  <c r="K10" i="330"/>
  <c r="J10" i="330"/>
  <c r="L10" i="330" s="1"/>
  <c r="K8" i="330"/>
  <c r="K18" i="330" s="1"/>
  <c r="J8" i="330"/>
  <c r="L8" i="330" s="1"/>
  <c r="K7" i="330"/>
  <c r="K17" i="330" s="1"/>
  <c r="J7" i="330"/>
  <c r="L7" i="330" s="1"/>
  <c r="K6" i="330"/>
  <c r="J6" i="330"/>
  <c r="O10" i="330" l="1"/>
  <c r="F276" i="330"/>
  <c r="L60" i="330"/>
  <c r="O51" i="330"/>
  <c r="O60" i="330" s="1"/>
  <c r="O53" i="330"/>
  <c r="O62" i="330" s="1"/>
  <c r="L62" i="330"/>
  <c r="O119" i="330"/>
  <c r="O128" i="330" s="1"/>
  <c r="L128" i="330"/>
  <c r="L222" i="330"/>
  <c r="L113" i="330"/>
  <c r="O104" i="330"/>
  <c r="O113" i="330" s="1"/>
  <c r="O106" i="330"/>
  <c r="O115" i="330" s="1"/>
  <c r="L115" i="330"/>
  <c r="O131" i="330"/>
  <c r="O140" i="330" s="1"/>
  <c r="O158" i="330"/>
  <c r="O167" i="330" s="1"/>
  <c r="O8" i="330"/>
  <c r="G428" i="330"/>
  <c r="G447" i="330" s="1"/>
  <c r="L141" i="330"/>
  <c r="O132" i="330"/>
  <c r="O141" i="330" s="1"/>
  <c r="O7" i="330"/>
  <c r="H428" i="330"/>
  <c r="H447" i="330" s="1"/>
  <c r="O144" i="330"/>
  <c r="O154" i="330" s="1"/>
  <c r="L154" i="330"/>
  <c r="H470" i="330"/>
  <c r="H478" i="330" s="1"/>
  <c r="L451" i="330"/>
  <c r="O25" i="330"/>
  <c r="O451" i="330" s="1"/>
  <c r="J48" i="330"/>
  <c r="L39" i="330"/>
  <c r="F455" i="330"/>
  <c r="F48" i="330"/>
  <c r="F470" i="330" s="1"/>
  <c r="F478" i="330" s="1"/>
  <c r="J223" i="330"/>
  <c r="L213" i="330"/>
  <c r="K448" i="330"/>
  <c r="K450" i="330"/>
  <c r="K455" i="330"/>
  <c r="K464" i="330"/>
  <c r="J33" i="330"/>
  <c r="J36" i="330" s="1"/>
  <c r="J451" i="330"/>
  <c r="K461" i="330"/>
  <c r="L74" i="330"/>
  <c r="O78" i="330"/>
  <c r="O87" i="330" s="1"/>
  <c r="P86" i="330" s="1"/>
  <c r="L90" i="330"/>
  <c r="L92" i="330"/>
  <c r="L120" i="330"/>
  <c r="E275" i="330"/>
  <c r="E276" i="330" s="1"/>
  <c r="E428" i="330" s="1"/>
  <c r="E447" i="330" s="1"/>
  <c r="I275" i="330"/>
  <c r="N275" i="330"/>
  <c r="N276" i="330" s="1"/>
  <c r="N428" i="330" s="1"/>
  <c r="N447" i="330" s="1"/>
  <c r="K140" i="330"/>
  <c r="K275" i="330" s="1"/>
  <c r="K276" i="330" s="1"/>
  <c r="K428" i="330" s="1"/>
  <c r="K447" i="330" s="1"/>
  <c r="K156" i="330"/>
  <c r="K471" i="330" s="1"/>
  <c r="K154" i="330"/>
  <c r="L162" i="330"/>
  <c r="O162" i="330" s="1"/>
  <c r="K167" i="330"/>
  <c r="K182" i="330"/>
  <c r="J194" i="330"/>
  <c r="K208" i="330"/>
  <c r="O215" i="330"/>
  <c r="O222" i="330" s="1"/>
  <c r="J221" i="330"/>
  <c r="O225" i="330"/>
  <c r="J235" i="330"/>
  <c r="L227" i="330"/>
  <c r="J246" i="330"/>
  <c r="L238" i="330"/>
  <c r="L249" i="330"/>
  <c r="J261" i="330"/>
  <c r="L251" i="330"/>
  <c r="L273" i="330"/>
  <c r="O264" i="330"/>
  <c r="O273" i="330" s="1"/>
  <c r="J329" i="330"/>
  <c r="L321" i="330"/>
  <c r="L337" i="330"/>
  <c r="O337" i="330" s="1"/>
  <c r="K339" i="330"/>
  <c r="K427" i="330" s="1"/>
  <c r="D477" i="330"/>
  <c r="D475" i="330"/>
  <c r="D483" i="330" s="1"/>
  <c r="H477" i="330"/>
  <c r="H475" i="330"/>
  <c r="H483" i="330" s="1"/>
  <c r="F484" i="330"/>
  <c r="J450" i="330"/>
  <c r="I477" i="330"/>
  <c r="I475" i="330"/>
  <c r="I483" i="330" s="1"/>
  <c r="K34" i="330"/>
  <c r="I276" i="330"/>
  <c r="F47" i="330"/>
  <c r="F116" i="330" s="1"/>
  <c r="L155" i="330"/>
  <c r="O145" i="330"/>
  <c r="O155" i="330" s="1"/>
  <c r="K155" i="330"/>
  <c r="O168" i="330"/>
  <c r="J183" i="330"/>
  <c r="L173" i="330"/>
  <c r="J193" i="330"/>
  <c r="J209" i="330"/>
  <c r="L199" i="330"/>
  <c r="J222" i="330"/>
  <c r="L290" i="330"/>
  <c r="O279" i="330"/>
  <c r="L452" i="330"/>
  <c r="O284" i="330"/>
  <c r="O452" i="330" s="1"/>
  <c r="L357" i="330"/>
  <c r="O344" i="330"/>
  <c r="L465" i="330"/>
  <c r="O354" i="330"/>
  <c r="O465" i="330" s="1"/>
  <c r="J426" i="330"/>
  <c r="L415" i="330"/>
  <c r="J448" i="330"/>
  <c r="J457" i="330"/>
  <c r="J464" i="330"/>
  <c r="E470" i="330"/>
  <c r="I470" i="330"/>
  <c r="I478" i="330" s="1"/>
  <c r="E471" i="330"/>
  <c r="I471" i="330"/>
  <c r="I479" i="330" s="1"/>
  <c r="N471" i="330"/>
  <c r="N479" i="330" s="1"/>
  <c r="L24" i="330"/>
  <c r="O24" i="330" s="1"/>
  <c r="L28" i="330"/>
  <c r="J461" i="330"/>
  <c r="J44" i="330"/>
  <c r="J455" i="330" s="1"/>
  <c r="O64" i="330"/>
  <c r="O73" i="330" s="1"/>
  <c r="O66" i="330"/>
  <c r="O75" i="330" s="1"/>
  <c r="P73" i="330" s="1"/>
  <c r="D275" i="330"/>
  <c r="D276" i="330" s="1"/>
  <c r="D428" i="330" s="1"/>
  <c r="D447" i="330" s="1"/>
  <c r="J181" i="330"/>
  <c r="J275" i="330" s="1"/>
  <c r="J195" i="330"/>
  <c r="L187" i="330"/>
  <c r="J207" i="330"/>
  <c r="J233" i="330"/>
  <c r="J247" i="330"/>
  <c r="L239" i="330"/>
  <c r="L260" i="330"/>
  <c r="O250" i="330"/>
  <c r="O260" i="330" s="1"/>
  <c r="L289" i="330"/>
  <c r="O278" i="330"/>
  <c r="K454" i="330"/>
  <c r="K457" i="330"/>
  <c r="J17" i="330"/>
  <c r="F471" i="330"/>
  <c r="F479" i="330" s="1"/>
  <c r="J18" i="330"/>
  <c r="L22" i="330"/>
  <c r="O77" i="330"/>
  <c r="O86" i="330" s="1"/>
  <c r="L91" i="330"/>
  <c r="L118" i="330"/>
  <c r="L6" i="330"/>
  <c r="L11" i="330"/>
  <c r="L12" i="330"/>
  <c r="L17" i="330" s="1"/>
  <c r="L13" i="330"/>
  <c r="L15" i="330"/>
  <c r="C470" i="330"/>
  <c r="C478" i="330" s="1"/>
  <c r="G470" i="330"/>
  <c r="G478" i="330" s="1"/>
  <c r="L21" i="330"/>
  <c r="K451" i="330"/>
  <c r="L31" i="330"/>
  <c r="L33" i="330"/>
  <c r="O38" i="330"/>
  <c r="L40" i="330"/>
  <c r="J49" i="330"/>
  <c r="L52" i="330"/>
  <c r="L105" i="330"/>
  <c r="F275" i="330"/>
  <c r="L133" i="330"/>
  <c r="L139" i="330"/>
  <c r="O139" i="330" s="1"/>
  <c r="J154" i="330"/>
  <c r="L146" i="330"/>
  <c r="K168" i="330"/>
  <c r="K470" i="330" s="1"/>
  <c r="K478" i="330" s="1"/>
  <c r="L160" i="330"/>
  <c r="L166" i="330"/>
  <c r="O166" i="330" s="1"/>
  <c r="L168" i="330"/>
  <c r="L175" i="330"/>
  <c r="L180" i="330"/>
  <c r="O180" i="330" s="1"/>
  <c r="J182" i="330"/>
  <c r="L185" i="330"/>
  <c r="K194" i="330"/>
  <c r="L190" i="330"/>
  <c r="O190" i="330" s="1"/>
  <c r="O194" i="330" s="1"/>
  <c r="L201" i="330"/>
  <c r="L206" i="330"/>
  <c r="O206" i="330" s="1"/>
  <c r="J208" i="330"/>
  <c r="L211" i="330"/>
  <c r="K222" i="330"/>
  <c r="L216" i="330"/>
  <c r="O216" i="330" s="1"/>
  <c r="L226" i="330"/>
  <c r="L232" i="330"/>
  <c r="O232" i="330" s="1"/>
  <c r="J234" i="330"/>
  <c r="J245" i="330"/>
  <c r="L237" i="330"/>
  <c r="J260" i="330"/>
  <c r="L291" i="330"/>
  <c r="O280" i="330"/>
  <c r="O291" i="330" s="1"/>
  <c r="D319" i="330"/>
  <c r="M319" i="330"/>
  <c r="O293" i="330"/>
  <c r="O303" i="330" s="1"/>
  <c r="O294" i="330"/>
  <c r="O304" i="330" s="1"/>
  <c r="O295" i="330"/>
  <c r="O305" i="330" s="1"/>
  <c r="J460" i="330"/>
  <c r="L336" i="330"/>
  <c r="J340" i="330"/>
  <c r="J379" i="330"/>
  <c r="J380" i="330"/>
  <c r="K389" i="330"/>
  <c r="L382" i="330"/>
  <c r="O403" i="330"/>
  <c r="O410" i="330" s="1"/>
  <c r="L410" i="330"/>
  <c r="K261" i="330"/>
  <c r="J272" i="330"/>
  <c r="L263" i="330"/>
  <c r="J274" i="330"/>
  <c r="L265" i="330"/>
  <c r="F319" i="330"/>
  <c r="O323" i="330"/>
  <c r="O331" i="330" s="1"/>
  <c r="L331" i="330"/>
  <c r="O333" i="330"/>
  <c r="L339" i="330"/>
  <c r="I427" i="330"/>
  <c r="L356" i="330"/>
  <c r="O343" i="330"/>
  <c r="O356" i="330" s="1"/>
  <c r="C471" i="330"/>
  <c r="C479" i="330" s="1"/>
  <c r="G471" i="330"/>
  <c r="G479" i="330" s="1"/>
  <c r="M167" i="330"/>
  <c r="M275" i="330" s="1"/>
  <c r="M276" i="330" s="1"/>
  <c r="M428" i="330" s="1"/>
  <c r="M447" i="330" s="1"/>
  <c r="J259" i="330"/>
  <c r="L318" i="330"/>
  <c r="K330" i="330"/>
  <c r="L322" i="330"/>
  <c r="O334" i="330"/>
  <c r="L340" i="330"/>
  <c r="L466" i="330"/>
  <c r="O338" i="330"/>
  <c r="O466" i="330" s="1"/>
  <c r="L355" i="330"/>
  <c r="O342" i="330"/>
  <c r="O355" i="330" s="1"/>
  <c r="L453" i="330"/>
  <c r="O347" i="330"/>
  <c r="O453" i="330" s="1"/>
  <c r="O383" i="330"/>
  <c r="O390" i="330" s="1"/>
  <c r="L390" i="330"/>
  <c r="J462" i="330"/>
  <c r="L421" i="330"/>
  <c r="L468" i="330"/>
  <c r="L486" i="330" s="1"/>
  <c r="O442" i="330"/>
  <c r="O468" i="330" s="1"/>
  <c r="O486" i="330" s="1"/>
  <c r="M485" i="330"/>
  <c r="M488" i="330" s="1"/>
  <c r="G427" i="330"/>
  <c r="K340" i="330"/>
  <c r="L380" i="330"/>
  <c r="J459" i="330"/>
  <c r="J485" i="330" s="1"/>
  <c r="L395" i="330"/>
  <c r="K411" i="330"/>
  <c r="L414" i="330"/>
  <c r="J425" i="330"/>
  <c r="E477" i="330"/>
  <c r="E475" i="330"/>
  <c r="E483" i="330" s="1"/>
  <c r="C319" i="330"/>
  <c r="C428" i="330" s="1"/>
  <c r="C447" i="330" s="1"/>
  <c r="G319" i="330"/>
  <c r="K319" i="330"/>
  <c r="J330" i="330"/>
  <c r="J339" i="330"/>
  <c r="J427" i="330" s="1"/>
  <c r="J466" i="330"/>
  <c r="D427" i="330"/>
  <c r="H427" i="330"/>
  <c r="M427" i="330"/>
  <c r="O359" i="330"/>
  <c r="O360" i="330"/>
  <c r="O370" i="330" s="1"/>
  <c r="O361" i="330"/>
  <c r="O366" i="330"/>
  <c r="O463" i="330" s="1"/>
  <c r="L379" i="330"/>
  <c r="L401" i="330"/>
  <c r="L411" i="330"/>
  <c r="L424" i="330"/>
  <c r="E488" i="330"/>
  <c r="I488" i="330"/>
  <c r="J313" i="330"/>
  <c r="K331" i="330"/>
  <c r="E427" i="330"/>
  <c r="O374" i="330"/>
  <c r="O380" i="330" s="1"/>
  <c r="L400" i="330"/>
  <c r="J400" i="330"/>
  <c r="J401" i="330"/>
  <c r="K410" i="330"/>
  <c r="N469" i="330"/>
  <c r="N485" i="330"/>
  <c r="K465" i="330"/>
  <c r="K485" i="330"/>
  <c r="J443" i="330"/>
  <c r="L432" i="330"/>
  <c r="L435" i="330"/>
  <c r="O435" i="330" s="1"/>
  <c r="M443" i="330"/>
  <c r="M446" i="330"/>
  <c r="M472" i="330" s="1"/>
  <c r="M480" i="330" s="1"/>
  <c r="F469" i="330"/>
  <c r="C484" i="330"/>
  <c r="C488" i="330" s="1"/>
  <c r="G484" i="330"/>
  <c r="G488" i="330" s="1"/>
  <c r="M484" i="330"/>
  <c r="F488" i="330"/>
  <c r="H488" i="330"/>
  <c r="K443" i="330"/>
  <c r="C469" i="330"/>
  <c r="G469" i="330"/>
  <c r="D484" i="330"/>
  <c r="D488" i="330" s="1"/>
  <c r="H484" i="330"/>
  <c r="N488" i="330"/>
  <c r="L430" i="330"/>
  <c r="L431" i="330"/>
  <c r="L433" i="330"/>
  <c r="M444" i="330"/>
  <c r="M470" i="330" s="1"/>
  <c r="M478" i="330" s="1"/>
  <c r="M466" i="330"/>
  <c r="M469" i="330" s="1"/>
  <c r="M477" i="330" l="1"/>
  <c r="M475" i="330"/>
  <c r="M483" i="330" s="1"/>
  <c r="P221" i="330"/>
  <c r="N477" i="330"/>
  <c r="N475" i="330"/>
  <c r="N483" i="330" s="1"/>
  <c r="J317" i="330"/>
  <c r="J470" i="330" s="1"/>
  <c r="J478" i="330" s="1"/>
  <c r="L313" i="330"/>
  <c r="O226" i="330"/>
  <c r="O234" i="330" s="1"/>
  <c r="L234" i="330"/>
  <c r="O175" i="330"/>
  <c r="O450" i="330" s="1"/>
  <c r="L182" i="330"/>
  <c r="L142" i="330"/>
  <c r="O133" i="330"/>
  <c r="O142" i="330" s="1"/>
  <c r="P259" i="330"/>
  <c r="O251" i="330"/>
  <c r="O261" i="330" s="1"/>
  <c r="L261" i="330"/>
  <c r="F428" i="330"/>
  <c r="F447" i="330" s="1"/>
  <c r="G475" i="330"/>
  <c r="G483" i="330" s="1"/>
  <c r="G477" i="330"/>
  <c r="O265" i="330"/>
  <c r="O274" i="330" s="1"/>
  <c r="P272" i="330" s="1"/>
  <c r="L274" i="330"/>
  <c r="P303" i="330"/>
  <c r="O185" i="330"/>
  <c r="O193" i="330" s="1"/>
  <c r="L193" i="330"/>
  <c r="O146" i="330"/>
  <c r="O156" i="330" s="1"/>
  <c r="L156" i="330"/>
  <c r="L461" i="330"/>
  <c r="O31" i="330"/>
  <c r="O461" i="330" s="1"/>
  <c r="L454" i="330"/>
  <c r="O11" i="330"/>
  <c r="O454" i="330" s="1"/>
  <c r="O18" i="330"/>
  <c r="L207" i="330"/>
  <c r="C475" i="330"/>
  <c r="C483" i="330" s="1"/>
  <c r="C477" i="330"/>
  <c r="L330" i="330"/>
  <c r="O322" i="330"/>
  <c r="O330" i="330" s="1"/>
  <c r="P329" i="330" s="1"/>
  <c r="O201" i="330"/>
  <c r="L208" i="330"/>
  <c r="L49" i="330"/>
  <c r="O40" i="330"/>
  <c r="O49" i="330" s="1"/>
  <c r="L464" i="330"/>
  <c r="O15" i="330"/>
  <c r="O464" i="330" s="1"/>
  <c r="L448" i="330"/>
  <c r="O6" i="330"/>
  <c r="L16" i="330"/>
  <c r="L36" i="330" s="1"/>
  <c r="O22" i="330"/>
  <c r="L35" i="330"/>
  <c r="O289" i="330"/>
  <c r="O239" i="330"/>
  <c r="O247" i="330" s="1"/>
  <c r="L247" i="330"/>
  <c r="O187" i="330"/>
  <c r="O195" i="330" s="1"/>
  <c r="P193" i="330" s="1"/>
  <c r="L195" i="330"/>
  <c r="J469" i="330"/>
  <c r="I428" i="330"/>
  <c r="I447" i="330" s="1"/>
  <c r="J484" i="330"/>
  <c r="J488" i="330" s="1"/>
  <c r="O321" i="330"/>
  <c r="O329" i="330" s="1"/>
  <c r="L329" i="330"/>
  <c r="O249" i="330"/>
  <c r="O259" i="330" s="1"/>
  <c r="L259" i="330"/>
  <c r="O92" i="330"/>
  <c r="O102" i="330" s="1"/>
  <c r="L102" i="330"/>
  <c r="L233" i="330"/>
  <c r="P140" i="330"/>
  <c r="L18" i="330"/>
  <c r="L140" i="330"/>
  <c r="L194" i="330"/>
  <c r="O431" i="330"/>
  <c r="O444" i="330" s="1"/>
  <c r="L444" i="330"/>
  <c r="L427" i="330"/>
  <c r="O382" i="330"/>
  <c r="O389" i="330" s="1"/>
  <c r="L389" i="330"/>
  <c r="L245" i="330"/>
  <c r="O237" i="330"/>
  <c r="O245" i="330" s="1"/>
  <c r="L61" i="330"/>
  <c r="O52" i="330"/>
  <c r="O61" i="330" s="1"/>
  <c r="P60" i="330" s="1"/>
  <c r="O12" i="330"/>
  <c r="O91" i="330"/>
  <c r="O101" i="330" s="1"/>
  <c r="P100" i="330" s="1"/>
  <c r="L101" i="330"/>
  <c r="L456" i="330"/>
  <c r="O28" i="330"/>
  <c r="O456" i="330" s="1"/>
  <c r="K469" i="330"/>
  <c r="L443" i="330"/>
  <c r="O430" i="330"/>
  <c r="O443" i="330" s="1"/>
  <c r="O371" i="330"/>
  <c r="P369" i="330" s="1"/>
  <c r="O414" i="330"/>
  <c r="O425" i="330" s="1"/>
  <c r="P424" i="330" s="1"/>
  <c r="L425" i="330"/>
  <c r="L462" i="330"/>
  <c r="O421" i="330"/>
  <c r="O339" i="330"/>
  <c r="L460" i="330"/>
  <c r="O336" i="330"/>
  <c r="O460" i="330" s="1"/>
  <c r="L44" i="330"/>
  <c r="J47" i="330"/>
  <c r="J116" i="330" s="1"/>
  <c r="J276" i="330" s="1"/>
  <c r="J428" i="330" s="1"/>
  <c r="J447" i="330" s="1"/>
  <c r="L235" i="330"/>
  <c r="O227" i="330"/>
  <c r="O235" i="330" s="1"/>
  <c r="L129" i="330"/>
  <c r="O120" i="330"/>
  <c r="O129" i="330" s="1"/>
  <c r="P127" i="330" s="1"/>
  <c r="L181" i="330"/>
  <c r="F477" i="330"/>
  <c r="F475" i="330"/>
  <c r="F483" i="330" s="1"/>
  <c r="L446" i="330"/>
  <c r="L472" i="330" s="1"/>
  <c r="L480" i="330" s="1"/>
  <c r="O433" i="330"/>
  <c r="O446" i="330" s="1"/>
  <c r="O472" i="330" s="1"/>
  <c r="O480" i="330" s="1"/>
  <c r="L445" i="330"/>
  <c r="O432" i="330"/>
  <c r="O445" i="330" s="1"/>
  <c r="O369" i="330"/>
  <c r="L459" i="330"/>
  <c r="O395" i="330"/>
  <c r="O263" i="330"/>
  <c r="O272" i="330" s="1"/>
  <c r="L272" i="330"/>
  <c r="J316" i="330"/>
  <c r="J319" i="330" s="1"/>
  <c r="O211" i="330"/>
  <c r="O221" i="330" s="1"/>
  <c r="L221" i="330"/>
  <c r="O160" i="330"/>
  <c r="O169" i="330" s="1"/>
  <c r="P167" i="330" s="1"/>
  <c r="L169" i="330"/>
  <c r="L114" i="330"/>
  <c r="O105" i="330"/>
  <c r="O114" i="330" s="1"/>
  <c r="P113" i="330" s="1"/>
  <c r="L34" i="330"/>
  <c r="O21" i="330"/>
  <c r="O34" i="330" s="1"/>
  <c r="L457" i="330"/>
  <c r="O13" i="330"/>
  <c r="O457" i="330" s="1"/>
  <c r="O118" i="330"/>
  <c r="O127" i="330" s="1"/>
  <c r="L127" i="330"/>
  <c r="L275" i="330" s="1"/>
  <c r="J471" i="330"/>
  <c r="J479" i="330" s="1"/>
  <c r="O415" i="330"/>
  <c r="O426" i="330" s="1"/>
  <c r="L426" i="330"/>
  <c r="O357" i="330"/>
  <c r="P355" i="330" s="1"/>
  <c r="O290" i="330"/>
  <c r="P289" i="330" s="1"/>
  <c r="L209" i="330"/>
  <c r="O199" i="330"/>
  <c r="O209" i="330" s="1"/>
  <c r="L183" i="330"/>
  <c r="O173" i="330"/>
  <c r="O183" i="330" s="1"/>
  <c r="P154" i="330"/>
  <c r="L246" i="330"/>
  <c r="O238" i="330"/>
  <c r="O246" i="330" s="1"/>
  <c r="O233" i="330"/>
  <c r="L100" i="330"/>
  <c r="O90" i="330"/>
  <c r="O100" i="330" s="1"/>
  <c r="K484" i="330"/>
  <c r="K488" i="330" s="1"/>
  <c r="O213" i="330"/>
  <c r="O223" i="330" s="1"/>
  <c r="L223" i="330"/>
  <c r="L48" i="330"/>
  <c r="O39" i="330"/>
  <c r="O17" i="330"/>
  <c r="L167" i="330"/>
  <c r="L450" i="330"/>
  <c r="K475" i="330" l="1"/>
  <c r="K483" i="330" s="1"/>
  <c r="K477" i="330"/>
  <c r="P443" i="330"/>
  <c r="J477" i="330"/>
  <c r="J475" i="330"/>
  <c r="J483" i="330" s="1"/>
  <c r="O207" i="330"/>
  <c r="O208" i="330"/>
  <c r="P207" i="330" s="1"/>
  <c r="O33" i="330"/>
  <c r="O459" i="330"/>
  <c r="O400" i="330"/>
  <c r="O427" i="330" s="1"/>
  <c r="O401" i="330"/>
  <c r="O44" i="330"/>
  <c r="O47" i="330" s="1"/>
  <c r="O116" i="330" s="1"/>
  <c r="L47" i="330"/>
  <c r="L116" i="330" s="1"/>
  <c r="L276" i="330" s="1"/>
  <c r="L428" i="330" s="1"/>
  <c r="L447" i="330" s="1"/>
  <c r="O462" i="330"/>
  <c r="O424" i="330"/>
  <c r="O16" i="330"/>
  <c r="O448" i="330"/>
  <c r="L471" i="330"/>
  <c r="L479" i="330" s="1"/>
  <c r="O182" i="330"/>
  <c r="P181" i="330" s="1"/>
  <c r="O181" i="330"/>
  <c r="O275" i="330" s="1"/>
  <c r="P16" i="330"/>
  <c r="L485" i="330"/>
  <c r="L455" i="330"/>
  <c r="L484" i="330" s="1"/>
  <c r="O340" i="330"/>
  <c r="P233" i="330"/>
  <c r="O48" i="330"/>
  <c r="P47" i="330" s="1"/>
  <c r="P245" i="330"/>
  <c r="O35" i="330"/>
  <c r="O471" i="330" s="1"/>
  <c r="O479" i="330" s="1"/>
  <c r="O313" i="330"/>
  <c r="L316" i="330"/>
  <c r="L319" i="330" s="1"/>
  <c r="L317" i="330"/>
  <c r="L470" i="330" s="1"/>
  <c r="L478" i="330" s="1"/>
  <c r="L469" i="330" l="1"/>
  <c r="P33" i="330"/>
  <c r="O485" i="330"/>
  <c r="L488" i="330"/>
  <c r="O36" i="330"/>
  <c r="O276" i="330" s="1"/>
  <c r="O317" i="330"/>
  <c r="P316" i="330" s="1"/>
  <c r="O316" i="330"/>
  <c r="O319" i="330" s="1"/>
  <c r="O455" i="330"/>
  <c r="O484" i="330" s="1"/>
  <c r="O428" i="330" l="1"/>
  <c r="O447" i="330" s="1"/>
  <c r="O470" i="330"/>
  <c r="L477" i="330"/>
  <c r="L475" i="330"/>
  <c r="L483" i="330" s="1"/>
  <c r="O488" i="330"/>
  <c r="O469" i="330"/>
  <c r="O475" i="330" l="1"/>
  <c r="O483" i="330" s="1"/>
  <c r="O477" i="330"/>
  <c r="P469" i="330"/>
  <c r="O478" i="330"/>
  <c r="G35" i="239" l="1"/>
  <c r="G34" i="239"/>
  <c r="D35" i="261"/>
  <c r="D34" i="261"/>
  <c r="G258" i="303" l="1"/>
  <c r="L268" i="244"/>
  <c r="H268" i="244"/>
  <c r="L267" i="244"/>
  <c r="H267" i="244"/>
  <c r="P267" i="244" l="1"/>
  <c r="P268" i="244"/>
  <c r="C16" i="329"/>
  <c r="C6" i="329"/>
  <c r="C5" i="329"/>
  <c r="C8" i="329" l="1"/>
  <c r="C18" i="329" s="1"/>
  <c r="C19" i="329"/>
  <c r="AB47" i="328"/>
  <c r="Y47" i="328"/>
  <c r="V47" i="328"/>
  <c r="S47" i="328"/>
  <c r="P47" i="328"/>
  <c r="M47" i="328"/>
  <c r="J47" i="328"/>
  <c r="G47" i="328"/>
  <c r="AB41" i="328"/>
  <c r="Y41" i="328"/>
  <c r="V41" i="328"/>
  <c r="S41" i="328"/>
  <c r="P41" i="328"/>
  <c r="M41" i="328"/>
  <c r="J41" i="328"/>
  <c r="G41" i="328"/>
  <c r="AB40" i="328"/>
  <c r="Y40" i="328"/>
  <c r="V40" i="328"/>
  <c r="S40" i="328"/>
  <c r="P40" i="328"/>
  <c r="M40" i="328"/>
  <c r="J40" i="328"/>
  <c r="G40" i="328"/>
  <c r="AA49" i="328" l="1"/>
  <c r="Z49" i="328"/>
  <c r="X49" i="328"/>
  <c r="W49" i="328"/>
  <c r="U49" i="328"/>
  <c r="T49" i="328"/>
  <c r="Q49" i="328"/>
  <c r="O49" i="328"/>
  <c r="L49" i="328"/>
  <c r="K49" i="328"/>
  <c r="I49" i="328"/>
  <c r="H49" i="328"/>
  <c r="F49" i="328"/>
  <c r="E49" i="328"/>
  <c r="AB48" i="328"/>
  <c r="Y48" i="328"/>
  <c r="V48" i="328"/>
  <c r="S48" i="328"/>
  <c r="P48" i="328"/>
  <c r="M48" i="328"/>
  <c r="J48" i="328"/>
  <c r="G48" i="328"/>
  <c r="AB46" i="328"/>
  <c r="Y46" i="328"/>
  <c r="V46" i="328"/>
  <c r="S46" i="328"/>
  <c r="P46" i="328"/>
  <c r="M46" i="328"/>
  <c r="J46" i="328"/>
  <c r="G46" i="328"/>
  <c r="AB45" i="328"/>
  <c r="Y45" i="328"/>
  <c r="V45" i="328"/>
  <c r="S45" i="328"/>
  <c r="P45" i="328"/>
  <c r="M45" i="328"/>
  <c r="J45" i="328"/>
  <c r="G45" i="328"/>
  <c r="AB44" i="328"/>
  <c r="Y44" i="328"/>
  <c r="V44" i="328"/>
  <c r="S44" i="328"/>
  <c r="P44" i="328"/>
  <c r="M44" i="328"/>
  <c r="J44" i="328"/>
  <c r="G44" i="328"/>
  <c r="AB43" i="328"/>
  <c r="Y43" i="328"/>
  <c r="V43" i="328"/>
  <c r="S43" i="328"/>
  <c r="P43" i="328"/>
  <c r="M43" i="328"/>
  <c r="J43" i="328"/>
  <c r="G43" i="328"/>
  <c r="AB42" i="328"/>
  <c r="Y42" i="328"/>
  <c r="V42" i="328"/>
  <c r="S42" i="328"/>
  <c r="P42" i="328"/>
  <c r="M42" i="328"/>
  <c r="J42" i="328"/>
  <c r="G42" i="328"/>
  <c r="AB39" i="328"/>
  <c r="Y39" i="328"/>
  <c r="V39" i="328"/>
  <c r="S39" i="328"/>
  <c r="P39" i="328"/>
  <c r="M39" i="328"/>
  <c r="J39" i="328"/>
  <c r="G39" i="328"/>
  <c r="AB38" i="328"/>
  <c r="Y38" i="328"/>
  <c r="V38" i="328"/>
  <c r="S38" i="328"/>
  <c r="P38" i="328"/>
  <c r="M38" i="328"/>
  <c r="J38" i="328"/>
  <c r="G38" i="328"/>
  <c r="AB37" i="328"/>
  <c r="Y37" i="328"/>
  <c r="V37" i="328"/>
  <c r="S37" i="328"/>
  <c r="P37" i="328"/>
  <c r="M37" i="328"/>
  <c r="J37" i="328"/>
  <c r="G37" i="328"/>
  <c r="AB36" i="328"/>
  <c r="Y36" i="328"/>
  <c r="V36" i="328"/>
  <c r="S36" i="328"/>
  <c r="P36" i="328"/>
  <c r="M36" i="328"/>
  <c r="J36" i="328"/>
  <c r="G36" i="328"/>
  <c r="D36" i="328"/>
  <c r="D49" i="328" s="1"/>
  <c r="AB35" i="328"/>
  <c r="Y35" i="328"/>
  <c r="V35" i="328"/>
  <c r="S35" i="328"/>
  <c r="P35" i="328"/>
  <c r="M35" i="328"/>
  <c r="J35" i="328"/>
  <c r="G35" i="328"/>
  <c r="AB34" i="328"/>
  <c r="Y34" i="328"/>
  <c r="V34" i="328"/>
  <c r="S34" i="328"/>
  <c r="P34" i="328"/>
  <c r="M34" i="328"/>
  <c r="J34" i="328"/>
  <c r="G34" i="328"/>
  <c r="AB33" i="328"/>
  <c r="Y33" i="328"/>
  <c r="V33" i="328"/>
  <c r="S33" i="328"/>
  <c r="P33" i="328"/>
  <c r="M33" i="328"/>
  <c r="J33" i="328"/>
  <c r="G33" i="328"/>
  <c r="AB32" i="328"/>
  <c r="Y32" i="328"/>
  <c r="V32" i="328"/>
  <c r="S32" i="328"/>
  <c r="P32" i="328"/>
  <c r="M32" i="328"/>
  <c r="J32" i="328"/>
  <c r="G32" i="328"/>
  <c r="AB31" i="328"/>
  <c r="Y31" i="328"/>
  <c r="V31" i="328"/>
  <c r="S31" i="328"/>
  <c r="P31" i="328"/>
  <c r="M31" i="328"/>
  <c r="J31" i="328"/>
  <c r="G31" i="328"/>
  <c r="AB30" i="328"/>
  <c r="Y30" i="328"/>
  <c r="V30" i="328"/>
  <c r="S30" i="328"/>
  <c r="P30" i="328"/>
  <c r="M30" i="328"/>
  <c r="J30" i="328"/>
  <c r="G30" i="328"/>
  <c r="AB29" i="328"/>
  <c r="Y29" i="328"/>
  <c r="V29" i="328"/>
  <c r="S29" i="328"/>
  <c r="P29" i="328"/>
  <c r="M29" i="328"/>
  <c r="J29" i="328"/>
  <c r="G29" i="328"/>
  <c r="AB28" i="328"/>
  <c r="Y28" i="328"/>
  <c r="V28" i="328"/>
  <c r="S28" i="328"/>
  <c r="P28" i="328"/>
  <c r="N49" i="328"/>
  <c r="M28" i="328"/>
  <c r="J28" i="328"/>
  <c r="G28" i="328"/>
  <c r="AB27" i="328"/>
  <c r="Y27" i="328"/>
  <c r="V27" i="328"/>
  <c r="S27" i="328"/>
  <c r="P27" i="328"/>
  <c r="M27" i="328"/>
  <c r="J27" i="328"/>
  <c r="G27" i="328"/>
  <c r="AB26" i="328"/>
  <c r="Y26" i="328"/>
  <c r="V26" i="328"/>
  <c r="S26" i="328"/>
  <c r="P26" i="328"/>
  <c r="M26" i="328"/>
  <c r="J26" i="328"/>
  <c r="G26" i="328"/>
  <c r="AB25" i="328"/>
  <c r="Y25" i="328"/>
  <c r="V25" i="328"/>
  <c r="S25" i="328"/>
  <c r="P25" i="328"/>
  <c r="M25" i="328"/>
  <c r="J25" i="328"/>
  <c r="G25" i="328"/>
  <c r="AB24" i="328"/>
  <c r="Y24" i="328"/>
  <c r="V24" i="328"/>
  <c r="S24" i="328"/>
  <c r="P24" i="328"/>
  <c r="M24" i="328"/>
  <c r="J24" i="328"/>
  <c r="G24" i="328"/>
  <c r="AB23" i="328"/>
  <c r="Y23" i="328"/>
  <c r="V23" i="328"/>
  <c r="S23" i="328"/>
  <c r="P23" i="328"/>
  <c r="M23" i="328"/>
  <c r="J23" i="328"/>
  <c r="G23" i="328"/>
  <c r="AB22" i="328"/>
  <c r="Y22" i="328"/>
  <c r="V22" i="328"/>
  <c r="S22" i="328"/>
  <c r="P22" i="328"/>
  <c r="M22" i="328"/>
  <c r="J22" i="328"/>
  <c r="G22" i="328"/>
  <c r="AB21" i="328"/>
  <c r="Y21" i="328"/>
  <c r="V21" i="328"/>
  <c r="S21" i="328"/>
  <c r="P21" i="328"/>
  <c r="M21" i="328"/>
  <c r="J21" i="328"/>
  <c r="G21" i="328"/>
  <c r="AB20" i="328"/>
  <c r="Y20" i="328"/>
  <c r="V20" i="328"/>
  <c r="S20" i="328"/>
  <c r="P20" i="328"/>
  <c r="M20" i="328"/>
  <c r="J20" i="328"/>
  <c r="G20" i="328"/>
  <c r="AB19" i="328"/>
  <c r="Y19" i="328"/>
  <c r="V19" i="328"/>
  <c r="S19" i="328"/>
  <c r="P19" i="328"/>
  <c r="M19" i="328"/>
  <c r="J19" i="328"/>
  <c r="G19" i="328"/>
  <c r="AB18" i="328"/>
  <c r="Y18" i="328"/>
  <c r="V18" i="328"/>
  <c r="S18" i="328"/>
  <c r="P18" i="328"/>
  <c r="M18" i="328"/>
  <c r="J18" i="328"/>
  <c r="G18" i="328"/>
  <c r="AB17" i="328"/>
  <c r="Y17" i="328"/>
  <c r="V17" i="328"/>
  <c r="S17" i="328"/>
  <c r="P17" i="328"/>
  <c r="M17" i="328"/>
  <c r="J17" i="328"/>
  <c r="G17" i="328"/>
  <c r="AB16" i="328"/>
  <c r="Y16" i="328"/>
  <c r="V16" i="328"/>
  <c r="S16" i="328"/>
  <c r="P16" i="328"/>
  <c r="M16" i="328"/>
  <c r="J16" i="328"/>
  <c r="G16" i="328"/>
  <c r="AB15" i="328"/>
  <c r="Y15" i="328"/>
  <c r="V15" i="328"/>
  <c r="S15" i="328"/>
  <c r="P15" i="328"/>
  <c r="M15" i="328"/>
  <c r="J15" i="328"/>
  <c r="G15" i="328"/>
  <c r="AB14" i="328"/>
  <c r="Y14" i="328"/>
  <c r="V14" i="328"/>
  <c r="S14" i="328"/>
  <c r="P14" i="328"/>
  <c r="M14" i="328"/>
  <c r="J14" i="328"/>
  <c r="G14" i="328"/>
  <c r="AB13" i="328"/>
  <c r="Y13" i="328"/>
  <c r="V13" i="328"/>
  <c r="S13" i="328"/>
  <c r="P13" i="328"/>
  <c r="M13" i="328"/>
  <c r="J13" i="328"/>
  <c r="G13" i="328"/>
  <c r="AB12" i="328"/>
  <c r="Y12" i="328"/>
  <c r="V12" i="328"/>
  <c r="S12" i="328"/>
  <c r="P12" i="328"/>
  <c r="M12" i="328"/>
  <c r="J12" i="328"/>
  <c r="G12" i="328"/>
  <c r="AB11" i="328"/>
  <c r="Y11" i="328"/>
  <c r="V11" i="328"/>
  <c r="S11" i="328"/>
  <c r="P11" i="328"/>
  <c r="M11" i="328"/>
  <c r="J11" i="328"/>
  <c r="G11" i="328"/>
  <c r="AB10" i="328"/>
  <c r="Y10" i="328"/>
  <c r="V10" i="328"/>
  <c r="S10" i="328"/>
  <c r="P10" i="328"/>
  <c r="M10" i="328"/>
  <c r="J10" i="328"/>
  <c r="G10" i="328"/>
  <c r="AB9" i="328"/>
  <c r="Y9" i="328"/>
  <c r="V9" i="328"/>
  <c r="S9" i="328"/>
  <c r="P9" i="328"/>
  <c r="M9" i="328"/>
  <c r="J9" i="328"/>
  <c r="G9" i="328"/>
  <c r="AB8" i="328"/>
  <c r="Y8" i="328"/>
  <c r="V8" i="328"/>
  <c r="S8" i="328"/>
  <c r="P8" i="328"/>
  <c r="M8" i="328"/>
  <c r="J8" i="328"/>
  <c r="J49" i="328" s="1"/>
  <c r="G8" i="328"/>
  <c r="M49" i="328" l="1"/>
  <c r="Y49" i="328"/>
  <c r="P49" i="328"/>
  <c r="G49" i="328"/>
  <c r="V49" i="328"/>
  <c r="AB49" i="328"/>
  <c r="S49" i="328"/>
  <c r="R49" i="328"/>
  <c r="F32" i="327" l="1"/>
  <c r="E32" i="327"/>
  <c r="D32" i="327"/>
  <c r="C32" i="327"/>
  <c r="B32" i="327"/>
  <c r="G31" i="327"/>
  <c r="G32" i="327" s="1"/>
  <c r="F28" i="327"/>
  <c r="E28" i="327"/>
  <c r="D28" i="327"/>
  <c r="C28" i="327"/>
  <c r="B28" i="327"/>
  <c r="G27" i="327"/>
  <c r="G26" i="327"/>
  <c r="F23" i="327"/>
  <c r="E23" i="327"/>
  <c r="G22" i="327"/>
  <c r="G21" i="327"/>
  <c r="C21" i="327"/>
  <c r="B21" i="327"/>
  <c r="C20" i="327"/>
  <c r="B20" i="327"/>
  <c r="C19" i="327"/>
  <c r="B19" i="327"/>
  <c r="G19" i="327" s="1"/>
  <c r="G18" i="327"/>
  <c r="G17" i="327"/>
  <c r="G16" i="327"/>
  <c r="C15" i="327"/>
  <c r="B15" i="327"/>
  <c r="G15" i="327" s="1"/>
  <c r="C14" i="327"/>
  <c r="B14" i="327"/>
  <c r="G13" i="327"/>
  <c r="D12" i="327"/>
  <c r="D23" i="327" s="1"/>
  <c r="D33" i="327" s="1"/>
  <c r="C12" i="327"/>
  <c r="G11" i="327"/>
  <c r="G10" i="327"/>
  <c r="G9" i="327"/>
  <c r="C11" i="266"/>
  <c r="C16" i="266"/>
  <c r="AK61" i="239"/>
  <c r="AK59" i="239"/>
  <c r="E59" i="261"/>
  <c r="K59" i="261" s="1"/>
  <c r="E60" i="261"/>
  <c r="B23" i="327" l="1"/>
  <c r="B33" i="327" s="1"/>
  <c r="E33" i="327"/>
  <c r="C23" i="327"/>
  <c r="C33" i="327" s="1"/>
  <c r="F33" i="327"/>
  <c r="G20" i="327"/>
  <c r="G28" i="327"/>
  <c r="G12" i="327"/>
  <c r="G14" i="327"/>
  <c r="AG61" i="239"/>
  <c r="AE59" i="239"/>
  <c r="AE60" i="239"/>
  <c r="AJ59" i="239"/>
  <c r="AI59" i="239"/>
  <c r="G23" i="327" l="1"/>
  <c r="G33" i="327" s="1"/>
  <c r="AG59" i="239"/>
  <c r="AH59" i="239" s="1"/>
  <c r="AF59" i="239"/>
  <c r="AC59" i="239"/>
  <c r="AB59" i="239"/>
  <c r="AA59" i="239"/>
  <c r="Y59" i="239"/>
  <c r="X59" i="239"/>
  <c r="W59" i="239"/>
  <c r="V59" i="239"/>
  <c r="R59" i="239"/>
  <c r="M59" i="239"/>
  <c r="L59" i="239"/>
  <c r="K59" i="239"/>
  <c r="N59" i="239" s="1"/>
  <c r="J59" i="239"/>
  <c r="F59" i="239"/>
  <c r="F62" i="261"/>
  <c r="I62" i="261"/>
  <c r="C62" i="261"/>
  <c r="J59" i="261"/>
  <c r="I59" i="261"/>
  <c r="H59" i="261"/>
  <c r="AD59" i="239" l="1"/>
  <c r="Z59" i="239"/>
  <c r="AL59" i="239"/>
  <c r="H21" i="239" l="1"/>
  <c r="G21" i="239"/>
  <c r="H18" i="239"/>
  <c r="G18" i="239"/>
  <c r="G16" i="239"/>
  <c r="G10" i="239"/>
  <c r="D37" i="239"/>
  <c r="E37" i="239"/>
  <c r="H37" i="239"/>
  <c r="I37" i="239"/>
  <c r="O37" i="239"/>
  <c r="P37" i="239"/>
  <c r="Q37" i="239"/>
  <c r="S37" i="239"/>
  <c r="T37" i="239"/>
  <c r="C37" i="239"/>
  <c r="C37" i="261"/>
  <c r="F23" i="239"/>
  <c r="J23" i="239"/>
  <c r="K23" i="239"/>
  <c r="N23" i="239" s="1"/>
  <c r="L23" i="239"/>
  <c r="AJ23" i="239" s="1"/>
  <c r="M23" i="239"/>
  <c r="R23" i="239"/>
  <c r="V23" i="239"/>
  <c r="W23" i="239"/>
  <c r="X23" i="239"/>
  <c r="Y23" i="239"/>
  <c r="Z23" i="239"/>
  <c r="AA23" i="239"/>
  <c r="AB23" i="239"/>
  <c r="AC23" i="239"/>
  <c r="AE23" i="239"/>
  <c r="AH23" i="239" s="1"/>
  <c r="AF23" i="239"/>
  <c r="AG23" i="239"/>
  <c r="AI23" i="239"/>
  <c r="AK23" i="239"/>
  <c r="F37" i="261"/>
  <c r="D41" i="261"/>
  <c r="D25" i="261"/>
  <c r="J23" i="261"/>
  <c r="I23" i="261"/>
  <c r="H23" i="261"/>
  <c r="E23" i="261"/>
  <c r="K23" i="261" s="1"/>
  <c r="D16" i="261"/>
  <c r="D10" i="261"/>
  <c r="O309" i="244"/>
  <c r="P309" i="244" s="1"/>
  <c r="O383" i="244"/>
  <c r="P383" i="244" s="1"/>
  <c r="O374" i="244"/>
  <c r="P374" i="244" s="1"/>
  <c r="O372" i="244"/>
  <c r="P372" i="244" s="1"/>
  <c r="O371" i="244"/>
  <c r="P371" i="244" s="1"/>
  <c r="O370" i="244"/>
  <c r="P370" i="244" s="1"/>
  <c r="O369" i="244"/>
  <c r="P369" i="244" s="1"/>
  <c r="O368" i="244"/>
  <c r="P368" i="244" s="1"/>
  <c r="O367" i="244"/>
  <c r="P367" i="244" s="1"/>
  <c r="O366" i="244"/>
  <c r="P366" i="244" s="1"/>
  <c r="O365" i="244"/>
  <c r="P365" i="244" s="1"/>
  <c r="O364" i="244"/>
  <c r="P364" i="244" s="1"/>
  <c r="G96" i="303"/>
  <c r="D96" i="303"/>
  <c r="I119" i="244"/>
  <c r="L119" i="244" s="1"/>
  <c r="O363" i="244"/>
  <c r="P363" i="244" s="1"/>
  <c r="O362" i="244"/>
  <c r="P362" i="244" s="1"/>
  <c r="O361" i="244"/>
  <c r="P361" i="244" s="1"/>
  <c r="O360" i="244"/>
  <c r="P360" i="244" s="1"/>
  <c r="O359" i="244"/>
  <c r="P359" i="244" s="1"/>
  <c r="O358" i="244"/>
  <c r="P358" i="244" s="1"/>
  <c r="O357" i="244"/>
  <c r="P357" i="244" s="1"/>
  <c r="O356" i="244"/>
  <c r="P356" i="244" s="1"/>
  <c r="O355" i="244"/>
  <c r="P355" i="244" s="1"/>
  <c r="O354" i="244"/>
  <c r="P354" i="244" s="1"/>
  <c r="O353" i="244"/>
  <c r="P353" i="244" s="1"/>
  <c r="L121" i="244"/>
  <c r="H121" i="244"/>
  <c r="L120" i="244"/>
  <c r="H120" i="244"/>
  <c r="H119" i="244"/>
  <c r="O352" i="244"/>
  <c r="P352" i="244" s="1"/>
  <c r="O351" i="244"/>
  <c r="P351" i="244" s="1"/>
  <c r="O350" i="244"/>
  <c r="P350" i="244" s="1"/>
  <c r="O349" i="244"/>
  <c r="P349" i="244" s="1"/>
  <c r="O348" i="244"/>
  <c r="P348" i="244" s="1"/>
  <c r="O347" i="244"/>
  <c r="P347" i="244" s="1"/>
  <c r="O346" i="244"/>
  <c r="P346" i="244" s="1"/>
  <c r="O345" i="244"/>
  <c r="P345" i="244" s="1"/>
  <c r="O344" i="244"/>
  <c r="P344" i="244" s="1"/>
  <c r="O343" i="244"/>
  <c r="P343" i="244" s="1"/>
  <c r="O342" i="244"/>
  <c r="P342" i="244" s="1"/>
  <c r="O341" i="244"/>
  <c r="P341" i="244" s="1"/>
  <c r="O340" i="244"/>
  <c r="P340" i="244" s="1"/>
  <c r="O339" i="244"/>
  <c r="P339" i="244" s="1"/>
  <c r="O338" i="244"/>
  <c r="P338" i="244" s="1"/>
  <c r="O337" i="244"/>
  <c r="P337" i="244" s="1"/>
  <c r="L93" i="244"/>
  <c r="H93" i="244"/>
  <c r="O336" i="244"/>
  <c r="P336" i="244" s="1"/>
  <c r="O331" i="244"/>
  <c r="P331" i="244" s="1"/>
  <c r="O330" i="244"/>
  <c r="P330" i="244" s="1"/>
  <c r="O333" i="244"/>
  <c r="P333" i="244" s="1"/>
  <c r="O332" i="244"/>
  <c r="P332" i="244" s="1"/>
  <c r="AD23" i="239" l="1"/>
  <c r="P120" i="244"/>
  <c r="P119" i="244"/>
  <c r="AL23" i="239"/>
  <c r="P121" i="244"/>
  <c r="P93" i="244"/>
  <c r="O334" i="244"/>
  <c r="P334" i="244" s="1"/>
  <c r="O329" i="244"/>
  <c r="P329" i="244" s="1"/>
  <c r="O328" i="244"/>
  <c r="P328" i="244" s="1"/>
  <c r="O327" i="244"/>
  <c r="P327" i="244" s="1"/>
  <c r="O326" i="244"/>
  <c r="P326" i="244" s="1"/>
  <c r="O335" i="244"/>
  <c r="P335" i="244" s="1"/>
  <c r="O325" i="244"/>
  <c r="P325" i="244" s="1"/>
  <c r="L94" i="244"/>
  <c r="H94" i="244"/>
  <c r="O324" i="244"/>
  <c r="P324" i="244" s="1"/>
  <c r="P94" i="244" l="1"/>
  <c r="O323" i="244"/>
  <c r="P323" i="244" s="1"/>
  <c r="O322" i="244"/>
  <c r="P322" i="244" s="1"/>
  <c r="L24" i="244"/>
  <c r="H24" i="244"/>
  <c r="G10" i="303"/>
  <c r="D10" i="303"/>
  <c r="G33" i="303"/>
  <c r="P24" i="244" l="1"/>
  <c r="I104" i="244" l="1"/>
  <c r="E104" i="244"/>
  <c r="O318" i="244"/>
  <c r="P318" i="244" s="1"/>
  <c r="D127" i="304"/>
  <c r="H275" i="244" l="1"/>
  <c r="L275" i="244"/>
  <c r="G256" i="303"/>
  <c r="L249" i="244"/>
  <c r="H249" i="244"/>
  <c r="L239" i="244"/>
  <c r="H239" i="244"/>
  <c r="L238" i="244"/>
  <c r="H238" i="244"/>
  <c r="L196" i="244"/>
  <c r="H196" i="244"/>
  <c r="L195" i="244"/>
  <c r="H195" i="244"/>
  <c r="L194" i="244"/>
  <c r="H194" i="244"/>
  <c r="L193" i="244"/>
  <c r="H193" i="244"/>
  <c r="L192" i="244"/>
  <c r="H192" i="244"/>
  <c r="L191" i="244"/>
  <c r="H191" i="244"/>
  <c r="L197" i="244"/>
  <c r="H197" i="244"/>
  <c r="O316" i="244"/>
  <c r="L315" i="244"/>
  <c r="L316" i="244"/>
  <c r="H315" i="244"/>
  <c r="H316" i="244"/>
  <c r="G131" i="303"/>
  <c r="G142" i="303"/>
  <c r="L179" i="244"/>
  <c r="H179" i="244"/>
  <c r="L183" i="244"/>
  <c r="H183" i="244"/>
  <c r="P249" i="244" l="1"/>
  <c r="P192" i="244"/>
  <c r="P275" i="244"/>
  <c r="P239" i="244"/>
  <c r="P238" i="244"/>
  <c r="P194" i="244"/>
  <c r="P196" i="244"/>
  <c r="P191" i="244"/>
  <c r="P193" i="244"/>
  <c r="P195" i="244"/>
  <c r="P197" i="244"/>
  <c r="P316" i="244"/>
  <c r="P179" i="244"/>
  <c r="P183" i="244"/>
  <c r="G116" i="303" l="1"/>
  <c r="G117" i="303"/>
  <c r="G114" i="303"/>
  <c r="L164" i="244"/>
  <c r="H164" i="244"/>
  <c r="G97" i="303"/>
  <c r="L28" i="244"/>
  <c r="H28" i="244"/>
  <c r="L145" i="244"/>
  <c r="H145" i="244"/>
  <c r="L136" i="244"/>
  <c r="H136" i="244"/>
  <c r="P164" i="244" l="1"/>
  <c r="P28" i="244"/>
  <c r="P145" i="244"/>
  <c r="P136" i="244"/>
  <c r="L97" i="244"/>
  <c r="H97" i="244"/>
  <c r="L96" i="244"/>
  <c r="H96" i="244"/>
  <c r="D108" i="244"/>
  <c r="C108" i="244"/>
  <c r="L33" i="244"/>
  <c r="H33" i="244"/>
  <c r="G94" i="303"/>
  <c r="D94" i="303"/>
  <c r="L82" i="244"/>
  <c r="H82" i="244"/>
  <c r="L77" i="244"/>
  <c r="H77" i="244"/>
  <c r="L75" i="244"/>
  <c r="H75" i="244"/>
  <c r="L74" i="244"/>
  <c r="H74" i="244"/>
  <c r="L38" i="244"/>
  <c r="H38" i="244"/>
  <c r="L37" i="244"/>
  <c r="H37" i="244"/>
  <c r="O295" i="244"/>
  <c r="P295" i="244" s="1"/>
  <c r="O293" i="244"/>
  <c r="P293" i="244" s="1"/>
  <c r="O292" i="244"/>
  <c r="P292" i="244" s="1"/>
  <c r="O291" i="244"/>
  <c r="P291" i="244" s="1"/>
  <c r="O290" i="244"/>
  <c r="P290" i="244" s="1"/>
  <c r="O289" i="244"/>
  <c r="P289" i="244" s="1"/>
  <c r="O288" i="244"/>
  <c r="P288" i="244" s="1"/>
  <c r="O294" i="244"/>
  <c r="P294" i="244" s="1"/>
  <c r="O296" i="244"/>
  <c r="P296" i="244" s="1"/>
  <c r="G64" i="303"/>
  <c r="G18" i="244"/>
  <c r="P33" i="244" l="1"/>
  <c r="P82" i="244"/>
  <c r="P97" i="244"/>
  <c r="P96" i="244"/>
  <c r="P74" i="244"/>
  <c r="P38" i="244"/>
  <c r="P75" i="244"/>
  <c r="P77" i="244"/>
  <c r="P37" i="244"/>
  <c r="D88" i="304"/>
  <c r="O399" i="244" l="1"/>
  <c r="P399" i="244" s="1"/>
  <c r="G272" i="303"/>
  <c r="L188" i="244"/>
  <c r="H188" i="244"/>
  <c r="G144" i="303"/>
  <c r="E203" i="303"/>
  <c r="P188" i="244" l="1"/>
  <c r="L312" i="244" l="1"/>
  <c r="H312" i="244"/>
  <c r="G208" i="303"/>
  <c r="G209" i="303"/>
  <c r="L103" i="244"/>
  <c r="H103" i="244"/>
  <c r="D91" i="303"/>
  <c r="L63" i="244"/>
  <c r="H63" i="244"/>
  <c r="L62" i="244"/>
  <c r="H62" i="244"/>
  <c r="L61" i="244"/>
  <c r="H61" i="244"/>
  <c r="L60" i="244"/>
  <c r="H60" i="244"/>
  <c r="L59" i="244"/>
  <c r="H59" i="244"/>
  <c r="L58" i="244"/>
  <c r="H58" i="244"/>
  <c r="L57" i="244"/>
  <c r="H57" i="244"/>
  <c r="L56" i="244"/>
  <c r="H56" i="244"/>
  <c r="L55" i="244"/>
  <c r="H55" i="244"/>
  <c r="P312" i="244" l="1"/>
  <c r="P57" i="244"/>
  <c r="P59" i="244"/>
  <c r="P61" i="244"/>
  <c r="P103" i="244"/>
  <c r="P56" i="244"/>
  <c r="P58" i="244"/>
  <c r="P60" i="244"/>
  <c r="P63" i="244"/>
  <c r="P62" i="244"/>
  <c r="P55" i="244"/>
  <c r="L54" i="244" l="1"/>
  <c r="H54" i="244"/>
  <c r="G185" i="303"/>
  <c r="G186" i="303"/>
  <c r="E186" i="303"/>
  <c r="L200" i="244"/>
  <c r="H200" i="244"/>
  <c r="L199" i="244"/>
  <c r="H199" i="244"/>
  <c r="L107" i="244"/>
  <c r="H107" i="244"/>
  <c r="L263" i="244"/>
  <c r="H263" i="244"/>
  <c r="P107" i="244" l="1"/>
  <c r="P54" i="244"/>
  <c r="P200" i="244"/>
  <c r="P199" i="244"/>
  <c r="P263" i="244"/>
  <c r="C74" i="303" l="1"/>
  <c r="I285" i="244" l="1"/>
  <c r="J285" i="244"/>
  <c r="K285" i="244"/>
  <c r="M285" i="244"/>
  <c r="N285" i="244"/>
  <c r="D285" i="244"/>
  <c r="E285" i="244"/>
  <c r="F285" i="244"/>
  <c r="G285" i="244"/>
  <c r="C285" i="244"/>
  <c r="O11" i="244"/>
  <c r="L11" i="244"/>
  <c r="H11" i="244"/>
  <c r="P11" i="244" l="1"/>
  <c r="K9" i="322"/>
  <c r="J9" i="322"/>
  <c r="I9" i="322"/>
  <c r="E11" i="261" l="1"/>
  <c r="D18" i="260" l="1"/>
  <c r="H265" i="303"/>
  <c r="O408" i="244"/>
  <c r="P408" i="244" s="1"/>
  <c r="O411" i="244"/>
  <c r="P411" i="244" s="1"/>
  <c r="L281" i="244"/>
  <c r="H281" i="244"/>
  <c r="L280" i="244"/>
  <c r="H280" i="244"/>
  <c r="L279" i="244"/>
  <c r="H279" i="244"/>
  <c r="L278" i="244"/>
  <c r="H278" i="244"/>
  <c r="L282" i="244"/>
  <c r="H282" i="244"/>
  <c r="H207" i="244"/>
  <c r="L207" i="244"/>
  <c r="L266" i="244"/>
  <c r="H266" i="244"/>
  <c r="P207" i="244" l="1"/>
  <c r="P266" i="244"/>
  <c r="P281" i="244"/>
  <c r="P282" i="244"/>
  <c r="P278" i="244"/>
  <c r="P280" i="244"/>
  <c r="P279" i="244"/>
  <c r="L259" i="244" l="1"/>
  <c r="H259" i="244"/>
  <c r="H185" i="303"/>
  <c r="H259" i="303"/>
  <c r="H207" i="303"/>
  <c r="H206" i="303"/>
  <c r="P386" i="244"/>
  <c r="P259" i="244" l="1"/>
  <c r="G278" i="303"/>
  <c r="D99" i="304"/>
  <c r="L262" i="244"/>
  <c r="H262" i="244" l="1"/>
  <c r="E182" i="303"/>
  <c r="H142" i="244"/>
  <c r="L142" i="244"/>
  <c r="P262" i="244" l="1"/>
  <c r="P142" i="244"/>
  <c r="L276" i="244"/>
  <c r="H276" i="244"/>
  <c r="G260" i="303"/>
  <c r="E65" i="303"/>
  <c r="G268" i="303"/>
  <c r="P276" i="244" l="1"/>
  <c r="L394" i="244" l="1"/>
  <c r="H394" i="244"/>
  <c r="G176" i="303"/>
  <c r="P394" i="244" l="1"/>
  <c r="D55" i="304" l="1"/>
  <c r="D54" i="304"/>
  <c r="D53" i="304"/>
  <c r="D52" i="304"/>
  <c r="G102" i="303" l="1"/>
  <c r="L105" i="244" l="1"/>
  <c r="H105" i="244"/>
  <c r="L393" i="244"/>
  <c r="H393" i="244"/>
  <c r="P393" i="244" l="1"/>
  <c r="P105" i="244"/>
  <c r="D87" i="304"/>
  <c r="G112" i="303" l="1"/>
  <c r="G106" i="303"/>
  <c r="L45" i="244"/>
  <c r="H45" i="244"/>
  <c r="G79" i="303"/>
  <c r="P45" i="244" l="1"/>
  <c r="G224" i="303"/>
  <c r="E249" i="303"/>
  <c r="E181" i="303"/>
  <c r="G125" i="303"/>
  <c r="E72" i="303"/>
  <c r="E71" i="303"/>
  <c r="G28" i="303"/>
  <c r="G108" i="303" l="1"/>
  <c r="G109" i="303"/>
  <c r="L149" i="244"/>
  <c r="H149" i="244"/>
  <c r="P149" i="244" l="1"/>
  <c r="L154" i="244" l="1"/>
  <c r="H154" i="244"/>
  <c r="P154" i="244" l="1"/>
  <c r="M423" i="244"/>
  <c r="O10" i="244"/>
  <c r="L10" i="244"/>
  <c r="H10" i="244"/>
  <c r="P10" i="244" l="1"/>
  <c r="E81" i="303"/>
  <c r="AB15" i="239" l="1"/>
  <c r="E13" i="322" l="1"/>
  <c r="G11" i="322"/>
  <c r="F11" i="322"/>
  <c r="D11" i="322"/>
  <c r="B11" i="322"/>
  <c r="H9" i="322"/>
  <c r="G9" i="322"/>
  <c r="F9" i="322"/>
  <c r="E9" i="322"/>
  <c r="D9" i="322"/>
  <c r="C9" i="322"/>
  <c r="B9" i="322"/>
  <c r="H6" i="322"/>
  <c r="G6" i="322"/>
  <c r="F6" i="322"/>
  <c r="E6" i="322"/>
  <c r="D6" i="322"/>
  <c r="N21" i="322"/>
  <c r="N24" i="322"/>
  <c r="B29" i="322"/>
  <c r="D27" i="322"/>
  <c r="C27" i="322"/>
  <c r="B27" i="322"/>
  <c r="N25" i="322"/>
  <c r="P25" i="322" s="1"/>
  <c r="O16" i="322"/>
  <c r="O20" i="322" s="1"/>
  <c r="C16" i="322"/>
  <c r="N15" i="322"/>
  <c r="P15" i="322" s="1"/>
  <c r="B16" i="322" l="1"/>
  <c r="N8" i="322"/>
  <c r="P8" i="322" s="1"/>
  <c r="O27" i="322"/>
  <c r="N10" i="322"/>
  <c r="P10" i="322" s="1"/>
  <c r="N11" i="322"/>
  <c r="P11" i="322" s="1"/>
  <c r="N13" i="322"/>
  <c r="P13" i="322" s="1"/>
  <c r="H16" i="322"/>
  <c r="I27" i="322"/>
  <c r="D16" i="322"/>
  <c r="D30" i="322" s="1"/>
  <c r="N12" i="322"/>
  <c r="P12" i="322" s="1"/>
  <c r="L16" i="322"/>
  <c r="N9" i="322"/>
  <c r="P9" i="322" s="1"/>
  <c r="N7" i="322"/>
  <c r="P7" i="322" s="1"/>
  <c r="M27" i="322"/>
  <c r="B30" i="322"/>
  <c r="B31" i="322" s="1"/>
  <c r="C29" i="322" s="1"/>
  <c r="E16" i="322"/>
  <c r="I16" i="322"/>
  <c r="M16" i="322"/>
  <c r="F27" i="322"/>
  <c r="J27" i="322"/>
  <c r="N20" i="322"/>
  <c r="F16" i="322"/>
  <c r="J16" i="322"/>
  <c r="G16" i="322"/>
  <c r="K16" i="322"/>
  <c r="C30" i="322"/>
  <c r="G27" i="322"/>
  <c r="K27" i="322"/>
  <c r="N23" i="322"/>
  <c r="P23" i="322" s="1"/>
  <c r="Q23" i="322" s="1"/>
  <c r="H27" i="322"/>
  <c r="L27" i="322"/>
  <c r="N22" i="322"/>
  <c r="P22" i="322" s="1"/>
  <c r="Q22" i="322" s="1"/>
  <c r="P24" i="322"/>
  <c r="P21" i="322"/>
  <c r="Q21" i="322" s="1"/>
  <c r="P26" i="322"/>
  <c r="N6" i="322"/>
  <c r="E27" i="322"/>
  <c r="N19" i="322"/>
  <c r="L30" i="322" l="1"/>
  <c r="P20" i="322"/>
  <c r="Q20" i="322" s="1"/>
  <c r="I30" i="322"/>
  <c r="H30" i="322"/>
  <c r="M30" i="322"/>
  <c r="K30" i="322"/>
  <c r="G30" i="322"/>
  <c r="J30" i="322"/>
  <c r="F30" i="322"/>
  <c r="E30" i="322"/>
  <c r="C31" i="322"/>
  <c r="D29" i="322" s="1"/>
  <c r="D31" i="322" s="1"/>
  <c r="E29" i="322" s="1"/>
  <c r="N16" i="322"/>
  <c r="P6" i="322"/>
  <c r="N27" i="322"/>
  <c r="P27" i="322" s="1"/>
  <c r="P19" i="322"/>
  <c r="Q19" i="322" s="1"/>
  <c r="P16" i="322" l="1"/>
  <c r="E31" i="322"/>
  <c r="F29" i="322" s="1"/>
  <c r="F31" i="322" s="1"/>
  <c r="G29" i="322" s="1"/>
  <c r="G31" i="322" s="1"/>
  <c r="H29" i="322" s="1"/>
  <c r="H31" i="322" s="1"/>
  <c r="I29" i="322" s="1"/>
  <c r="I31" i="322" s="1"/>
  <c r="J29" i="322" s="1"/>
  <c r="J31" i="322" s="1"/>
  <c r="K29" i="322" s="1"/>
  <c r="K31" i="322" s="1"/>
  <c r="L29" i="322" s="1"/>
  <c r="L31" i="322" s="1"/>
  <c r="M29" i="322" s="1"/>
  <c r="M31" i="322" s="1"/>
  <c r="L245" i="244" l="1"/>
  <c r="H245" i="244"/>
  <c r="P245" i="244" l="1"/>
  <c r="O387" i="244" l="1"/>
  <c r="P387" i="244" s="1"/>
  <c r="O388" i="244"/>
  <c r="P388" i="244" s="1"/>
  <c r="O385" i="244"/>
  <c r="P385" i="244" s="1"/>
  <c r="P384" i="244"/>
  <c r="O389" i="244"/>
  <c r="P389" i="244" s="1"/>
  <c r="H268" i="303"/>
  <c r="H269" i="303"/>
  <c r="H131" i="303"/>
  <c r="H138" i="303"/>
  <c r="L283" i="244"/>
  <c r="H283" i="244"/>
  <c r="P283" i="244" l="1"/>
  <c r="L260" i="244" l="1"/>
  <c r="H260" i="244"/>
  <c r="L271" i="244"/>
  <c r="H271" i="244"/>
  <c r="L257" i="244"/>
  <c r="H257" i="244"/>
  <c r="P260" i="244" l="1"/>
  <c r="P257" i="244"/>
  <c r="P271" i="244"/>
  <c r="L118" i="244"/>
  <c r="H118" i="244"/>
  <c r="L182" i="244"/>
  <c r="H182" i="244"/>
  <c r="L219" i="244"/>
  <c r="H219" i="244"/>
  <c r="L215" i="244"/>
  <c r="H215" i="244"/>
  <c r="P118" i="244" l="1"/>
  <c r="P215" i="244"/>
  <c r="P182" i="244"/>
  <c r="P219" i="244"/>
  <c r="L151" i="244" l="1"/>
  <c r="H151" i="244"/>
  <c r="L253" i="244"/>
  <c r="H253" i="244"/>
  <c r="L230" i="244"/>
  <c r="H230" i="244"/>
  <c r="L190" i="244"/>
  <c r="H190" i="244"/>
  <c r="L175" i="244"/>
  <c r="H175" i="244"/>
  <c r="L176" i="244"/>
  <c r="H176" i="244"/>
  <c r="P151" i="244" l="1"/>
  <c r="P175" i="244"/>
  <c r="P253" i="244"/>
  <c r="P230" i="244"/>
  <c r="P190" i="244"/>
  <c r="P176" i="244"/>
  <c r="L115" i="244"/>
  <c r="H115" i="244"/>
  <c r="L126" i="244"/>
  <c r="H126" i="244"/>
  <c r="P115" i="244" l="1"/>
  <c r="P126" i="244"/>
  <c r="L111" i="244" l="1"/>
  <c r="H111" i="244"/>
  <c r="L110" i="244"/>
  <c r="H110" i="244"/>
  <c r="L109" i="244"/>
  <c r="H109" i="244"/>
  <c r="P109" i="244" l="1"/>
  <c r="P111" i="244"/>
  <c r="P110" i="244"/>
  <c r="L83" i="244"/>
  <c r="H83" i="244"/>
  <c r="L81" i="244"/>
  <c r="H81" i="244"/>
  <c r="L80" i="244"/>
  <c r="H80" i="244"/>
  <c r="L79" i="244"/>
  <c r="H79" i="244"/>
  <c r="L78" i="244"/>
  <c r="H78" i="244"/>
  <c r="L32" i="244"/>
  <c r="H32" i="244"/>
  <c r="O321" i="244"/>
  <c r="P321" i="244" s="1"/>
  <c r="G6" i="303"/>
  <c r="P79" i="244" l="1"/>
  <c r="P78" i="244"/>
  <c r="P80" i="244"/>
  <c r="P83" i="244"/>
  <c r="P81" i="244"/>
  <c r="P32" i="244"/>
  <c r="L140" i="244" l="1"/>
  <c r="H140" i="244"/>
  <c r="P140" i="244" l="1"/>
  <c r="L43" i="244"/>
  <c r="H43" i="244"/>
  <c r="P43" i="244" l="1"/>
  <c r="L71" i="244" l="1"/>
  <c r="H71" i="244"/>
  <c r="D86" i="304"/>
  <c r="P71" i="244" l="1"/>
  <c r="AE20" i="240"/>
  <c r="AF20" i="240"/>
  <c r="L240" i="244"/>
  <c r="H240" i="244"/>
  <c r="E19" i="303"/>
  <c r="G238" i="303"/>
  <c r="P240" i="244" l="1"/>
  <c r="L66" i="244" l="1"/>
  <c r="H66" i="244"/>
  <c r="G91" i="303"/>
  <c r="G92" i="303"/>
  <c r="L228" i="244"/>
  <c r="H228" i="244"/>
  <c r="L172" i="244"/>
  <c r="H172" i="244"/>
  <c r="G122" i="303"/>
  <c r="D129" i="304"/>
  <c r="P228" i="244" l="1"/>
  <c r="P66" i="244"/>
  <c r="P172" i="244"/>
  <c r="L161" i="244"/>
  <c r="H161" i="244"/>
  <c r="L49" i="244"/>
  <c r="H49" i="244"/>
  <c r="L20" i="244"/>
  <c r="H20" i="244"/>
  <c r="P161" i="244" l="1"/>
  <c r="P49" i="244"/>
  <c r="P20" i="244"/>
  <c r="L236" i="244" l="1"/>
  <c r="H236" i="244"/>
  <c r="G246" i="303"/>
  <c r="E246" i="303"/>
  <c r="L100" i="244"/>
  <c r="H100" i="244"/>
  <c r="L204" i="244"/>
  <c r="H204" i="244"/>
  <c r="G168" i="303"/>
  <c r="E70" i="303"/>
  <c r="D85" i="304"/>
  <c r="E10" i="305"/>
  <c r="L170" i="244"/>
  <c r="H170" i="244"/>
  <c r="L169" i="244"/>
  <c r="H169" i="244"/>
  <c r="G129" i="303"/>
  <c r="G127" i="303"/>
  <c r="L88" i="244"/>
  <c r="H88" i="244"/>
  <c r="L138" i="244"/>
  <c r="H138" i="244"/>
  <c r="G167" i="303"/>
  <c r="G80" i="303"/>
  <c r="G81" i="303"/>
  <c r="L157" i="244"/>
  <c r="H157" i="244"/>
  <c r="L392" i="244"/>
  <c r="H392" i="244"/>
  <c r="L85" i="244"/>
  <c r="H85" i="244"/>
  <c r="L250" i="244"/>
  <c r="H250" i="244"/>
  <c r="L202" i="244"/>
  <c r="H202" i="244"/>
  <c r="G146" i="303"/>
  <c r="P236" i="244" l="1"/>
  <c r="P100" i="244"/>
  <c r="P204" i="244"/>
  <c r="P88" i="244"/>
  <c r="P170" i="244"/>
  <c r="P169" i="244"/>
  <c r="P138" i="244"/>
  <c r="P157" i="244"/>
  <c r="P392" i="244"/>
  <c r="P85" i="244"/>
  <c r="P250" i="244"/>
  <c r="P202" i="244"/>
  <c r="E245" i="303" l="1"/>
  <c r="G244" i="303"/>
  <c r="E243" i="303"/>
  <c r="E242" i="303"/>
  <c r="G219" i="303"/>
  <c r="E218" i="303"/>
  <c r="E202" i="303"/>
  <c r="E201" i="303"/>
  <c r="G165" i="303" l="1"/>
  <c r="L180" i="244"/>
  <c r="H180" i="244"/>
  <c r="G134" i="303"/>
  <c r="G135" i="303"/>
  <c r="E68" i="303"/>
  <c r="E69" i="303"/>
  <c r="E67" i="303"/>
  <c r="G18" i="303"/>
  <c r="E66" i="303"/>
  <c r="E64" i="303"/>
  <c r="L52" i="244"/>
  <c r="H52" i="244"/>
  <c r="P180" i="244" l="1"/>
  <c r="P52" i="244"/>
  <c r="L108" i="244"/>
  <c r="H108" i="244"/>
  <c r="L26" i="244"/>
  <c r="H26" i="244"/>
  <c r="P108" i="244" l="1"/>
  <c r="P26" i="244"/>
  <c r="L18" i="244"/>
  <c r="H18" i="244"/>
  <c r="P18" i="244" l="1"/>
  <c r="H264" i="303" l="1"/>
  <c r="H252" i="303"/>
  <c r="H220" i="303"/>
  <c r="H205" i="303"/>
  <c r="H105" i="303"/>
  <c r="H98" i="303"/>
  <c r="H93" i="303"/>
  <c r="H89" i="303"/>
  <c r="H74" i="303"/>
  <c r="H9" i="303"/>
  <c r="H5" i="303"/>
  <c r="H4" i="303" l="1"/>
  <c r="H115" i="303"/>
  <c r="H262" i="303" l="1"/>
  <c r="H279" i="303" s="1"/>
  <c r="H282" i="303" s="1"/>
  <c r="H284" i="303" s="1"/>
  <c r="O9" i="244"/>
  <c r="L9" i="244"/>
  <c r="H9" i="244"/>
  <c r="P9" i="244" l="1"/>
  <c r="D74" i="303"/>
  <c r="AH27" i="240" l="1"/>
  <c r="E275" i="303" l="1"/>
  <c r="E277" i="303"/>
  <c r="E276" i="303"/>
  <c r="O421" i="244"/>
  <c r="P421" i="244" s="1"/>
  <c r="L31" i="244"/>
  <c r="H31" i="244"/>
  <c r="E274" i="303" l="1"/>
  <c r="P31" i="244"/>
  <c r="G56" i="303" l="1"/>
  <c r="E238" i="303" l="1"/>
  <c r="E204" i="303"/>
  <c r="E143" i="303"/>
  <c r="G21" i="303" l="1"/>
  <c r="D60" i="305" l="1"/>
  <c r="D57" i="305"/>
  <c r="D54" i="305"/>
  <c r="E50" i="305"/>
  <c r="C54" i="305"/>
  <c r="E53" i="305"/>
  <c r="C57" i="305"/>
  <c r="C60" i="305"/>
  <c r="E59" i="305"/>
  <c r="C51" i="305"/>
  <c r="E57" i="305" l="1"/>
  <c r="E56" i="305"/>
  <c r="E60" i="305"/>
  <c r="E54" i="305"/>
  <c r="D51" i="305"/>
  <c r="E51" i="305" s="1"/>
  <c r="D74" i="304" l="1"/>
  <c r="D73" i="304"/>
  <c r="L92" i="244"/>
  <c r="H92" i="244"/>
  <c r="P92" i="244" l="1"/>
  <c r="G210" i="303" l="1"/>
  <c r="E211" i="303"/>
  <c r="C47" i="304"/>
  <c r="B47" i="304"/>
  <c r="D46" i="304"/>
  <c r="E237" i="303"/>
  <c r="E200" i="303"/>
  <c r="O310" i="244" l="1"/>
  <c r="P310" i="244" s="1"/>
  <c r="D22" i="305"/>
  <c r="C22" i="305"/>
  <c r="E22" i="305" s="1"/>
  <c r="E21" i="305"/>
  <c r="O313" i="244"/>
  <c r="P313" i="244" s="1"/>
  <c r="E103" i="303"/>
  <c r="E199" i="303"/>
  <c r="E236" i="303"/>
  <c r="E239" i="303"/>
  <c r="L234" i="244" l="1"/>
  <c r="H234" i="244"/>
  <c r="O234" i="244"/>
  <c r="O285" i="244" s="1"/>
  <c r="G233" i="303"/>
  <c r="G232" i="303"/>
  <c r="E235" i="303"/>
  <c r="E234" i="303"/>
  <c r="E183" i="303"/>
  <c r="E180" i="303"/>
  <c r="E179" i="303"/>
  <c r="E165" i="303"/>
  <c r="G153" i="303"/>
  <c r="O308" i="244"/>
  <c r="P308" i="244" s="1"/>
  <c r="O307" i="244"/>
  <c r="P307" i="244" s="1"/>
  <c r="O306" i="244"/>
  <c r="P306" i="244" s="1"/>
  <c r="P234" i="244" l="1"/>
  <c r="E42" i="303"/>
  <c r="E41" i="303"/>
  <c r="E40" i="303"/>
  <c r="E39" i="303"/>
  <c r="E38" i="303"/>
  <c r="O315" i="244"/>
  <c r="P315" i="244" s="1"/>
  <c r="O305" i="244"/>
  <c r="P305" i="244" s="1"/>
  <c r="O304" i="244"/>
  <c r="P304" i="244" s="1"/>
  <c r="O303" i="244"/>
  <c r="P303" i="244" s="1"/>
  <c r="O302" i="244"/>
  <c r="P302" i="244" s="1"/>
  <c r="O301" i="244" l="1"/>
  <c r="P301" i="244" s="1"/>
  <c r="G36" i="303"/>
  <c r="E37" i="303"/>
  <c r="O300" i="244"/>
  <c r="P300" i="244" s="1"/>
  <c r="L201" i="244" l="1"/>
  <c r="H201" i="244"/>
  <c r="O299" i="244"/>
  <c r="P299" i="244" s="1"/>
  <c r="O298" i="244"/>
  <c r="P298" i="244" s="1"/>
  <c r="O297" i="244"/>
  <c r="P297" i="244" s="1"/>
  <c r="P201" i="244" l="1"/>
  <c r="G196" i="303" l="1"/>
  <c r="G264" i="303" l="1"/>
  <c r="AE19" i="240" l="1"/>
  <c r="F6" i="303" l="1"/>
  <c r="F259" i="303"/>
  <c r="F79" i="303"/>
  <c r="F116" i="303"/>
  <c r="F123" i="303"/>
  <c r="F144" i="303"/>
  <c r="F147" i="303"/>
  <c r="F75" i="303"/>
  <c r="L40" i="244"/>
  <c r="H40" i="244"/>
  <c r="F104" i="303"/>
  <c r="F95" i="303"/>
  <c r="P40" i="244" l="1"/>
  <c r="F14" i="303" l="1"/>
  <c r="F10" i="303"/>
  <c r="G82" i="303" l="1"/>
  <c r="L134" i="244" l="1"/>
  <c r="H134" i="244"/>
  <c r="N423" i="244"/>
  <c r="G12" i="303"/>
  <c r="L226" i="244"/>
  <c r="H226" i="244"/>
  <c r="P134" i="244" l="1"/>
  <c r="P226" i="244"/>
  <c r="E102" i="303" l="1"/>
  <c r="E7" i="305" l="1"/>
  <c r="E8" i="305"/>
  <c r="E9" i="305"/>
  <c r="E11" i="305"/>
  <c r="E12" i="305"/>
  <c r="E15" i="305"/>
  <c r="E18" i="305"/>
  <c r="E24" i="305"/>
  <c r="E27" i="305"/>
  <c r="E30" i="305"/>
  <c r="E33" i="305"/>
  <c r="E36" i="305"/>
  <c r="E37" i="305"/>
  <c r="E40" i="305"/>
  <c r="E43" i="305"/>
  <c r="E44" i="305"/>
  <c r="E47" i="305"/>
  <c r="E62" i="305"/>
  <c r="E65" i="305"/>
  <c r="E68" i="305"/>
  <c r="E71" i="305"/>
  <c r="E74" i="305"/>
  <c r="E77" i="305"/>
  <c r="E78" i="305"/>
  <c r="E81" i="305"/>
  <c r="E84" i="305"/>
  <c r="E85" i="305"/>
  <c r="E88" i="305"/>
  <c r="E89" i="305"/>
  <c r="E90" i="305"/>
  <c r="E93" i="305"/>
  <c r="E96" i="305"/>
  <c r="E98" i="305"/>
  <c r="E100" i="305"/>
  <c r="E103" i="305"/>
  <c r="E106" i="305"/>
  <c r="E109" i="305"/>
  <c r="E6" i="305"/>
  <c r="D110" i="305"/>
  <c r="D107" i="305"/>
  <c r="D104" i="305"/>
  <c r="D101" i="305"/>
  <c r="D94" i="305"/>
  <c r="D91" i="305"/>
  <c r="D86" i="305"/>
  <c r="D82" i="305"/>
  <c r="D79" i="305"/>
  <c r="D75" i="305"/>
  <c r="D72" i="305"/>
  <c r="D69" i="305"/>
  <c r="D66" i="305"/>
  <c r="D63" i="305"/>
  <c r="D48" i="305"/>
  <c r="D45" i="305"/>
  <c r="D41" i="305"/>
  <c r="D38" i="305"/>
  <c r="D34" i="305"/>
  <c r="D31" i="305"/>
  <c r="D28" i="305"/>
  <c r="D25" i="305"/>
  <c r="D19" i="305"/>
  <c r="D16" i="305"/>
  <c r="D13" i="305"/>
  <c r="C110" i="305"/>
  <c r="C107" i="305"/>
  <c r="C104" i="305"/>
  <c r="C101" i="305"/>
  <c r="C94" i="305"/>
  <c r="C91" i="305"/>
  <c r="C86" i="305"/>
  <c r="C82" i="305"/>
  <c r="C79" i="305"/>
  <c r="E79" i="305" s="1"/>
  <c r="C75" i="305"/>
  <c r="C72" i="305"/>
  <c r="C69" i="305"/>
  <c r="C66" i="305"/>
  <c r="C63" i="305"/>
  <c r="C48" i="305"/>
  <c r="C45" i="305"/>
  <c r="C41" i="305"/>
  <c r="E41" i="305" s="1"/>
  <c r="C38" i="305"/>
  <c r="C34" i="305"/>
  <c r="C31" i="305"/>
  <c r="C28" i="305"/>
  <c r="E28" i="305" s="1"/>
  <c r="C25" i="305"/>
  <c r="C19" i="305"/>
  <c r="C16" i="305"/>
  <c r="E16" i="305" s="1"/>
  <c r="C13" i="305"/>
  <c r="E13" i="305" s="1"/>
  <c r="D8" i="304"/>
  <c r="D13" i="304"/>
  <c r="D14" i="304"/>
  <c r="D15" i="304"/>
  <c r="D16" i="304"/>
  <c r="D17" i="304"/>
  <c r="D18" i="304"/>
  <c r="D19" i="304"/>
  <c r="D20" i="304"/>
  <c r="D21" i="304"/>
  <c r="D22" i="304"/>
  <c r="D23" i="304"/>
  <c r="D24" i="304"/>
  <c r="D25" i="304"/>
  <c r="D26" i="304"/>
  <c r="D27" i="304"/>
  <c r="D28" i="304"/>
  <c r="D29" i="304"/>
  <c r="D30" i="304"/>
  <c r="D34" i="304"/>
  <c r="D36" i="304"/>
  <c r="D40" i="304"/>
  <c r="D41" i="304"/>
  <c r="D42" i="304"/>
  <c r="D43" i="304"/>
  <c r="D44" i="304"/>
  <c r="D45" i="304"/>
  <c r="D50" i="304"/>
  <c r="D51" i="304"/>
  <c r="D56" i="304"/>
  <c r="D57" i="304"/>
  <c r="D58" i="304"/>
  <c r="D59" i="304"/>
  <c r="D60" i="304"/>
  <c r="D61" i="304"/>
  <c r="D62" i="304"/>
  <c r="D63" i="304"/>
  <c r="D64" i="304"/>
  <c r="D65" i="304"/>
  <c r="D66" i="304"/>
  <c r="D67" i="304"/>
  <c r="D68" i="304"/>
  <c r="D69" i="304"/>
  <c r="D70" i="304"/>
  <c r="D71" i="304"/>
  <c r="D72" i="304"/>
  <c r="D75" i="304"/>
  <c r="D76" i="304"/>
  <c r="D77" i="304"/>
  <c r="D78" i="304"/>
  <c r="D79" i="304"/>
  <c r="D80" i="304"/>
  <c r="D81" i="304"/>
  <c r="D82" i="304"/>
  <c r="D83" i="304"/>
  <c r="D84" i="304"/>
  <c r="D89" i="304"/>
  <c r="D95" i="304"/>
  <c r="D96" i="304"/>
  <c r="D97" i="304"/>
  <c r="D98" i="304"/>
  <c r="D100" i="304"/>
  <c r="D101" i="304"/>
  <c r="D102" i="304"/>
  <c r="D103" i="304"/>
  <c r="D104" i="304"/>
  <c r="D105" i="304"/>
  <c r="D106" i="304"/>
  <c r="D107" i="304"/>
  <c r="D108" i="304"/>
  <c r="D112" i="304"/>
  <c r="D113" i="304"/>
  <c r="D114" i="304"/>
  <c r="D115" i="304"/>
  <c r="D116" i="304"/>
  <c r="D117" i="304"/>
  <c r="D118" i="304"/>
  <c r="D119" i="304"/>
  <c r="D120" i="304"/>
  <c r="D121" i="304"/>
  <c r="D122" i="304"/>
  <c r="D123" i="304"/>
  <c r="D124" i="304"/>
  <c r="D125" i="304"/>
  <c r="D126" i="304"/>
  <c r="D128" i="304"/>
  <c r="D130" i="304"/>
  <c r="D7" i="304"/>
  <c r="C131" i="304"/>
  <c r="C109" i="304"/>
  <c r="C90" i="304"/>
  <c r="C12" i="304"/>
  <c r="C37" i="304" s="1"/>
  <c r="C9" i="304"/>
  <c r="B131" i="304"/>
  <c r="B109" i="304"/>
  <c r="B90" i="304"/>
  <c r="B12" i="304"/>
  <c r="B37" i="304" s="1"/>
  <c r="B9" i="304"/>
  <c r="C252" i="303"/>
  <c r="C105" i="303"/>
  <c r="C98" i="303"/>
  <c r="C93" i="303"/>
  <c r="C89" i="303"/>
  <c r="C9" i="303"/>
  <c r="C5" i="303"/>
  <c r="F264" i="303"/>
  <c r="G252" i="303"/>
  <c r="F252" i="303"/>
  <c r="G220" i="303"/>
  <c r="F220" i="303"/>
  <c r="F208" i="303"/>
  <c r="G205" i="303"/>
  <c r="F205" i="303"/>
  <c r="G105" i="303"/>
  <c r="F105" i="303"/>
  <c r="G98" i="303"/>
  <c r="F98" i="303"/>
  <c r="G93" i="303"/>
  <c r="F93" i="303"/>
  <c r="G89" i="303"/>
  <c r="F89" i="303"/>
  <c r="G74" i="303"/>
  <c r="G9" i="303" s="1"/>
  <c r="F74" i="303"/>
  <c r="F9" i="303" s="1"/>
  <c r="G5" i="303"/>
  <c r="F5" i="303"/>
  <c r="E6" i="303"/>
  <c r="E278" i="303"/>
  <c r="E273" i="303"/>
  <c r="E272" i="303"/>
  <c r="E271" i="303"/>
  <c r="E270" i="303"/>
  <c r="E269" i="303"/>
  <c r="E268" i="303"/>
  <c r="E267" i="303"/>
  <c r="E266" i="303"/>
  <c r="E265" i="303"/>
  <c r="E263" i="303"/>
  <c r="E261" i="303"/>
  <c r="E260" i="303"/>
  <c r="E259" i="303"/>
  <c r="E258" i="303"/>
  <c r="E257" i="303"/>
  <c r="E256" i="303"/>
  <c r="E255" i="303"/>
  <c r="E254" i="303"/>
  <c r="E253" i="303"/>
  <c r="D252" i="303"/>
  <c r="E251" i="303"/>
  <c r="E250" i="303"/>
  <c r="E248" i="303"/>
  <c r="E247" i="303"/>
  <c r="E244" i="303"/>
  <c r="E241" i="303"/>
  <c r="E240" i="303"/>
  <c r="E233" i="303"/>
  <c r="E232" i="303"/>
  <c r="E231" i="303"/>
  <c r="E230" i="303"/>
  <c r="E229" i="303"/>
  <c r="E228" i="303"/>
  <c r="E227" i="303"/>
  <c r="E226" i="303"/>
  <c r="E225" i="303"/>
  <c r="E224" i="303"/>
  <c r="E223" i="303"/>
  <c r="E222" i="303"/>
  <c r="E221" i="303"/>
  <c r="D220" i="303"/>
  <c r="E219" i="303"/>
  <c r="E217" i="303"/>
  <c r="E216" i="303"/>
  <c r="E215" i="303"/>
  <c r="E214" i="303"/>
  <c r="E213" i="303"/>
  <c r="E212" i="303"/>
  <c r="E210" i="303"/>
  <c r="E209" i="303"/>
  <c r="E208" i="303"/>
  <c r="E207" i="303"/>
  <c r="E206" i="303"/>
  <c r="E198" i="303"/>
  <c r="E197" i="303"/>
  <c r="E196" i="303"/>
  <c r="E195" i="303"/>
  <c r="E194" i="303"/>
  <c r="E193" i="303"/>
  <c r="E192" i="303"/>
  <c r="E191" i="303"/>
  <c r="E190" i="303"/>
  <c r="E189" i="303"/>
  <c r="E188" i="303"/>
  <c r="E187" i="303"/>
  <c r="E185" i="303"/>
  <c r="E178" i="303"/>
  <c r="E177" i="303"/>
  <c r="E176" i="303"/>
  <c r="E175" i="303"/>
  <c r="E174" i="303"/>
  <c r="E173" i="303"/>
  <c r="E172" i="303"/>
  <c r="E171" i="303"/>
  <c r="E170" i="303"/>
  <c r="E169" i="303"/>
  <c r="E168" i="303"/>
  <c r="E167" i="303"/>
  <c r="E166" i="303"/>
  <c r="E164" i="303"/>
  <c r="E163" i="303"/>
  <c r="E162" i="303"/>
  <c r="E161" i="303"/>
  <c r="E160" i="303"/>
  <c r="E159" i="303"/>
  <c r="E158" i="303"/>
  <c r="E157" i="303"/>
  <c r="E156" i="303"/>
  <c r="E155" i="303"/>
  <c r="E154" i="303"/>
  <c r="E153" i="303"/>
  <c r="E152" i="303"/>
  <c r="E151" i="303"/>
  <c r="E150" i="303"/>
  <c r="E148" i="303"/>
  <c r="E147" i="303"/>
  <c r="E146" i="303"/>
  <c r="E144" i="303"/>
  <c r="E142" i="303"/>
  <c r="E141" i="303"/>
  <c r="E140" i="303"/>
  <c r="E139" i="303"/>
  <c r="E138" i="303"/>
  <c r="E137" i="303"/>
  <c r="E136" i="303"/>
  <c r="E135" i="303"/>
  <c r="E134" i="303"/>
  <c r="E133" i="303"/>
  <c r="E132" i="303"/>
  <c r="E131" i="303"/>
  <c r="E130" i="303"/>
  <c r="E129" i="303"/>
  <c r="E128" i="303"/>
  <c r="E127" i="303"/>
  <c r="E126" i="303"/>
  <c r="E125" i="303"/>
  <c r="E124" i="303"/>
  <c r="E123" i="303"/>
  <c r="E122" i="303"/>
  <c r="E121" i="303"/>
  <c r="E120" i="303"/>
  <c r="E119" i="303"/>
  <c r="E118" i="303"/>
  <c r="E117" i="303"/>
  <c r="E116" i="303"/>
  <c r="E114" i="303"/>
  <c r="E113" i="303"/>
  <c r="E112" i="303"/>
  <c r="E111" i="303"/>
  <c r="E110" i="303"/>
  <c r="E109" i="303"/>
  <c r="E108" i="303"/>
  <c r="E107" i="303"/>
  <c r="E106" i="303"/>
  <c r="D105" i="303"/>
  <c r="E104" i="303"/>
  <c r="E101" i="303"/>
  <c r="E100" i="303"/>
  <c r="E99" i="303"/>
  <c r="D98" i="303"/>
  <c r="E97" i="303"/>
  <c r="E96" i="303"/>
  <c r="E95" i="303"/>
  <c r="E94" i="303"/>
  <c r="D93" i="303"/>
  <c r="E92" i="303"/>
  <c r="E91" i="303"/>
  <c r="E90" i="303"/>
  <c r="D89" i="303"/>
  <c r="E88" i="303"/>
  <c r="E87" i="303"/>
  <c r="E86" i="303"/>
  <c r="E85" i="303"/>
  <c r="E84" i="303"/>
  <c r="E83" i="303"/>
  <c r="E82" i="303"/>
  <c r="E80" i="303"/>
  <c r="E79" i="303"/>
  <c r="E78" i="303"/>
  <c r="E77" i="303"/>
  <c r="E76" i="303"/>
  <c r="E75" i="303"/>
  <c r="D9" i="303"/>
  <c r="E73" i="303"/>
  <c r="E63" i="303"/>
  <c r="E62" i="303"/>
  <c r="E61" i="303"/>
  <c r="E60" i="303"/>
  <c r="E59" i="303"/>
  <c r="E58" i="303"/>
  <c r="E57" i="303"/>
  <c r="E56" i="303"/>
  <c r="E55" i="303"/>
  <c r="E54" i="303"/>
  <c r="E53" i="303"/>
  <c r="E52" i="303"/>
  <c r="E51" i="303"/>
  <c r="E50" i="303"/>
  <c r="E49" i="303"/>
  <c r="E48" i="303"/>
  <c r="E47" i="303"/>
  <c r="E46" i="303"/>
  <c r="E45" i="303"/>
  <c r="E44" i="303"/>
  <c r="E43" i="303"/>
  <c r="E36" i="303"/>
  <c r="E35" i="303"/>
  <c r="E34" i="303"/>
  <c r="E33" i="303"/>
  <c r="E32" i="303"/>
  <c r="E31" i="303"/>
  <c r="E30" i="303"/>
  <c r="E29" i="303"/>
  <c r="E28" i="303"/>
  <c r="E27" i="303"/>
  <c r="E26" i="303"/>
  <c r="E25" i="303"/>
  <c r="E24" i="303"/>
  <c r="E23" i="303"/>
  <c r="E22" i="303"/>
  <c r="E21" i="303"/>
  <c r="E20" i="303"/>
  <c r="E18" i="303"/>
  <c r="E17" i="303"/>
  <c r="E16" i="303"/>
  <c r="E15" i="303"/>
  <c r="E14" i="303"/>
  <c r="E13" i="303"/>
  <c r="E12" i="303"/>
  <c r="E11" i="303"/>
  <c r="E10" i="303"/>
  <c r="E8" i="303"/>
  <c r="E7" i="303"/>
  <c r="D5" i="303"/>
  <c r="F21" i="260"/>
  <c r="F18" i="260"/>
  <c r="F14" i="260"/>
  <c r="C21" i="260"/>
  <c r="C18" i="260"/>
  <c r="C14" i="260"/>
  <c r="F36" i="261"/>
  <c r="F30" i="261"/>
  <c r="F27" i="261"/>
  <c r="F25" i="261"/>
  <c r="F22" i="261"/>
  <c r="F17" i="261"/>
  <c r="C36" i="261"/>
  <c r="C30" i="261"/>
  <c r="C27" i="261"/>
  <c r="C25" i="261"/>
  <c r="C22" i="261"/>
  <c r="C17" i="261"/>
  <c r="C19" i="261" s="1"/>
  <c r="Q26" i="240"/>
  <c r="P26" i="240"/>
  <c r="O26" i="240"/>
  <c r="Q21" i="240"/>
  <c r="P21" i="240"/>
  <c r="O21" i="240"/>
  <c r="Q18" i="240"/>
  <c r="P18" i="240"/>
  <c r="O18" i="240"/>
  <c r="Q14" i="240"/>
  <c r="P14" i="240"/>
  <c r="O14" i="240"/>
  <c r="E94" i="305" l="1"/>
  <c r="E66" i="305"/>
  <c r="D9" i="304"/>
  <c r="E48" i="305"/>
  <c r="E104" i="305"/>
  <c r="E86" i="305"/>
  <c r="E72" i="305"/>
  <c r="E5" i="303"/>
  <c r="E101" i="305"/>
  <c r="E91" i="305"/>
  <c r="Q22" i="240"/>
  <c r="C115" i="303"/>
  <c r="E25" i="305"/>
  <c r="E38" i="305"/>
  <c r="E63" i="305"/>
  <c r="E75" i="305"/>
  <c r="E107" i="305"/>
  <c r="O22" i="240"/>
  <c r="F19" i="261"/>
  <c r="B133" i="304"/>
  <c r="E31" i="305"/>
  <c r="E69" i="305"/>
  <c r="C112" i="305"/>
  <c r="C113" i="305" s="1"/>
  <c r="P22" i="240"/>
  <c r="C31" i="261"/>
  <c r="F31" i="261"/>
  <c r="E252" i="303"/>
  <c r="E82" i="305"/>
  <c r="E110" i="305"/>
  <c r="E19" i="305"/>
  <c r="E34" i="305"/>
  <c r="E264" i="303"/>
  <c r="F115" i="303"/>
  <c r="G115" i="303"/>
  <c r="E45" i="305"/>
  <c r="B92" i="304"/>
  <c r="D109" i="304"/>
  <c r="D131" i="304"/>
  <c r="D47" i="304"/>
  <c r="D90" i="304"/>
  <c r="D37" i="304"/>
  <c r="D12" i="304"/>
  <c r="E93" i="303"/>
  <c r="E205" i="303"/>
  <c r="C4" i="303"/>
  <c r="F4" i="303"/>
  <c r="D112" i="305"/>
  <c r="D113" i="305" s="1"/>
  <c r="C133" i="304"/>
  <c r="C92" i="304"/>
  <c r="D115" i="303"/>
  <c r="E105" i="303"/>
  <c r="E98" i="303"/>
  <c r="E74" i="303"/>
  <c r="D4" i="303"/>
  <c r="E89" i="303"/>
  <c r="E220" i="303"/>
  <c r="G4" i="303"/>
  <c r="E26" i="240"/>
  <c r="E63" i="239" s="1"/>
  <c r="C26" i="240"/>
  <c r="C63" i="239" s="1"/>
  <c r="D26" i="240"/>
  <c r="D63" i="239" s="1"/>
  <c r="E21" i="240"/>
  <c r="D21" i="240"/>
  <c r="C21" i="240"/>
  <c r="E18" i="240"/>
  <c r="D18" i="240"/>
  <c r="C18" i="240"/>
  <c r="E14" i="240"/>
  <c r="D14" i="240"/>
  <c r="C14" i="240"/>
  <c r="Q58" i="239"/>
  <c r="Q62" i="239" s="1"/>
  <c r="P58" i="239"/>
  <c r="P62" i="239" s="1"/>
  <c r="O58" i="239"/>
  <c r="O62" i="239" s="1"/>
  <c r="Q36" i="239"/>
  <c r="P36" i="239"/>
  <c r="O36" i="239"/>
  <c r="Q30" i="239"/>
  <c r="P30" i="239"/>
  <c r="O30" i="239"/>
  <c r="Q27" i="239"/>
  <c r="P27" i="239"/>
  <c r="O27" i="239"/>
  <c r="Q25" i="239"/>
  <c r="P25" i="239"/>
  <c r="O25" i="239"/>
  <c r="Q22" i="239"/>
  <c r="P22" i="239"/>
  <c r="O22" i="239"/>
  <c r="Q17" i="239"/>
  <c r="Q19" i="239" s="1"/>
  <c r="P17" i="239"/>
  <c r="P19" i="239" s="1"/>
  <c r="O17" i="239"/>
  <c r="O19" i="239" s="1"/>
  <c r="F61" i="239"/>
  <c r="F60" i="239"/>
  <c r="E58" i="239"/>
  <c r="E62" i="239" s="1"/>
  <c r="F57" i="239"/>
  <c r="D58" i="239"/>
  <c r="D62" i="239" s="1"/>
  <c r="F46" i="239"/>
  <c r="F45" i="239"/>
  <c r="F43" i="239"/>
  <c r="F41" i="239"/>
  <c r="F40" i="239"/>
  <c r="F39" i="239"/>
  <c r="F38" i="239"/>
  <c r="E36" i="239"/>
  <c r="D36" i="239"/>
  <c r="C36" i="239"/>
  <c r="F35" i="239"/>
  <c r="F34" i="239"/>
  <c r="F33" i="239"/>
  <c r="F32" i="239"/>
  <c r="E30" i="239"/>
  <c r="D30" i="239"/>
  <c r="C30" i="239"/>
  <c r="F29" i="239"/>
  <c r="F30" i="239" s="1"/>
  <c r="F28" i="239"/>
  <c r="E27" i="239"/>
  <c r="D27" i="239"/>
  <c r="C27" i="239"/>
  <c r="F26" i="239"/>
  <c r="F27" i="239" s="1"/>
  <c r="E25" i="239"/>
  <c r="D25" i="239"/>
  <c r="C25" i="239"/>
  <c r="F24" i="239"/>
  <c r="F25" i="239" s="1"/>
  <c r="E22" i="239"/>
  <c r="E48" i="239" s="1"/>
  <c r="D22" i="239"/>
  <c r="D48" i="239" s="1"/>
  <c r="C22" i="239"/>
  <c r="F21" i="239"/>
  <c r="F20" i="239"/>
  <c r="F18" i="239"/>
  <c r="E17" i="239"/>
  <c r="E19" i="239" s="1"/>
  <c r="D17" i="239"/>
  <c r="D19" i="239" s="1"/>
  <c r="C17" i="239"/>
  <c r="C19" i="239" s="1"/>
  <c r="F16" i="239"/>
  <c r="F15" i="239"/>
  <c r="F14" i="239"/>
  <c r="F13" i="239"/>
  <c r="F12" i="239"/>
  <c r="F11" i="239"/>
  <c r="F10" i="239"/>
  <c r="F9" i="239"/>
  <c r="D133" i="304" l="1"/>
  <c r="D92" i="304"/>
  <c r="C48" i="239"/>
  <c r="F22" i="239"/>
  <c r="F48" i="239" s="1"/>
  <c r="B135" i="304"/>
  <c r="F262" i="303"/>
  <c r="F279" i="303" s="1"/>
  <c r="F56" i="239"/>
  <c r="F58" i="239" s="1"/>
  <c r="F62" i="239" s="1"/>
  <c r="G262" i="303"/>
  <c r="G279" i="303" s="1"/>
  <c r="C262" i="303"/>
  <c r="C279" i="303" s="1"/>
  <c r="O48" i="239"/>
  <c r="Q31" i="239"/>
  <c r="Q47" i="239" s="1"/>
  <c r="P48" i="239"/>
  <c r="C22" i="240"/>
  <c r="F36" i="239"/>
  <c r="F37" i="239" s="1"/>
  <c r="C31" i="239"/>
  <c r="C47" i="239" s="1"/>
  <c r="F17" i="239"/>
  <c r="F19" i="239" s="1"/>
  <c r="D31" i="239"/>
  <c r="D47" i="239" s="1"/>
  <c r="D49" i="239" s="1"/>
  <c r="Q48" i="239"/>
  <c r="O31" i="239"/>
  <c r="O47" i="239" s="1"/>
  <c r="O49" i="239" s="1"/>
  <c r="P31" i="239"/>
  <c r="P47" i="239" s="1"/>
  <c r="P49" i="239" s="1"/>
  <c r="E31" i="239"/>
  <c r="E47" i="239" s="1"/>
  <c r="E49" i="239" s="1"/>
  <c r="D22" i="240"/>
  <c r="E22" i="240"/>
  <c r="E112" i="305"/>
  <c r="E113" i="305" s="1"/>
  <c r="E115" i="303"/>
  <c r="D262" i="303"/>
  <c r="D279" i="303" s="1"/>
  <c r="C135" i="304"/>
  <c r="E9" i="303"/>
  <c r="F63" i="239"/>
  <c r="F31" i="239"/>
  <c r="C58" i="239"/>
  <c r="C62" i="239" s="1"/>
  <c r="E36" i="299"/>
  <c r="B36" i="299"/>
  <c r="E30" i="299"/>
  <c r="B30" i="299"/>
  <c r="E19" i="299"/>
  <c r="B19" i="299"/>
  <c r="E12" i="299"/>
  <c r="B12" i="299"/>
  <c r="Q49" i="239" l="1"/>
  <c r="C49" i="239"/>
  <c r="D135" i="304"/>
  <c r="F47" i="239"/>
  <c r="F49" i="239" s="1"/>
  <c r="F52" i="239" s="1"/>
  <c r="F55" i="239"/>
  <c r="F30" i="299"/>
  <c r="F19" i="299"/>
  <c r="B44" i="299"/>
  <c r="E41" i="299"/>
  <c r="B41" i="299"/>
  <c r="F12" i="299"/>
  <c r="E4" i="303"/>
  <c r="E44" i="299"/>
  <c r="F36" i="299"/>
  <c r="F38" i="299" l="1"/>
  <c r="F41" i="299"/>
  <c r="F44" i="299"/>
  <c r="F21" i="299"/>
  <c r="E262" i="303"/>
  <c r="E279" i="303"/>
  <c r="F46" i="299" l="1"/>
  <c r="L233" i="244" l="1"/>
  <c r="H233" i="244"/>
  <c r="P233" i="244" l="1"/>
  <c r="O412" i="244" l="1"/>
  <c r="P412" i="244" s="1"/>
  <c r="O413" i="244"/>
  <c r="P413" i="244" s="1"/>
  <c r="O414" i="244"/>
  <c r="P414" i="244" s="1"/>
  <c r="O415" i="244"/>
  <c r="P415" i="244" s="1"/>
  <c r="O416" i="244"/>
  <c r="P416" i="244" s="1"/>
  <c r="O417" i="244"/>
  <c r="P417" i="244" s="1"/>
  <c r="O418" i="244"/>
  <c r="P418" i="244" s="1"/>
  <c r="O402" i="244" l="1"/>
  <c r="P402" i="244" s="1"/>
  <c r="O403" i="244"/>
  <c r="P403" i="244" s="1"/>
  <c r="H56" i="261" l="1"/>
  <c r="H57" i="261"/>
  <c r="H185" i="244" l="1"/>
  <c r="L185" i="244"/>
  <c r="AF23" i="240"/>
  <c r="H16" i="244"/>
  <c r="L16" i="244"/>
  <c r="P185" i="244" l="1"/>
  <c r="P16" i="244"/>
  <c r="L222" i="244"/>
  <c r="H222" i="244"/>
  <c r="P222" i="244" l="1"/>
  <c r="J57" i="261" l="1"/>
  <c r="J56" i="261"/>
  <c r="I57" i="261"/>
  <c r="I56" i="261"/>
  <c r="E57" i="261"/>
  <c r="K57" i="261" s="1"/>
  <c r="E56" i="261"/>
  <c r="K56" i="261" s="1"/>
  <c r="R33" i="239"/>
  <c r="R34" i="239"/>
  <c r="R35" i="239"/>
  <c r="G26" i="240"/>
  <c r="H26" i="240"/>
  <c r="I26" i="240"/>
  <c r="S26" i="240"/>
  <c r="T26" i="240"/>
  <c r="U26" i="240"/>
  <c r="L104" i="244" l="1"/>
  <c r="H104" i="244"/>
  <c r="P104" i="244" l="1"/>
  <c r="W61" i="239"/>
  <c r="X61" i="239"/>
  <c r="Y61" i="239"/>
  <c r="V61" i="239"/>
  <c r="R61" i="239"/>
  <c r="I63" i="239"/>
  <c r="K61" i="239"/>
  <c r="L61" i="239"/>
  <c r="M61" i="239"/>
  <c r="J61" i="239"/>
  <c r="AF61" i="239"/>
  <c r="AE61" i="239"/>
  <c r="AB61" i="239"/>
  <c r="AA61" i="239"/>
  <c r="R25" i="240"/>
  <c r="V25" i="240"/>
  <c r="W25" i="240"/>
  <c r="X25" i="240"/>
  <c r="Y25" i="240"/>
  <c r="AA25" i="240"/>
  <c r="AB25" i="240"/>
  <c r="AC25" i="240"/>
  <c r="AE25" i="240"/>
  <c r="AF25" i="240"/>
  <c r="AG25" i="240"/>
  <c r="K25" i="240"/>
  <c r="L25" i="240"/>
  <c r="AJ25" i="240" s="1"/>
  <c r="M25" i="240"/>
  <c r="H63" i="239"/>
  <c r="G63" i="239"/>
  <c r="J25" i="240"/>
  <c r="F25" i="240"/>
  <c r="I61" i="261"/>
  <c r="J61" i="261"/>
  <c r="E61" i="261"/>
  <c r="K61" i="261" s="1"/>
  <c r="C10" i="266" s="1"/>
  <c r="J24" i="260"/>
  <c r="J25" i="260"/>
  <c r="I25" i="260"/>
  <c r="I24" i="260"/>
  <c r="D26" i="260"/>
  <c r="D63" i="261" s="1"/>
  <c r="C26" i="260"/>
  <c r="C63" i="261" s="1"/>
  <c r="E25" i="260"/>
  <c r="K25" i="260" s="1"/>
  <c r="C17" i="266" s="1"/>
  <c r="O401" i="244"/>
  <c r="P401" i="244" s="1"/>
  <c r="O400" i="244"/>
  <c r="P400" i="244" s="1"/>
  <c r="AD25" i="240" l="1"/>
  <c r="AJ61" i="239"/>
  <c r="AD61" i="239"/>
  <c r="AK25" i="240"/>
  <c r="AH61" i="239"/>
  <c r="Z25" i="240"/>
  <c r="N25" i="240"/>
  <c r="AH25" i="240"/>
  <c r="Z61" i="239"/>
  <c r="AI61" i="239"/>
  <c r="N61" i="239"/>
  <c r="AI25" i="240"/>
  <c r="AL25" i="240" l="1"/>
  <c r="AL61" i="239"/>
  <c r="AE9" i="239" l="1"/>
  <c r="AG63" i="239"/>
  <c r="AF63" i="239"/>
  <c r="AE63" i="239"/>
  <c r="AG60" i="239"/>
  <c r="AF60" i="239"/>
  <c r="AK58" i="239"/>
  <c r="AG58" i="239"/>
  <c r="AG62" i="239" s="1"/>
  <c r="AF57" i="239"/>
  <c r="AE57" i="239"/>
  <c r="AF56" i="239"/>
  <c r="AE56" i="239"/>
  <c r="AG46" i="239"/>
  <c r="AF46" i="239"/>
  <c r="AE46" i="239"/>
  <c r="AG45" i="239"/>
  <c r="AF45" i="239"/>
  <c r="AE45" i="239"/>
  <c r="AG43" i="239"/>
  <c r="AF43" i="239"/>
  <c r="AE43" i="239"/>
  <c r="AG41" i="239"/>
  <c r="AF41" i="239"/>
  <c r="AE41" i="239"/>
  <c r="AG40" i="239"/>
  <c r="AF40" i="239"/>
  <c r="AE40" i="239"/>
  <c r="AG39" i="239"/>
  <c r="AF39" i="239"/>
  <c r="AE39" i="239"/>
  <c r="AG38" i="239"/>
  <c r="AF38" i="239"/>
  <c r="AE38" i="239"/>
  <c r="AG35" i="239"/>
  <c r="AF35" i="239"/>
  <c r="AE35" i="239"/>
  <c r="AG34" i="239"/>
  <c r="AF34" i="239"/>
  <c r="AE34" i="239"/>
  <c r="AG33" i="239"/>
  <c r="AF33" i="239"/>
  <c r="AE33" i="239"/>
  <c r="AG32" i="239"/>
  <c r="AF32" i="239"/>
  <c r="AE32" i="239"/>
  <c r="AG29" i="239"/>
  <c r="AF29" i="239"/>
  <c r="AF30" i="239" s="1"/>
  <c r="AE29" i="239"/>
  <c r="AG28" i="239"/>
  <c r="AF28" i="239"/>
  <c r="AE28" i="239"/>
  <c r="AG26" i="239"/>
  <c r="AG27" i="239" s="1"/>
  <c r="AF26" i="239"/>
  <c r="AF27" i="239" s="1"/>
  <c r="AE26" i="239"/>
  <c r="AE27" i="239" s="1"/>
  <c r="AG24" i="239"/>
  <c r="AG25" i="239" s="1"/>
  <c r="AF24" i="239"/>
  <c r="AF25" i="239" s="1"/>
  <c r="AE24" i="239"/>
  <c r="AE25" i="239" s="1"/>
  <c r="AG21" i="239"/>
  <c r="AF21" i="239"/>
  <c r="AE21" i="239"/>
  <c r="AG20" i="239"/>
  <c r="AF20" i="239"/>
  <c r="AE20" i="239"/>
  <c r="AG18" i="239"/>
  <c r="AF18" i="239"/>
  <c r="AE18" i="239"/>
  <c r="AG16" i="239"/>
  <c r="AF16" i="239"/>
  <c r="AE16" i="239"/>
  <c r="AG15" i="239"/>
  <c r="AF15" i="239"/>
  <c r="AE15" i="239"/>
  <c r="AG14" i="239"/>
  <c r="AF14" i="239"/>
  <c r="AE14" i="239"/>
  <c r="AG13" i="239"/>
  <c r="AF13" i="239"/>
  <c r="AE13" i="239"/>
  <c r="AG12" i="239"/>
  <c r="AF12" i="239"/>
  <c r="AE12" i="239"/>
  <c r="AG11" i="239"/>
  <c r="AF11" i="239"/>
  <c r="AE11" i="239"/>
  <c r="AG10" i="239"/>
  <c r="AF10" i="239"/>
  <c r="AE10" i="239"/>
  <c r="AG9" i="239"/>
  <c r="AF9" i="239"/>
  <c r="Y18" i="239"/>
  <c r="X18" i="239"/>
  <c r="W18" i="239"/>
  <c r="Y20" i="239"/>
  <c r="X20" i="239"/>
  <c r="W20" i="239"/>
  <c r="Y21" i="239"/>
  <c r="X21" i="239"/>
  <c r="W21" i="239"/>
  <c r="Y24" i="239"/>
  <c r="Y25" i="239" s="1"/>
  <c r="X24" i="239"/>
  <c r="W24" i="239"/>
  <c r="W25" i="239" s="1"/>
  <c r="Y26" i="239"/>
  <c r="Y27" i="239" s="1"/>
  <c r="X26" i="239"/>
  <c r="W26" i="239"/>
  <c r="W27" i="239" s="1"/>
  <c r="Y29" i="239"/>
  <c r="X29" i="239"/>
  <c r="W29" i="239"/>
  <c r="Y28" i="239"/>
  <c r="X28" i="239"/>
  <c r="W28" i="239"/>
  <c r="Y35" i="239"/>
  <c r="X35" i="239"/>
  <c r="W35" i="239"/>
  <c r="Y34" i="239"/>
  <c r="X34" i="239"/>
  <c r="W34" i="239"/>
  <c r="Y33" i="239"/>
  <c r="X33" i="239"/>
  <c r="W33" i="239"/>
  <c r="Y32" i="239"/>
  <c r="X32" i="239"/>
  <c r="W32" i="239"/>
  <c r="Y43" i="239"/>
  <c r="X43" i="239"/>
  <c r="W43" i="239"/>
  <c r="Y41" i="239"/>
  <c r="X41" i="239"/>
  <c r="W41" i="239"/>
  <c r="Y40" i="239"/>
  <c r="Y39" i="239"/>
  <c r="X39" i="239"/>
  <c r="W39" i="239"/>
  <c r="Y38" i="239"/>
  <c r="X38" i="239"/>
  <c r="W38" i="239"/>
  <c r="Y46" i="239"/>
  <c r="X46" i="239"/>
  <c r="W46" i="239"/>
  <c r="Y45" i="239"/>
  <c r="X45" i="239"/>
  <c r="W45" i="239"/>
  <c r="Y63" i="239"/>
  <c r="X63" i="239"/>
  <c r="W63" i="239"/>
  <c r="Y60" i="239"/>
  <c r="X60" i="239"/>
  <c r="W60" i="239"/>
  <c r="W57" i="239"/>
  <c r="X57" i="239"/>
  <c r="Y57" i="239"/>
  <c r="Y56" i="239"/>
  <c r="X56" i="239"/>
  <c r="W56" i="239"/>
  <c r="W58" i="239" s="1"/>
  <c r="V63" i="239"/>
  <c r="V60" i="239"/>
  <c r="S58" i="239"/>
  <c r="S62" i="239" s="1"/>
  <c r="T58" i="239"/>
  <c r="T62" i="239" s="1"/>
  <c r="U58" i="239"/>
  <c r="U62" i="239" s="1"/>
  <c r="V57" i="239"/>
  <c r="V56" i="239"/>
  <c r="V46" i="239"/>
  <c r="V45" i="239"/>
  <c r="V40" i="239"/>
  <c r="V41" i="239"/>
  <c r="V43" i="239"/>
  <c r="V39" i="239"/>
  <c r="V38" i="239"/>
  <c r="V33" i="239"/>
  <c r="V34" i="239"/>
  <c r="V35" i="239"/>
  <c r="V32" i="239"/>
  <c r="V29" i="239"/>
  <c r="V28" i="239"/>
  <c r="V26" i="239"/>
  <c r="V27" i="239" s="1"/>
  <c r="V24" i="239"/>
  <c r="V25" i="239" s="1"/>
  <c r="V21" i="239"/>
  <c r="V20" i="239"/>
  <c r="V18" i="239"/>
  <c r="S36" i="239"/>
  <c r="T36" i="239"/>
  <c r="U36" i="239"/>
  <c r="U37" i="239" s="1"/>
  <c r="S30" i="239"/>
  <c r="T30" i="239"/>
  <c r="U30" i="239"/>
  <c r="S27" i="239"/>
  <c r="T27" i="239"/>
  <c r="U27" i="239"/>
  <c r="S25" i="239"/>
  <c r="T25" i="239"/>
  <c r="U25" i="239"/>
  <c r="S22" i="239"/>
  <c r="T22" i="239"/>
  <c r="U22" i="239"/>
  <c r="U48" i="239" s="1"/>
  <c r="S17" i="239"/>
  <c r="S19" i="239" s="1"/>
  <c r="T17" i="239"/>
  <c r="T19" i="239" s="1"/>
  <c r="U17" i="239"/>
  <c r="U19" i="239" s="1"/>
  <c r="V17" i="239"/>
  <c r="W17" i="239"/>
  <c r="X17" i="239"/>
  <c r="Y17" i="239"/>
  <c r="Z17" i="239"/>
  <c r="M63" i="239"/>
  <c r="AK63" i="239" s="1"/>
  <c r="L63" i="239"/>
  <c r="K63" i="239"/>
  <c r="AI63" i="239" s="1"/>
  <c r="M60" i="239"/>
  <c r="L60" i="239"/>
  <c r="K60" i="239"/>
  <c r="M57" i="239"/>
  <c r="L57" i="239"/>
  <c r="K57" i="239"/>
  <c r="AI57" i="239" s="1"/>
  <c r="M56" i="239"/>
  <c r="L56" i="239"/>
  <c r="K56" i="239"/>
  <c r="M46" i="239"/>
  <c r="L46" i="239"/>
  <c r="K46" i="239"/>
  <c r="M45" i="239"/>
  <c r="L45" i="239"/>
  <c r="K45" i="239"/>
  <c r="M43" i="239"/>
  <c r="L43" i="239"/>
  <c r="K43" i="239"/>
  <c r="M41" i="239"/>
  <c r="L41" i="239"/>
  <c r="K41" i="239"/>
  <c r="M40" i="239"/>
  <c r="L40" i="239"/>
  <c r="K40" i="239"/>
  <c r="M39" i="239"/>
  <c r="L39" i="239"/>
  <c r="K39" i="239"/>
  <c r="M38" i="239"/>
  <c r="L38" i="239"/>
  <c r="K38" i="239"/>
  <c r="M35" i="239"/>
  <c r="L35" i="239"/>
  <c r="K35" i="239"/>
  <c r="M34" i="239"/>
  <c r="L34" i="239"/>
  <c r="K34" i="239"/>
  <c r="M33" i="239"/>
  <c r="L33" i="239"/>
  <c r="K33" i="239"/>
  <c r="M32" i="239"/>
  <c r="L32" i="239"/>
  <c r="K32" i="239"/>
  <c r="M29" i="239"/>
  <c r="L29" i="239"/>
  <c r="K29" i="239"/>
  <c r="M28" i="239"/>
  <c r="L28" i="239"/>
  <c r="K28" i="239"/>
  <c r="M26" i="239"/>
  <c r="L26" i="239"/>
  <c r="K26" i="239"/>
  <c r="M24" i="239"/>
  <c r="L24" i="239"/>
  <c r="K24" i="239"/>
  <c r="M21" i="239"/>
  <c r="AK21" i="239" s="1"/>
  <c r="L21" i="239"/>
  <c r="K21" i="239"/>
  <c r="M20" i="239"/>
  <c r="L20" i="239"/>
  <c r="AJ20" i="239" s="1"/>
  <c r="K20" i="239"/>
  <c r="M18" i="239"/>
  <c r="L18" i="239"/>
  <c r="K18" i="239"/>
  <c r="K12" i="239"/>
  <c r="L12" i="239"/>
  <c r="AJ12" i="239" s="1"/>
  <c r="M12" i="239"/>
  <c r="AK12" i="239" s="1"/>
  <c r="K13" i="239"/>
  <c r="L13" i="239"/>
  <c r="AJ13" i="239" s="1"/>
  <c r="M13" i="239"/>
  <c r="AK13" i="239" s="1"/>
  <c r="K14" i="239"/>
  <c r="L14" i="239"/>
  <c r="AJ14" i="239" s="1"/>
  <c r="M14" i="239"/>
  <c r="AK14" i="239" s="1"/>
  <c r="K15" i="239"/>
  <c r="L15" i="239"/>
  <c r="AJ15" i="239" s="1"/>
  <c r="M15" i="239"/>
  <c r="AK15" i="239" s="1"/>
  <c r="K16" i="239"/>
  <c r="L16" i="239"/>
  <c r="AJ16" i="239" s="1"/>
  <c r="M16" i="239"/>
  <c r="AK16" i="239" s="1"/>
  <c r="K10" i="239"/>
  <c r="L10" i="239"/>
  <c r="AJ10" i="239" s="1"/>
  <c r="M10" i="239"/>
  <c r="AK10" i="239" s="1"/>
  <c r="K11" i="239"/>
  <c r="AI11" i="239" s="1"/>
  <c r="L11" i="239"/>
  <c r="AJ11" i="239" s="1"/>
  <c r="M11" i="239"/>
  <c r="AK11" i="239" s="1"/>
  <c r="L9" i="239"/>
  <c r="AJ9" i="239" s="1"/>
  <c r="M9" i="239"/>
  <c r="AK9" i="239" s="1"/>
  <c r="K9" i="239"/>
  <c r="AI9" i="239" s="1"/>
  <c r="J63" i="239"/>
  <c r="J60" i="239"/>
  <c r="G58" i="239"/>
  <c r="G62" i="239" s="1"/>
  <c r="H58" i="239"/>
  <c r="H62" i="239" s="1"/>
  <c r="I58" i="239"/>
  <c r="I62" i="239" s="1"/>
  <c r="J57" i="239"/>
  <c r="J56" i="239"/>
  <c r="J46" i="239"/>
  <c r="J45" i="239"/>
  <c r="J40" i="239"/>
  <c r="J41" i="239"/>
  <c r="J43" i="239"/>
  <c r="J39" i="239"/>
  <c r="J38" i="239"/>
  <c r="J33" i="239"/>
  <c r="J34" i="239"/>
  <c r="J35" i="239"/>
  <c r="J32" i="239"/>
  <c r="J29" i="239"/>
  <c r="J28" i="239"/>
  <c r="J26" i="239"/>
  <c r="J24" i="239"/>
  <c r="J21" i="239"/>
  <c r="J20" i="239"/>
  <c r="J18" i="239"/>
  <c r="J11" i="239"/>
  <c r="J12" i="239"/>
  <c r="AH12" i="239" s="1"/>
  <c r="J13" i="239"/>
  <c r="AH13" i="239" s="1"/>
  <c r="J14" i="239"/>
  <c r="AH14" i="239" s="1"/>
  <c r="J15" i="239"/>
  <c r="AH15" i="239" s="1"/>
  <c r="J16" i="239"/>
  <c r="AH16" i="239" s="1"/>
  <c r="J10" i="239"/>
  <c r="J9" i="239"/>
  <c r="T48" i="239" l="1"/>
  <c r="AH21" i="239"/>
  <c r="W22" i="239"/>
  <c r="AH46" i="239"/>
  <c r="AI45" i="239"/>
  <c r="AJ46" i="239"/>
  <c r="AK20" i="239"/>
  <c r="AI24" i="239"/>
  <c r="AI25" i="239" s="1"/>
  <c r="AI43" i="239"/>
  <c r="AJ21" i="239"/>
  <c r="AJ22" i="239" s="1"/>
  <c r="U31" i="239"/>
  <c r="X22" i="239"/>
  <c r="AI33" i="239"/>
  <c r="AJ63" i="239"/>
  <c r="AL63" i="239" s="1"/>
  <c r="J58" i="239"/>
  <c r="AJ56" i="239"/>
  <c r="AI21" i="239"/>
  <c r="S48" i="239"/>
  <c r="AH18" i="239"/>
  <c r="AH45" i="239"/>
  <c r="AK43" i="239"/>
  <c r="AI46" i="239"/>
  <c r="J62" i="239"/>
  <c r="J55" i="239" s="1"/>
  <c r="Z57" i="239"/>
  <c r="U47" i="239"/>
  <c r="U49" i="239" s="1"/>
  <c r="T31" i="239"/>
  <c r="T47" i="239" s="1"/>
  <c r="T49" i="239" s="1"/>
  <c r="X19" i="239"/>
  <c r="Z24" i="239"/>
  <c r="Z25" i="239" s="1"/>
  <c r="V22" i="239"/>
  <c r="V48" i="239" s="1"/>
  <c r="AH57" i="239"/>
  <c r="AF58" i="239"/>
  <c r="AF62" i="239" s="1"/>
  <c r="AH39" i="239"/>
  <c r="V19" i="239"/>
  <c r="V58" i="239"/>
  <c r="V62" i="239" s="1"/>
  <c r="V55" i="239" s="1"/>
  <c r="S31" i="239"/>
  <c r="AJ39" i="239"/>
  <c r="AK18" i="239"/>
  <c r="AJ43" i="239"/>
  <c r="AK60" i="239"/>
  <c r="AK62" i="239" s="1"/>
  <c r="AK38" i="239"/>
  <c r="Y36" i="239"/>
  <c r="AJ29" i="239"/>
  <c r="AJ30" i="239" s="1"/>
  <c r="AF17" i="239"/>
  <c r="AF19" i="239" s="1"/>
  <c r="AG22" i="239"/>
  <c r="AG48" i="239" s="1"/>
  <c r="AH41" i="239"/>
  <c r="N60" i="239"/>
  <c r="AJ41" i="239"/>
  <c r="W36" i="239"/>
  <c r="AJ28" i="239"/>
  <c r="AE22" i="239"/>
  <c r="AE48" i="239" s="1"/>
  <c r="AJ18" i="239"/>
  <c r="AK41" i="239"/>
  <c r="AJ35" i="239"/>
  <c r="AK28" i="239"/>
  <c r="Z26" i="239"/>
  <c r="Z27" i="239" s="1"/>
  <c r="Z18" i="239"/>
  <c r="Z19" i="239" s="1"/>
  <c r="AJ24" i="239"/>
  <c r="AJ25" i="239" s="1"/>
  <c r="AH63" i="239"/>
  <c r="AK17" i="239"/>
  <c r="N24" i="239"/>
  <c r="N33" i="239"/>
  <c r="AI35" i="239"/>
  <c r="N41" i="239"/>
  <c r="AJ57" i="239"/>
  <c r="AL57" i="239" s="1"/>
  <c r="V30" i="239"/>
  <c r="Z56" i="239"/>
  <c r="Z60" i="239"/>
  <c r="Z63" i="239"/>
  <c r="AK40" i="239"/>
  <c r="AJ32" i="239"/>
  <c r="AJ34" i="239"/>
  <c r="Z21" i="239"/>
  <c r="Z20" i="239"/>
  <c r="AK24" i="239"/>
  <c r="AK25" i="239" s="1"/>
  <c r="AJ26" i="239"/>
  <c r="AJ27" i="239" s="1"/>
  <c r="AH20" i="239"/>
  <c r="AH22" i="239" s="1"/>
  <c r="AH43" i="239"/>
  <c r="AI20" i="239"/>
  <c r="AI22" i="239" s="1"/>
  <c r="AI26" i="239"/>
  <c r="AI27" i="239" s="1"/>
  <c r="AJ60" i="239"/>
  <c r="Z46" i="239"/>
  <c r="AK39" i="239"/>
  <c r="Z41" i="239"/>
  <c r="AK32" i="239"/>
  <c r="AJ33" i="239"/>
  <c r="AK34" i="239"/>
  <c r="Z28" i="239"/>
  <c r="AK29" i="239"/>
  <c r="W19" i="239"/>
  <c r="AG17" i="239"/>
  <c r="AG19" i="239" s="1"/>
  <c r="AK26" i="239"/>
  <c r="AK27" i="239" s="1"/>
  <c r="K58" i="239"/>
  <c r="K62" i="239" s="1"/>
  <c r="AJ45" i="239"/>
  <c r="N45" i="239"/>
  <c r="AI39" i="239"/>
  <c r="AJ38" i="239"/>
  <c r="N29" i="239"/>
  <c r="N26" i="239"/>
  <c r="N18" i="239"/>
  <c r="AI18" i="239"/>
  <c r="N15" i="239"/>
  <c r="AL15" i="239" s="1"/>
  <c r="AF22" i="239"/>
  <c r="AF48" i="239" s="1"/>
  <c r="AJ17" i="239"/>
  <c r="AK22" i="239"/>
  <c r="AH28" i="239"/>
  <c r="AG30" i="239"/>
  <c r="AG31" i="239" s="1"/>
  <c r="AH29" i="239"/>
  <c r="AF36" i="239"/>
  <c r="AI56" i="239"/>
  <c r="AI60" i="239"/>
  <c r="L58" i="239"/>
  <c r="L62" i="239" s="1"/>
  <c r="N16" i="239"/>
  <c r="AL16" i="239" s="1"/>
  <c r="N12" i="239"/>
  <c r="AL12" i="239" s="1"/>
  <c r="N40" i="239"/>
  <c r="X30" i="239"/>
  <c r="X36" i="239"/>
  <c r="Z45" i="239"/>
  <c r="Z35" i="239"/>
  <c r="Y30" i="239"/>
  <c r="Y31" i="239" s="1"/>
  <c r="AG36" i="239"/>
  <c r="AH33" i="239"/>
  <c r="AH35" i="239"/>
  <c r="AI41" i="239"/>
  <c r="AE58" i="239"/>
  <c r="AE62" i="239" s="1"/>
  <c r="N10" i="239"/>
  <c r="N13" i="239"/>
  <c r="AL13" i="239" s="1"/>
  <c r="N28" i="239"/>
  <c r="N35" i="239"/>
  <c r="N39" i="239"/>
  <c r="N56" i="239"/>
  <c r="Z39" i="239"/>
  <c r="Z32" i="239"/>
  <c r="Z34" i="239"/>
  <c r="Z29" i="239"/>
  <c r="AI10" i="239"/>
  <c r="AL10" i="239" s="1"/>
  <c r="AI32" i="239"/>
  <c r="AK33" i="239"/>
  <c r="AI34" i="239"/>
  <c r="AK35" i="239"/>
  <c r="N11" i="239"/>
  <c r="N14" i="239"/>
  <c r="AL14" i="239" s="1"/>
  <c r="N20" i="239"/>
  <c r="AL20" i="239" s="1"/>
  <c r="N32" i="239"/>
  <c r="N34" i="239"/>
  <c r="N38" i="239"/>
  <c r="N43" i="239"/>
  <c r="N46" i="239"/>
  <c r="N57" i="239"/>
  <c r="V36" i="239"/>
  <c r="V37" i="239" s="1"/>
  <c r="Z38" i="239"/>
  <c r="Z43" i="239"/>
  <c r="Z33" i="239"/>
  <c r="AH10" i="239"/>
  <c r="AI12" i="239"/>
  <c r="AI13" i="239"/>
  <c r="AI14" i="239"/>
  <c r="AI15" i="239"/>
  <c r="AI16" i="239"/>
  <c r="AI28" i="239"/>
  <c r="AI29" i="239"/>
  <c r="AI30" i="239" s="1"/>
  <c r="AI38" i="239"/>
  <c r="AK45" i="239"/>
  <c r="AK46" i="239"/>
  <c r="AH56" i="239"/>
  <c r="N63" i="239"/>
  <c r="N21" i="239"/>
  <c r="AH9" i="239"/>
  <c r="AH11" i="239"/>
  <c r="AH24" i="239"/>
  <c r="AH25" i="239" s="1"/>
  <c r="AH26" i="239"/>
  <c r="AH27" i="239" s="1"/>
  <c r="AH30" i="239"/>
  <c r="AE30" i="239"/>
  <c r="AE31" i="239" s="1"/>
  <c r="AH32" i="239"/>
  <c r="AH34" i="239"/>
  <c r="AE36" i="239"/>
  <c r="AH38" i="239"/>
  <c r="AH40" i="239"/>
  <c r="AH60" i="239"/>
  <c r="AF31" i="239"/>
  <c r="AF37" i="239" s="1"/>
  <c r="AE17" i="239"/>
  <c r="AE19" i="239" s="1"/>
  <c r="AL9" i="239"/>
  <c r="AL11" i="239"/>
  <c r="Y19" i="239"/>
  <c r="Y22" i="239"/>
  <c r="Y48" i="239" s="1"/>
  <c r="X25" i="239"/>
  <c r="X27" i="239"/>
  <c r="W48" i="239"/>
  <c r="X48" i="239"/>
  <c r="W30" i="239"/>
  <c r="W31" i="239" s="1"/>
  <c r="W62" i="239"/>
  <c r="X58" i="239"/>
  <c r="X62" i="239" s="1"/>
  <c r="Y58" i="239"/>
  <c r="Y62" i="239" s="1"/>
  <c r="V31" i="239"/>
  <c r="N9" i="239"/>
  <c r="M58" i="239"/>
  <c r="M62" i="239" s="1"/>
  <c r="W37" i="239" l="1"/>
  <c r="Y37" i="239"/>
  <c r="Y47" i="239" s="1"/>
  <c r="Y49" i="239" s="1"/>
  <c r="AG37" i="239"/>
  <c r="AH58" i="239"/>
  <c r="AH62" i="239" s="1"/>
  <c r="AH55" i="239" s="1"/>
  <c r="AH48" i="239"/>
  <c r="AE37" i="239"/>
  <c r="AE47" i="239" s="1"/>
  <c r="AE49" i="239" s="1"/>
  <c r="AI48" i="239"/>
  <c r="AL28" i="239"/>
  <c r="AL35" i="239"/>
  <c r="AL24" i="239"/>
  <c r="AL25" i="239" s="1"/>
  <c r="Z22" i="239"/>
  <c r="Z48" i="239" s="1"/>
  <c r="AL21" i="239"/>
  <c r="AL22" i="239" s="1"/>
  <c r="AJ58" i="239"/>
  <c r="AJ62" i="239" s="1"/>
  <c r="AL41" i="239"/>
  <c r="W47" i="239"/>
  <c r="W49" i="239" s="1"/>
  <c r="AL39" i="239"/>
  <c r="AL60" i="239"/>
  <c r="Z58" i="239"/>
  <c r="Z62" i="239" s="1"/>
  <c r="Z55" i="239" s="1"/>
  <c r="AL33" i="239"/>
  <c r="AL34" i="239"/>
  <c r="AJ48" i="239"/>
  <c r="AK19" i="239"/>
  <c r="AG47" i="239"/>
  <c r="AG49" i="239" s="1"/>
  <c r="AI17" i="239"/>
  <c r="AI19" i="239" s="1"/>
  <c r="S47" i="239"/>
  <c r="S49" i="239" s="1"/>
  <c r="AF47" i="239"/>
  <c r="AF49" i="239" s="1"/>
  <c r="AJ31" i="239"/>
  <c r="AJ37" i="239" s="1"/>
  <c r="V47" i="239"/>
  <c r="V49" i="239" s="1"/>
  <c r="V52" i="239" s="1"/>
  <c r="AL43" i="239"/>
  <c r="AJ36" i="239"/>
  <c r="X31" i="239"/>
  <c r="X37" i="239" s="1"/>
  <c r="AL38" i="239"/>
  <c r="AJ19" i="239"/>
  <c r="AL45" i="239"/>
  <c r="AL46" i="239"/>
  <c r="AL18" i="239"/>
  <c r="AL26" i="239"/>
  <c r="AL27" i="239" s="1"/>
  <c r="Z36" i="239"/>
  <c r="AK48" i="239"/>
  <c r="AL29" i="239"/>
  <c r="Z30" i="239"/>
  <c r="Z31" i="239" s="1"/>
  <c r="AL32" i="239"/>
  <c r="AI36" i="239"/>
  <c r="AL56" i="239"/>
  <c r="AL58" i="239" s="1"/>
  <c r="AI58" i="239"/>
  <c r="AI62" i="239" s="1"/>
  <c r="AK30" i="239"/>
  <c r="AK31" i="239" s="1"/>
  <c r="AK37" i="239" s="1"/>
  <c r="AH31" i="239"/>
  <c r="N58" i="239"/>
  <c r="AK36" i="239"/>
  <c r="AI31" i="239"/>
  <c r="AL17" i="239"/>
  <c r="AH36" i="239"/>
  <c r="AH17" i="239"/>
  <c r="AH19" i="239" s="1"/>
  <c r="H212" i="244"/>
  <c r="H285" i="244" s="1"/>
  <c r="L212" i="244"/>
  <c r="L285" i="244" s="1"/>
  <c r="AI37" i="239" l="1"/>
  <c r="Z37" i="239"/>
  <c r="AH37" i="239"/>
  <c r="AH47" i="239" s="1"/>
  <c r="AH49" i="239" s="1"/>
  <c r="AH52" i="239" s="1"/>
  <c r="AL36" i="239"/>
  <c r="AI47" i="239"/>
  <c r="AI49" i="239" s="1"/>
  <c r="Z47" i="239"/>
  <c r="Z49" i="239" s="1"/>
  <c r="Z52" i="239" s="1"/>
  <c r="AJ47" i="239"/>
  <c r="AJ49" i="239" s="1"/>
  <c r="X47" i="239"/>
  <c r="X49" i="239" s="1"/>
  <c r="AK47" i="239"/>
  <c r="AK49" i="239" s="1"/>
  <c r="AL30" i="239"/>
  <c r="AL31" i="239" s="1"/>
  <c r="AL19" i="239"/>
  <c r="AL48" i="239"/>
  <c r="N62" i="239"/>
  <c r="N55" i="239" s="1"/>
  <c r="AL62" i="239"/>
  <c r="AL55" i="239" s="1"/>
  <c r="P212" i="244"/>
  <c r="P285" i="244" s="1"/>
  <c r="G36" i="239"/>
  <c r="H36" i="239"/>
  <c r="I36" i="239"/>
  <c r="J36" i="239"/>
  <c r="K36" i="239"/>
  <c r="L36" i="239"/>
  <c r="M36" i="239"/>
  <c r="N36" i="239"/>
  <c r="G30" i="239"/>
  <c r="H30" i="239"/>
  <c r="I30" i="239"/>
  <c r="J30" i="239"/>
  <c r="K30" i="239"/>
  <c r="L30" i="239"/>
  <c r="M30" i="239"/>
  <c r="N30" i="239"/>
  <c r="G27" i="239"/>
  <c r="G31" i="239" s="1"/>
  <c r="H27" i="239"/>
  <c r="H31" i="239" s="1"/>
  <c r="I27" i="239"/>
  <c r="J27" i="239"/>
  <c r="K27" i="239"/>
  <c r="L27" i="239"/>
  <c r="M27" i="239"/>
  <c r="N27" i="239"/>
  <c r="G25" i="239"/>
  <c r="H25" i="239"/>
  <c r="I25" i="239"/>
  <c r="J25" i="239"/>
  <c r="K25" i="239"/>
  <c r="L25" i="239"/>
  <c r="M25" i="239"/>
  <c r="N25" i="239"/>
  <c r="G22" i="239"/>
  <c r="H22" i="239"/>
  <c r="I22" i="239"/>
  <c r="J22" i="239"/>
  <c r="K22" i="239"/>
  <c r="L22" i="239"/>
  <c r="M22" i="239"/>
  <c r="N22" i="239"/>
  <c r="G17" i="239"/>
  <c r="G19" i="239" s="1"/>
  <c r="H17" i="239"/>
  <c r="H19" i="239" s="1"/>
  <c r="I17" i="239"/>
  <c r="I19" i="239" s="1"/>
  <c r="J17" i="239"/>
  <c r="J19" i="239" s="1"/>
  <c r="K17" i="239"/>
  <c r="K19" i="239" s="1"/>
  <c r="L17" i="239"/>
  <c r="L19" i="239" s="1"/>
  <c r="M17" i="239"/>
  <c r="M19" i="239" s="1"/>
  <c r="N17" i="239"/>
  <c r="N19" i="239" s="1"/>
  <c r="AL37" i="239" l="1"/>
  <c r="AL47" i="239" s="1"/>
  <c r="AL49" i="239" s="1"/>
  <c r="AL52" i="239" s="1"/>
  <c r="G37" i="239"/>
  <c r="G47" i="239" s="1"/>
  <c r="H48" i="239"/>
  <c r="M31" i="239"/>
  <c r="I31" i="239"/>
  <c r="H47" i="239"/>
  <c r="K31" i="239"/>
  <c r="K37" i="239" s="1"/>
  <c r="K48" i="239"/>
  <c r="G48" i="239"/>
  <c r="N48" i="239"/>
  <c r="N31" i="239"/>
  <c r="N37" i="239" s="1"/>
  <c r="J31" i="239"/>
  <c r="J37" i="239" s="1"/>
  <c r="I48" i="239"/>
  <c r="L48" i="239"/>
  <c r="L31" i="239"/>
  <c r="L37" i="239" s="1"/>
  <c r="M48" i="239"/>
  <c r="J48" i="239"/>
  <c r="W9" i="240"/>
  <c r="AE9" i="240"/>
  <c r="M37" i="239" l="1"/>
  <c r="M47" i="239" s="1"/>
  <c r="M49" i="239" s="1"/>
  <c r="H49" i="239"/>
  <c r="I47" i="239"/>
  <c r="I49" i="239" s="1"/>
  <c r="K47" i="239"/>
  <c r="K49" i="239" s="1"/>
  <c r="J47" i="239"/>
  <c r="J49" i="239" s="1"/>
  <c r="J52" i="239" s="1"/>
  <c r="L47" i="239"/>
  <c r="L49" i="239" s="1"/>
  <c r="N47" i="239"/>
  <c r="N49" i="239" s="1"/>
  <c r="N52" i="239" s="1"/>
  <c r="G49" i="239"/>
  <c r="AG24" i="240"/>
  <c r="AF24" i="240"/>
  <c r="AF26" i="240" s="1"/>
  <c r="AE24" i="240"/>
  <c r="AG23" i="240"/>
  <c r="AG26" i="240" s="1"/>
  <c r="AE23" i="240"/>
  <c r="AG20" i="240"/>
  <c r="AG19" i="240"/>
  <c r="AF19" i="240"/>
  <c r="AG17" i="240"/>
  <c r="AF17" i="240"/>
  <c r="AE17" i="240"/>
  <c r="AG16" i="240"/>
  <c r="AF16" i="240"/>
  <c r="AE16" i="240"/>
  <c r="AG15" i="240"/>
  <c r="AF15" i="240"/>
  <c r="AE15" i="240"/>
  <c r="AG13" i="240"/>
  <c r="AF13" i="240"/>
  <c r="AE13" i="240"/>
  <c r="AG12" i="240"/>
  <c r="AF12" i="240"/>
  <c r="AE12" i="240"/>
  <c r="AG11" i="240"/>
  <c r="AF11" i="240"/>
  <c r="AE11" i="240"/>
  <c r="AG10" i="240"/>
  <c r="AF10" i="240"/>
  <c r="AE10" i="240"/>
  <c r="AG9" i="240"/>
  <c r="AF9" i="240"/>
  <c r="Y24" i="240"/>
  <c r="X24" i="240"/>
  <c r="W24" i="240"/>
  <c r="Y23" i="240"/>
  <c r="X23" i="240"/>
  <c r="W23" i="240"/>
  <c r="V24" i="240"/>
  <c r="V23" i="240"/>
  <c r="Y20" i="240"/>
  <c r="X20" i="240"/>
  <c r="W20" i="240"/>
  <c r="Y19" i="240"/>
  <c r="X19" i="240"/>
  <c r="W19" i="240"/>
  <c r="Y17" i="240"/>
  <c r="X17" i="240"/>
  <c r="W17" i="240"/>
  <c r="Y16" i="240"/>
  <c r="X16" i="240"/>
  <c r="W16" i="240"/>
  <c r="Y15" i="240"/>
  <c r="X15" i="240"/>
  <c r="W15" i="240"/>
  <c r="W11" i="240"/>
  <c r="X11" i="240"/>
  <c r="Y11" i="240"/>
  <c r="W12" i="240"/>
  <c r="X12" i="240"/>
  <c r="Y12" i="240"/>
  <c r="W13" i="240"/>
  <c r="X13" i="240"/>
  <c r="Y13" i="240"/>
  <c r="Y10" i="240"/>
  <c r="X10" i="240"/>
  <c r="W10" i="240"/>
  <c r="Y9" i="240"/>
  <c r="X9" i="240"/>
  <c r="V20" i="240"/>
  <c r="V19" i="240"/>
  <c r="V17" i="240"/>
  <c r="V16" i="240"/>
  <c r="V15" i="240"/>
  <c r="V11" i="240"/>
  <c r="V12" i="240"/>
  <c r="V13" i="240"/>
  <c r="V10" i="240"/>
  <c r="V9" i="240"/>
  <c r="Z27" i="240"/>
  <c r="AL27" i="240" s="1"/>
  <c r="S21" i="240"/>
  <c r="T21" i="240"/>
  <c r="U21" i="240"/>
  <c r="S18" i="240"/>
  <c r="T18" i="240"/>
  <c r="U18" i="240"/>
  <c r="S14" i="240"/>
  <c r="T14" i="240"/>
  <c r="U14" i="240"/>
  <c r="M24" i="240"/>
  <c r="L24" i="240"/>
  <c r="K24" i="240"/>
  <c r="M23" i="240"/>
  <c r="L23" i="240"/>
  <c r="K23" i="240"/>
  <c r="J24" i="240"/>
  <c r="J23" i="240"/>
  <c r="M20" i="240"/>
  <c r="L20" i="240"/>
  <c r="K20" i="240"/>
  <c r="M19" i="240"/>
  <c r="L19" i="240"/>
  <c r="K19" i="240"/>
  <c r="M17" i="240"/>
  <c r="L17" i="240"/>
  <c r="K17" i="240"/>
  <c r="M16" i="240"/>
  <c r="L16" i="240"/>
  <c r="K16" i="240"/>
  <c r="M15" i="240"/>
  <c r="L15" i="240"/>
  <c r="K15" i="240"/>
  <c r="K11" i="240"/>
  <c r="L11" i="240"/>
  <c r="M11" i="240"/>
  <c r="K12" i="240"/>
  <c r="L12" i="240"/>
  <c r="M12" i="240"/>
  <c r="K13" i="240"/>
  <c r="L13" i="240"/>
  <c r="M13" i="240"/>
  <c r="L10" i="240"/>
  <c r="M10" i="240"/>
  <c r="M9" i="240"/>
  <c r="L9" i="240"/>
  <c r="K10" i="240"/>
  <c r="K9" i="240"/>
  <c r="AI9" i="240" s="1"/>
  <c r="J20" i="240"/>
  <c r="J19" i="240"/>
  <c r="J16" i="240"/>
  <c r="J17" i="240"/>
  <c r="J15" i="240"/>
  <c r="J11" i="240"/>
  <c r="J12" i="240"/>
  <c r="J13" i="240"/>
  <c r="J10" i="240"/>
  <c r="G21" i="240"/>
  <c r="H21" i="240"/>
  <c r="I21" i="240"/>
  <c r="G18" i="240"/>
  <c r="H18" i="240"/>
  <c r="I18" i="240"/>
  <c r="G14" i="240"/>
  <c r="H14" i="240"/>
  <c r="I14" i="240"/>
  <c r="J9" i="240"/>
  <c r="X26" i="240" l="1"/>
  <c r="V26" i="240"/>
  <c r="X21" i="240"/>
  <c r="W26" i="240"/>
  <c r="Y26" i="240"/>
  <c r="Z20" i="240"/>
  <c r="V21" i="240"/>
  <c r="AI19" i="240"/>
  <c r="U22" i="240"/>
  <c r="J26" i="240"/>
  <c r="AJ17" i="240"/>
  <c r="AJ16" i="240"/>
  <c r="AJ12" i="240"/>
  <c r="AI13" i="240"/>
  <c r="AI11" i="240"/>
  <c r="L26" i="240"/>
  <c r="K21" i="240"/>
  <c r="M21" i="240"/>
  <c r="AH24" i="240"/>
  <c r="I22" i="240"/>
  <c r="AE21" i="240"/>
  <c r="T22" i="240"/>
  <c r="AE18" i="240"/>
  <c r="AK15" i="240"/>
  <c r="Z24" i="240"/>
  <c r="AG18" i="240"/>
  <c r="M26" i="240"/>
  <c r="W21" i="240"/>
  <c r="K26" i="240"/>
  <c r="AG21" i="240"/>
  <c r="AE26" i="240"/>
  <c r="S22" i="240"/>
  <c r="AK16" i="240"/>
  <c r="AJ15" i="240"/>
  <c r="X18" i="240"/>
  <c r="AI16" i="240"/>
  <c r="AI12" i="240"/>
  <c r="W14" i="240"/>
  <c r="N10" i="240"/>
  <c r="AJ24" i="240"/>
  <c r="AH23" i="240"/>
  <c r="AI17" i="240"/>
  <c r="N13" i="240"/>
  <c r="AE14" i="240"/>
  <c r="AH13" i="240"/>
  <c r="AJ10" i="240"/>
  <c r="AK11" i="240"/>
  <c r="N11" i="240"/>
  <c r="AJ9" i="240"/>
  <c r="AK10" i="240"/>
  <c r="AK12" i="240"/>
  <c r="AK9" i="240"/>
  <c r="AK13" i="240"/>
  <c r="L21" i="240"/>
  <c r="N12" i="240"/>
  <c r="Z12" i="240"/>
  <c r="W18" i="240"/>
  <c r="Z17" i="240"/>
  <c r="AH16" i="240"/>
  <c r="AK19" i="240"/>
  <c r="AI20" i="240"/>
  <c r="AI24" i="240"/>
  <c r="Z13" i="240"/>
  <c r="Z16" i="240"/>
  <c r="AG14" i="240"/>
  <c r="AF18" i="240"/>
  <c r="AH17" i="240"/>
  <c r="AK17" i="240"/>
  <c r="AF21" i="240"/>
  <c r="AH20" i="240"/>
  <c r="AJ20" i="240"/>
  <c r="AJ13" i="240"/>
  <c r="AK20" i="240"/>
  <c r="AI23" i="240"/>
  <c r="AK24" i="240"/>
  <c r="AJ19" i="240"/>
  <c r="N20" i="240"/>
  <c r="N24" i="240"/>
  <c r="Y21" i="240"/>
  <c r="AK23" i="240"/>
  <c r="N17" i="240"/>
  <c r="L18" i="240"/>
  <c r="N15" i="240"/>
  <c r="H22" i="240"/>
  <c r="AJ11" i="240"/>
  <c r="AH11" i="240"/>
  <c r="G22" i="240"/>
  <c r="J14" i="240"/>
  <c r="N9" i="240"/>
  <c r="K18" i="240"/>
  <c r="N16" i="240"/>
  <c r="J21" i="240"/>
  <c r="N23" i="240"/>
  <c r="AJ23" i="240"/>
  <c r="V18" i="240"/>
  <c r="Z15" i="240"/>
  <c r="AI15" i="240"/>
  <c r="Z10" i="240"/>
  <c r="V14" i="240"/>
  <c r="Z11" i="240"/>
  <c r="AF14" i="240"/>
  <c r="AI10" i="240"/>
  <c r="Z9" i="240"/>
  <c r="Y14" i="240"/>
  <c r="AH10" i="240"/>
  <c r="AH12" i="240"/>
  <c r="AH9" i="240"/>
  <c r="AH15" i="240"/>
  <c r="AH19" i="240"/>
  <c r="Z23" i="240"/>
  <c r="Z26" i="240" s="1"/>
  <c r="Y18" i="240"/>
  <c r="Z19" i="240"/>
  <c r="Z21" i="240" s="1"/>
  <c r="X14" i="240"/>
  <c r="N19" i="240"/>
  <c r="M18" i="240"/>
  <c r="L14" i="240"/>
  <c r="M14" i="240"/>
  <c r="K14" i="240"/>
  <c r="J18" i="240"/>
  <c r="I45" i="261"/>
  <c r="J40" i="261"/>
  <c r="J41" i="261"/>
  <c r="J43" i="261"/>
  <c r="J39" i="261"/>
  <c r="I40" i="261"/>
  <c r="I41" i="261"/>
  <c r="I43" i="261"/>
  <c r="I39" i="261"/>
  <c r="J38" i="261"/>
  <c r="I38" i="261"/>
  <c r="J18" i="261"/>
  <c r="I18" i="261"/>
  <c r="J60" i="261"/>
  <c r="I60" i="261"/>
  <c r="H60" i="261"/>
  <c r="K60" i="261" s="1"/>
  <c r="H46" i="261"/>
  <c r="H45" i="261"/>
  <c r="E46" i="261"/>
  <c r="E45" i="261"/>
  <c r="H40" i="261"/>
  <c r="H41" i="261"/>
  <c r="H43" i="261"/>
  <c r="H39" i="261"/>
  <c r="H38" i="261"/>
  <c r="E40" i="261"/>
  <c r="E41" i="261"/>
  <c r="E43" i="261"/>
  <c r="E39" i="261"/>
  <c r="E38" i="261"/>
  <c r="H33" i="261"/>
  <c r="H34" i="261"/>
  <c r="H35" i="261"/>
  <c r="H32" i="261"/>
  <c r="E33" i="261"/>
  <c r="E34" i="261"/>
  <c r="K34" i="261" s="1"/>
  <c r="E35" i="261"/>
  <c r="E32" i="261"/>
  <c r="E29" i="261"/>
  <c r="H29" i="261"/>
  <c r="H28" i="261"/>
  <c r="E28" i="261"/>
  <c r="E26" i="261"/>
  <c r="H26" i="261"/>
  <c r="H24" i="261"/>
  <c r="H25" i="261" s="1"/>
  <c r="E24" i="261"/>
  <c r="E25" i="261" s="1"/>
  <c r="H21" i="261"/>
  <c r="H20" i="261"/>
  <c r="E21" i="261"/>
  <c r="E20" i="261"/>
  <c r="H18" i="261"/>
  <c r="E18" i="261"/>
  <c r="H11" i="261"/>
  <c r="H12" i="261"/>
  <c r="H13" i="261"/>
  <c r="H14" i="261"/>
  <c r="H15" i="261"/>
  <c r="H16" i="261"/>
  <c r="H10" i="261"/>
  <c r="H9" i="261"/>
  <c r="K11" i="261"/>
  <c r="E12" i="261"/>
  <c r="K12" i="261" s="1"/>
  <c r="E13" i="261"/>
  <c r="K13" i="261" s="1"/>
  <c r="E14" i="261"/>
  <c r="K14" i="261" s="1"/>
  <c r="E15" i="261"/>
  <c r="K15" i="261" s="1"/>
  <c r="E16" i="261"/>
  <c r="E10" i="261"/>
  <c r="K10" i="261" s="1"/>
  <c r="E9" i="261"/>
  <c r="H58" i="261"/>
  <c r="H62" i="261" s="1"/>
  <c r="G58" i="261"/>
  <c r="G62" i="261" s="1"/>
  <c r="E58" i="261"/>
  <c r="E62" i="261" s="1"/>
  <c r="D58" i="261"/>
  <c r="D62" i="261" s="1"/>
  <c r="D36" i="261"/>
  <c r="D37" i="261" s="1"/>
  <c r="G36" i="261"/>
  <c r="G37" i="261" s="1"/>
  <c r="D30" i="261"/>
  <c r="G30" i="261"/>
  <c r="D27" i="261"/>
  <c r="G27" i="261"/>
  <c r="H27" i="261"/>
  <c r="G25" i="261"/>
  <c r="D22" i="261"/>
  <c r="F48" i="261"/>
  <c r="G22" i="261"/>
  <c r="D17" i="261"/>
  <c r="D19" i="261" s="1"/>
  <c r="G17" i="261"/>
  <c r="G19" i="261" s="1"/>
  <c r="J46" i="261"/>
  <c r="J45" i="261"/>
  <c r="J35" i="261"/>
  <c r="J34" i="261"/>
  <c r="J33" i="261"/>
  <c r="J32" i="261"/>
  <c r="J29" i="261"/>
  <c r="J28" i="261"/>
  <c r="J26" i="261"/>
  <c r="J27" i="261" s="1"/>
  <c r="J24" i="261"/>
  <c r="J25" i="261" s="1"/>
  <c r="J21" i="261"/>
  <c r="J20" i="261"/>
  <c r="J16" i="261"/>
  <c r="J15" i="261"/>
  <c r="J14" i="261"/>
  <c r="J13" i="261"/>
  <c r="J12" i="261"/>
  <c r="J11" i="261"/>
  <c r="J10" i="261"/>
  <c r="J9" i="261"/>
  <c r="J23" i="260"/>
  <c r="J26" i="260" s="1"/>
  <c r="I23" i="260"/>
  <c r="I26" i="260" s="1"/>
  <c r="H20" i="260"/>
  <c r="H19" i="260"/>
  <c r="H16" i="260"/>
  <c r="H17" i="260"/>
  <c r="H15" i="260"/>
  <c r="H11" i="260"/>
  <c r="H12" i="260"/>
  <c r="H13" i="260"/>
  <c r="H10" i="260"/>
  <c r="H9" i="260"/>
  <c r="H27" i="260"/>
  <c r="K27" i="260" s="1"/>
  <c r="H23" i="260"/>
  <c r="H26" i="260" s="1"/>
  <c r="H63" i="261" s="1"/>
  <c r="E24" i="260"/>
  <c r="E23" i="260"/>
  <c r="E20" i="260"/>
  <c r="E19" i="260"/>
  <c r="E17" i="260"/>
  <c r="E16" i="260"/>
  <c r="E15" i="260"/>
  <c r="E10" i="260"/>
  <c r="E11" i="260"/>
  <c r="E12" i="260"/>
  <c r="E13" i="260"/>
  <c r="E9" i="260"/>
  <c r="G26" i="260"/>
  <c r="G63" i="261" s="1"/>
  <c r="G21" i="260"/>
  <c r="D21" i="260"/>
  <c r="G18" i="260"/>
  <c r="G14" i="260"/>
  <c r="D14" i="260"/>
  <c r="J27" i="260"/>
  <c r="J20" i="260"/>
  <c r="J19" i="260"/>
  <c r="J17" i="260"/>
  <c r="J16" i="260"/>
  <c r="J15" i="260"/>
  <c r="J13" i="260"/>
  <c r="J12" i="260"/>
  <c r="J11" i="260"/>
  <c r="J10" i="260"/>
  <c r="J9" i="260"/>
  <c r="AG22" i="240" l="1"/>
  <c r="AH26" i="240"/>
  <c r="AH21" i="240"/>
  <c r="AI26" i="240"/>
  <c r="AL24" i="240"/>
  <c r="AK26" i="240"/>
  <c r="N26" i="240"/>
  <c r="AI21" i="240"/>
  <c r="N21" i="240"/>
  <c r="AH18" i="240"/>
  <c r="AL9" i="240"/>
  <c r="G55" i="261"/>
  <c r="H22" i="261"/>
  <c r="H48" i="261" s="1"/>
  <c r="K21" i="261"/>
  <c r="AJ18" i="240"/>
  <c r="X22" i="240"/>
  <c r="AL12" i="240"/>
  <c r="AL13" i="240"/>
  <c r="AL15" i="240"/>
  <c r="AJ26" i="240"/>
  <c r="AJ21" i="240"/>
  <c r="D31" i="261"/>
  <c r="D47" i="261" s="1"/>
  <c r="G31" i="261"/>
  <c r="AE22" i="240"/>
  <c r="H55" i="261"/>
  <c r="H21" i="260"/>
  <c r="G48" i="261"/>
  <c r="K26" i="261"/>
  <c r="K27" i="261" s="1"/>
  <c r="AK18" i="240"/>
  <c r="AL16" i="240"/>
  <c r="K9" i="260"/>
  <c r="E26" i="260"/>
  <c r="E63" i="261" s="1"/>
  <c r="K16" i="260"/>
  <c r="K12" i="260"/>
  <c r="D55" i="261"/>
  <c r="J58" i="261"/>
  <c r="J62" i="261" s="1"/>
  <c r="K29" i="261"/>
  <c r="K30" i="261" s="1"/>
  <c r="K39" i="261"/>
  <c r="K58" i="261"/>
  <c r="K62" i="261" s="1"/>
  <c r="D48" i="261"/>
  <c r="K28" i="261"/>
  <c r="E30" i="261"/>
  <c r="K46" i="261"/>
  <c r="H30" i="261"/>
  <c r="H31" i="261" s="1"/>
  <c r="K24" i="261"/>
  <c r="K25" i="261" s="1"/>
  <c r="K33" i="261"/>
  <c r="K45" i="261"/>
  <c r="K43" i="261"/>
  <c r="K41" i="261"/>
  <c r="K40" i="261"/>
  <c r="K38" i="261"/>
  <c r="K35" i="261"/>
  <c r="K32" i="261"/>
  <c r="E36" i="261"/>
  <c r="E37" i="261" s="1"/>
  <c r="E22" i="261"/>
  <c r="E48" i="261" s="1"/>
  <c r="K20" i="261"/>
  <c r="K18" i="261"/>
  <c r="C9" i="266"/>
  <c r="W22" i="240"/>
  <c r="AK14" i="240"/>
  <c r="AL17" i="240"/>
  <c r="Z18" i="240"/>
  <c r="N18" i="240"/>
  <c r="AI18" i="240"/>
  <c r="AL11" i="240"/>
  <c r="AJ14" i="240"/>
  <c r="AL10" i="240"/>
  <c r="AL19" i="240"/>
  <c r="N14" i="240"/>
  <c r="AK21" i="240"/>
  <c r="V22" i="240"/>
  <c r="V53" i="239" s="1"/>
  <c r="V51" i="239" s="1"/>
  <c r="V64" i="239" s="1"/>
  <c r="AF22" i="240"/>
  <c r="AL20" i="240"/>
  <c r="K16" i="261"/>
  <c r="J22" i="261"/>
  <c r="J48" i="261" s="1"/>
  <c r="J30" i="261"/>
  <c r="J31" i="261" s="1"/>
  <c r="J37" i="261" s="1"/>
  <c r="J36" i="261"/>
  <c r="H17" i="261"/>
  <c r="H19" i="261" s="1"/>
  <c r="H36" i="261"/>
  <c r="H37" i="261" s="1"/>
  <c r="H18" i="260"/>
  <c r="G22" i="260"/>
  <c r="G53" i="261" s="1"/>
  <c r="K23" i="260"/>
  <c r="J17" i="261"/>
  <c r="J19" i="261" s="1"/>
  <c r="L22" i="240"/>
  <c r="J22" i="240"/>
  <c r="J53" i="239" s="1"/>
  <c r="K22" i="240"/>
  <c r="K20" i="260"/>
  <c r="J21" i="260"/>
  <c r="E21" i="260"/>
  <c r="K17" i="260"/>
  <c r="E18" i="260"/>
  <c r="K15" i="260"/>
  <c r="J18" i="260"/>
  <c r="D22" i="260"/>
  <c r="D53" i="261" s="1"/>
  <c r="K13" i="260"/>
  <c r="E14" i="260"/>
  <c r="J63" i="261"/>
  <c r="AL23" i="240"/>
  <c r="AI14" i="240"/>
  <c r="Z14" i="240"/>
  <c r="J14" i="260"/>
  <c r="AH14" i="240"/>
  <c r="Y22" i="240"/>
  <c r="M22" i="240"/>
  <c r="E27" i="261"/>
  <c r="E17" i="261"/>
  <c r="E19" i="261" s="1"/>
  <c r="K9" i="261"/>
  <c r="K11" i="260"/>
  <c r="H14" i="260"/>
  <c r="K10" i="260"/>
  <c r="K24" i="260"/>
  <c r="K19" i="260"/>
  <c r="O317" i="244"/>
  <c r="P317" i="244" s="1"/>
  <c r="K424" i="244"/>
  <c r="K426" i="244" s="1"/>
  <c r="I424" i="244"/>
  <c r="I426" i="244" s="1"/>
  <c r="G424" i="244"/>
  <c r="G426" i="244" s="1"/>
  <c r="F424" i="244"/>
  <c r="F426" i="244" s="1"/>
  <c r="E424" i="244"/>
  <c r="E426" i="244" s="1"/>
  <c r="D424" i="244"/>
  <c r="D426" i="244" s="1"/>
  <c r="C424" i="244"/>
  <c r="C426" i="244" s="1"/>
  <c r="O8" i="244"/>
  <c r="L8" i="244"/>
  <c r="H8" i="244"/>
  <c r="K22" i="261" l="1"/>
  <c r="K48" i="261" s="1"/>
  <c r="AL26" i="240"/>
  <c r="AH22" i="240"/>
  <c r="AH53" i="239" s="1"/>
  <c r="AH51" i="239" s="1"/>
  <c r="AH64" i="239" s="1"/>
  <c r="J47" i="261"/>
  <c r="J49" i="261" s="1"/>
  <c r="J52" i="261" s="1"/>
  <c r="J55" i="261"/>
  <c r="K17" i="261"/>
  <c r="K19" i="261" s="1"/>
  <c r="D49" i="261"/>
  <c r="D52" i="261" s="1"/>
  <c r="D51" i="261" s="1"/>
  <c r="D64" i="261" s="1"/>
  <c r="F47" i="261"/>
  <c r="F49" i="261" s="1"/>
  <c r="F52" i="261" s="1"/>
  <c r="G47" i="261"/>
  <c r="G49" i="261" s="1"/>
  <c r="G52" i="261" s="1"/>
  <c r="G51" i="261" s="1"/>
  <c r="G64" i="261" s="1"/>
  <c r="K31" i="261"/>
  <c r="AJ22" i="240"/>
  <c r="AK22" i="240"/>
  <c r="AL18" i="240"/>
  <c r="N22" i="240"/>
  <c r="AL21" i="240"/>
  <c r="E55" i="261"/>
  <c r="AI22" i="240"/>
  <c r="C15" i="266"/>
  <c r="C18" i="266" s="1"/>
  <c r="K26" i="260"/>
  <c r="H22" i="260"/>
  <c r="H53" i="261" s="1"/>
  <c r="E31" i="261"/>
  <c r="K36" i="261"/>
  <c r="H47" i="261"/>
  <c r="H49" i="261" s="1"/>
  <c r="H52" i="261" s="1"/>
  <c r="AL14" i="240"/>
  <c r="Z22" i="240"/>
  <c r="Z53" i="239" s="1"/>
  <c r="Z51" i="239" s="1"/>
  <c r="Z64" i="239" s="1"/>
  <c r="K18" i="260"/>
  <c r="J51" i="239"/>
  <c r="J64" i="239" s="1"/>
  <c r="K21" i="260"/>
  <c r="E22" i="260"/>
  <c r="E53" i="261" s="1"/>
  <c r="J53" i="261"/>
  <c r="J22" i="260"/>
  <c r="K14" i="260"/>
  <c r="M424" i="244"/>
  <c r="M426" i="244" s="1"/>
  <c r="O423" i="244"/>
  <c r="P423" i="244" s="1"/>
  <c r="H424" i="244"/>
  <c r="H426" i="244" s="1"/>
  <c r="L424" i="244"/>
  <c r="L426" i="244" s="1"/>
  <c r="N424" i="244"/>
  <c r="N426" i="244" s="1"/>
  <c r="P8" i="244"/>
  <c r="J424" i="244"/>
  <c r="J426" i="244" s="1"/>
  <c r="K37" i="261" l="1"/>
  <c r="K47" i="261" s="1"/>
  <c r="K49" i="261" s="1"/>
  <c r="K52" i="261" s="1"/>
  <c r="C7" i="266" s="1"/>
  <c r="E47" i="261"/>
  <c r="E49" i="261" s="1"/>
  <c r="E52" i="261" s="1"/>
  <c r="E51" i="261" s="1"/>
  <c r="E64" i="261" s="1"/>
  <c r="AL22" i="240"/>
  <c r="AL53" i="239" s="1"/>
  <c r="AL51" i="239" s="1"/>
  <c r="AL64" i="239" s="1"/>
  <c r="K53" i="261"/>
  <c r="H51" i="261"/>
  <c r="H64" i="261" s="1"/>
  <c r="K22" i="260"/>
  <c r="C14" i="266" s="1"/>
  <c r="O424" i="244"/>
  <c r="O426" i="244" s="1"/>
  <c r="P424" i="244"/>
  <c r="P426" i="244" s="1"/>
  <c r="AD27" i="240"/>
  <c r="X40" i="239" l="1"/>
  <c r="AJ40" i="239" s="1"/>
  <c r="W40" i="239"/>
  <c r="Z40" i="239" l="1"/>
  <c r="AI40" i="239"/>
  <c r="AL40" i="239" s="1"/>
  <c r="I9" i="260"/>
  <c r="F26" i="260" l="1"/>
  <c r="F63" i="261" s="1"/>
  <c r="I27" i="260"/>
  <c r="AC60" i="239"/>
  <c r="AA60" i="239"/>
  <c r="R60" i="239"/>
  <c r="I34" i="261"/>
  <c r="I35" i="261"/>
  <c r="F58" i="261"/>
  <c r="C58" i="261"/>
  <c r="AC24" i="240"/>
  <c r="AB24" i="240"/>
  <c r="AA24" i="240"/>
  <c r="R24" i="240"/>
  <c r="F24" i="240"/>
  <c r="AC23" i="240"/>
  <c r="AB23" i="240"/>
  <c r="AA23" i="240"/>
  <c r="R23" i="240"/>
  <c r="F23" i="240"/>
  <c r="AA34" i="239"/>
  <c r="AB34" i="239"/>
  <c r="AC34" i="239"/>
  <c r="AA35" i="239"/>
  <c r="AB35" i="239"/>
  <c r="AC35" i="239"/>
  <c r="AC63" i="239"/>
  <c r="AB63" i="239"/>
  <c r="AA63" i="239"/>
  <c r="R63" i="239"/>
  <c r="AB60" i="239"/>
  <c r="AC58" i="239"/>
  <c r="AB57" i="239"/>
  <c r="AA57" i="239"/>
  <c r="R57" i="239"/>
  <c r="AB56" i="239"/>
  <c r="AA56" i="239"/>
  <c r="R56" i="239"/>
  <c r="R20" i="239"/>
  <c r="R21" i="239"/>
  <c r="AD21" i="239" s="1"/>
  <c r="I21" i="261"/>
  <c r="AA21" i="239"/>
  <c r="AB21" i="239"/>
  <c r="AC21" i="239"/>
  <c r="R18" i="239"/>
  <c r="AC18" i="239"/>
  <c r="AB18" i="239"/>
  <c r="AA18" i="239"/>
  <c r="R46" i="239"/>
  <c r="R43" i="239"/>
  <c r="R40" i="239"/>
  <c r="R41" i="239"/>
  <c r="R39" i="239"/>
  <c r="R38" i="239"/>
  <c r="R32" i="239"/>
  <c r="R36" i="239" s="1"/>
  <c r="R37" i="239" s="1"/>
  <c r="AC41" i="239"/>
  <c r="AB41" i="239"/>
  <c r="AA41" i="239"/>
  <c r="AC40" i="239"/>
  <c r="AB40" i="239"/>
  <c r="AA40" i="239"/>
  <c r="AC39" i="239"/>
  <c r="AB39" i="239"/>
  <c r="AA39" i="239"/>
  <c r="AC38" i="239"/>
  <c r="AB38" i="239"/>
  <c r="AA38" i="239"/>
  <c r="I10" i="260"/>
  <c r="I15" i="260"/>
  <c r="I46" i="261"/>
  <c r="I33" i="261"/>
  <c r="I32" i="261"/>
  <c r="I29" i="261"/>
  <c r="I28" i="261"/>
  <c r="I26" i="261"/>
  <c r="I27" i="261" s="1"/>
  <c r="I24" i="261"/>
  <c r="I25" i="261" s="1"/>
  <c r="I20" i="261"/>
  <c r="I16" i="261"/>
  <c r="I15" i="261"/>
  <c r="I14" i="261"/>
  <c r="I13" i="261"/>
  <c r="I12" i="261"/>
  <c r="I11" i="261"/>
  <c r="I10" i="261"/>
  <c r="I9" i="261"/>
  <c r="R17" i="239"/>
  <c r="I20" i="260"/>
  <c r="I19" i="260"/>
  <c r="I17" i="260"/>
  <c r="I16" i="260"/>
  <c r="I13" i="260"/>
  <c r="I12" i="260"/>
  <c r="AC29" i="239"/>
  <c r="AB29" i="239"/>
  <c r="AA29" i="239"/>
  <c r="R29" i="239"/>
  <c r="R30" i="239" s="1"/>
  <c r="AA45" i="239"/>
  <c r="R45" i="239"/>
  <c r="AC11" i="240"/>
  <c r="AC10" i="240"/>
  <c r="F9" i="240"/>
  <c r="AA9" i="240"/>
  <c r="AC9" i="240"/>
  <c r="F10" i="240"/>
  <c r="AA10" i="240"/>
  <c r="AB10" i="240"/>
  <c r="F11" i="240"/>
  <c r="R11" i="240"/>
  <c r="AB11" i="240"/>
  <c r="F13" i="240"/>
  <c r="R13" i="240"/>
  <c r="AA13" i="240"/>
  <c r="AB13" i="240"/>
  <c r="AC13" i="240"/>
  <c r="F12" i="240"/>
  <c r="R12" i="240"/>
  <c r="AA12" i="240"/>
  <c r="AB12" i="240"/>
  <c r="AC12" i="240"/>
  <c r="F15" i="240"/>
  <c r="R15" i="240"/>
  <c r="AA15" i="240"/>
  <c r="AB15" i="240"/>
  <c r="AC15" i="240"/>
  <c r="F16" i="240"/>
  <c r="R16" i="240"/>
  <c r="AA16" i="240"/>
  <c r="AB16" i="240"/>
  <c r="AC16" i="240"/>
  <c r="F17" i="240"/>
  <c r="R17" i="240"/>
  <c r="AA17" i="240"/>
  <c r="AB17" i="240"/>
  <c r="AC17" i="240"/>
  <c r="F19" i="240"/>
  <c r="R19" i="240"/>
  <c r="AA19" i="240"/>
  <c r="AB19" i="240"/>
  <c r="AC19" i="240"/>
  <c r="F20" i="240"/>
  <c r="R20" i="240"/>
  <c r="AA20" i="240"/>
  <c r="AB20" i="240"/>
  <c r="AC20" i="240"/>
  <c r="AA32" i="239"/>
  <c r="AB32" i="239"/>
  <c r="AC32" i="239"/>
  <c r="R26" i="239"/>
  <c r="R27" i="239" s="1"/>
  <c r="AA26" i="239"/>
  <c r="AA27" i="239" s="1"/>
  <c r="AB26" i="239"/>
  <c r="AB27" i="239" s="1"/>
  <c r="AC26" i="239"/>
  <c r="AC27" i="239" s="1"/>
  <c r="R24" i="239"/>
  <c r="R25" i="239" s="1"/>
  <c r="AA24" i="239"/>
  <c r="AA25" i="239" s="1"/>
  <c r="AB24" i="239"/>
  <c r="AB25" i="239" s="1"/>
  <c r="AC24" i="239"/>
  <c r="AC25" i="239" s="1"/>
  <c r="AA33" i="239"/>
  <c r="AB33" i="239"/>
  <c r="AC33" i="239"/>
  <c r="AA28" i="239"/>
  <c r="AB28" i="239"/>
  <c r="AC28" i="239"/>
  <c r="AB30" i="239"/>
  <c r="AA9" i="239"/>
  <c r="AB9" i="239"/>
  <c r="AC9" i="239"/>
  <c r="AA10" i="239"/>
  <c r="AB10" i="239"/>
  <c r="AC10" i="239"/>
  <c r="AB11" i="239"/>
  <c r="AC11" i="239"/>
  <c r="AD12" i="239"/>
  <c r="AA12" i="239"/>
  <c r="AB12" i="239"/>
  <c r="AC12" i="239"/>
  <c r="AD13" i="239"/>
  <c r="AA13" i="239"/>
  <c r="AB13" i="239"/>
  <c r="AC13" i="239"/>
  <c r="AD14" i="239"/>
  <c r="AA14" i="239"/>
  <c r="AB14" i="239"/>
  <c r="AC14" i="239"/>
  <c r="AD15" i="239"/>
  <c r="AA15" i="239"/>
  <c r="AC15" i="239"/>
  <c r="AD16" i="239"/>
  <c r="AA16" i="239"/>
  <c r="AB16" i="239"/>
  <c r="AC16" i="239"/>
  <c r="AC45" i="239"/>
  <c r="AA43" i="239"/>
  <c r="AB43" i="239"/>
  <c r="AC43" i="239"/>
  <c r="AA20" i="239"/>
  <c r="AB20" i="239"/>
  <c r="AC20" i="239"/>
  <c r="AA46" i="239"/>
  <c r="AB46" i="239"/>
  <c r="AC46" i="239"/>
  <c r="AB45" i="239"/>
  <c r="AA11" i="239"/>
  <c r="R9" i="240"/>
  <c r="AA11" i="240"/>
  <c r="AB9" i="240"/>
  <c r="R10" i="240"/>
  <c r="I11" i="260"/>
  <c r="AC22" i="239" l="1"/>
  <c r="AC48" i="239" s="1"/>
  <c r="R58" i="239"/>
  <c r="R62" i="239" s="1"/>
  <c r="R55" i="239" s="1"/>
  <c r="R26" i="240"/>
  <c r="AA21" i="240"/>
  <c r="I22" i="261"/>
  <c r="I48" i="261" s="1"/>
  <c r="AC62" i="239"/>
  <c r="I58" i="261"/>
  <c r="AB26" i="240"/>
  <c r="R31" i="239"/>
  <c r="R21" i="240"/>
  <c r="AA26" i="240"/>
  <c r="AD19" i="240"/>
  <c r="I21" i="260"/>
  <c r="F26" i="240"/>
  <c r="AC26" i="240"/>
  <c r="F55" i="261"/>
  <c r="F22" i="260"/>
  <c r="F53" i="261" s="1"/>
  <c r="F51" i="261" s="1"/>
  <c r="C55" i="261"/>
  <c r="C48" i="261"/>
  <c r="I30" i="261"/>
  <c r="I31" i="261" s="1"/>
  <c r="I17" i="261"/>
  <c r="I19" i="261" s="1"/>
  <c r="R18" i="240"/>
  <c r="AD24" i="240"/>
  <c r="AB58" i="239"/>
  <c r="AB62" i="239" s="1"/>
  <c r="R22" i="239"/>
  <c r="AD57" i="239"/>
  <c r="AA58" i="239"/>
  <c r="AA62" i="239" s="1"/>
  <c r="AC17" i="239"/>
  <c r="AC19" i="239" s="1"/>
  <c r="K63" i="261"/>
  <c r="K55" i="261" s="1"/>
  <c r="I63" i="261"/>
  <c r="AD28" i="239"/>
  <c r="AD29" i="239"/>
  <c r="AD33" i="239"/>
  <c r="AD34" i="239"/>
  <c r="AC18" i="240"/>
  <c r="K51" i="261"/>
  <c r="J51" i="261"/>
  <c r="J64" i="261" s="1"/>
  <c r="F21" i="240"/>
  <c r="AD20" i="240"/>
  <c r="I14" i="260"/>
  <c r="R14" i="240"/>
  <c r="I18" i="260"/>
  <c r="AD26" i="239"/>
  <c r="AD27" i="239" s="1"/>
  <c r="I36" i="261"/>
  <c r="I37" i="261" s="1"/>
  <c r="AD9" i="239"/>
  <c r="AD63" i="239"/>
  <c r="AD46" i="239"/>
  <c r="AD38" i="239"/>
  <c r="R19" i="239"/>
  <c r="AC36" i="239"/>
  <c r="AB22" i="239"/>
  <c r="AB48" i="239" s="1"/>
  <c r="AB31" i="239"/>
  <c r="AB37" i="239" s="1"/>
  <c r="AD24" i="239"/>
  <c r="AD25" i="239" s="1"/>
  <c r="AB36" i="239"/>
  <c r="AD40" i="239"/>
  <c r="AD35" i="239"/>
  <c r="AD60" i="239"/>
  <c r="AD56" i="239"/>
  <c r="AD58" i="239" s="1"/>
  <c r="AD45" i="239"/>
  <c r="AD39" i="239"/>
  <c r="AD41" i="239"/>
  <c r="AA22" i="239"/>
  <c r="AA48" i="239" s="1"/>
  <c r="AD18" i="239"/>
  <c r="AB17" i="239"/>
  <c r="AB19" i="239" s="1"/>
  <c r="AA17" i="239"/>
  <c r="AA19" i="239" s="1"/>
  <c r="C22" i="260"/>
  <c r="C53" i="261" s="1"/>
  <c r="AD15" i="240"/>
  <c r="AB18" i="240"/>
  <c r="AD11" i="240"/>
  <c r="AD12" i="240"/>
  <c r="AD10" i="240"/>
  <c r="AB21" i="240"/>
  <c r="AD17" i="240"/>
  <c r="F18" i="240"/>
  <c r="AB14" i="240"/>
  <c r="AA14" i="240"/>
  <c r="AA30" i="239"/>
  <c r="AA31" i="239" s="1"/>
  <c r="AD9" i="240"/>
  <c r="AD11" i="239"/>
  <c r="AC30" i="239"/>
  <c r="AC31" i="239" s="1"/>
  <c r="AC37" i="239" s="1"/>
  <c r="AA36" i="239"/>
  <c r="AD32" i="239"/>
  <c r="AD13" i="240"/>
  <c r="R48" i="239"/>
  <c r="AA18" i="240"/>
  <c r="AD23" i="240"/>
  <c r="AD43" i="239"/>
  <c r="AD20" i="239"/>
  <c r="AD22" i="239" s="1"/>
  <c r="AD10" i="239"/>
  <c r="AC21" i="240"/>
  <c r="AD16" i="240"/>
  <c r="F14" i="240"/>
  <c r="AC14" i="240"/>
  <c r="AA37" i="239" l="1"/>
  <c r="I53" i="261"/>
  <c r="AA47" i="239"/>
  <c r="AA49" i="239" s="1"/>
  <c r="I47" i="261"/>
  <c r="I49" i="261" s="1"/>
  <c r="C47" i="261"/>
  <c r="C49" i="261" s="1"/>
  <c r="C52" i="261" s="1"/>
  <c r="C51" i="261" s="1"/>
  <c r="C64" i="261" s="1"/>
  <c r="R22" i="240"/>
  <c r="R53" i="239" s="1"/>
  <c r="AD26" i="240"/>
  <c r="AD21" i="240"/>
  <c r="F64" i="261"/>
  <c r="I55" i="261"/>
  <c r="K64" i="261"/>
  <c r="C8" i="266"/>
  <c r="AD62" i="239"/>
  <c r="AD55" i="239" s="1"/>
  <c r="AD30" i="239"/>
  <c r="AD31" i="239" s="1"/>
  <c r="AC47" i="239"/>
  <c r="AC49" i="239" s="1"/>
  <c r="AB47" i="239"/>
  <c r="AB49" i="239" s="1"/>
  <c r="AD17" i="239"/>
  <c r="AD19" i="239" s="1"/>
  <c r="F22" i="240"/>
  <c r="I22" i="260"/>
  <c r="R47" i="239"/>
  <c r="R49" i="239" s="1"/>
  <c r="R52" i="239" s="1"/>
  <c r="AD36" i="239"/>
  <c r="AB22" i="240"/>
  <c r="AD18" i="240"/>
  <c r="AA22" i="240"/>
  <c r="AC22" i="240"/>
  <c r="AD14" i="240"/>
  <c r="AD48" i="239"/>
  <c r="AD37" i="239" l="1"/>
  <c r="C12" i="266"/>
  <c r="C21" i="266" s="1"/>
  <c r="F53" i="239"/>
  <c r="F51" i="239" s="1"/>
  <c r="F64" i="239" s="1"/>
  <c r="AD47" i="239"/>
  <c r="AD49" i="239" s="1"/>
  <c r="AD52" i="239" s="1"/>
  <c r="R51" i="239"/>
  <c r="R64" i="239" s="1"/>
  <c r="I52" i="261"/>
  <c r="I51" i="261" s="1"/>
  <c r="I64" i="261" s="1"/>
  <c r="C20" i="266"/>
  <c r="AD22" i="240"/>
  <c r="AD53" i="239" s="1"/>
  <c r="C22" i="266" l="1"/>
  <c r="N53" i="239"/>
  <c r="N51" i="239" s="1"/>
  <c r="N64" i="239" s="1"/>
  <c r="AD51" i="239"/>
  <c r="AD64" i="239" s="1"/>
</calcChain>
</file>

<file path=xl/sharedStrings.xml><?xml version="1.0" encoding="utf-8"?>
<sst xmlns="http://schemas.openxmlformats.org/spreadsheetml/2006/main" count="3507" uniqueCount="1298">
  <si>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</si>
  <si>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</si>
  <si>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</si>
  <si>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</si>
  <si>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</si>
  <si>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</si>
  <si>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</si>
  <si>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</si>
  <si>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</si>
  <si>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</si>
  <si>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</si>
  <si>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</si>
  <si>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</si>
  <si>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</si>
  <si>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</si>
  <si>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</si>
  <si>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</si>
  <si>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</si>
  <si>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</si>
  <si>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</si>
  <si>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</si>
  <si>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</si>
  <si>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Székesfehérvár Megyei Jogú Város Önkormányzat</t>
  </si>
  <si>
    <t>Költségvetési szervek összesen</t>
  </si>
  <si>
    <t>~ ebből: Szent István Király Múzeum támogatása</t>
  </si>
  <si>
    <t xml:space="preserve">              Vörösmarty Mihály Megyei Könyvtár és a városi könyvtár támogatása</t>
  </si>
  <si>
    <t xml:space="preserve">              Vörösmarty Színház támogatása</t>
  </si>
  <si>
    <t>1, Személyi juttatás</t>
  </si>
  <si>
    <t>2, Munkaadókat terhelő járulékok és szociális hozzájárulási adó</t>
  </si>
  <si>
    <t>3, Dologi kiadás</t>
  </si>
  <si>
    <t>Személyi juttatás</t>
  </si>
  <si>
    <t>Munkaadókat terhelő járulékok és szociális hozzájárulási adó</t>
  </si>
  <si>
    <t>Dologi kiadás</t>
  </si>
  <si>
    <t>g.=b. +…+ f.</t>
  </si>
  <si>
    <t>h.</t>
  </si>
  <si>
    <t>i.</t>
  </si>
  <si>
    <t>j.</t>
  </si>
  <si>
    <t>k.=h. +i.+ j.</t>
  </si>
  <si>
    <t>l.</t>
  </si>
  <si>
    <t>m.</t>
  </si>
  <si>
    <t xml:space="preserve">III. </t>
  </si>
  <si>
    <t>Városfejlesztés</t>
  </si>
  <si>
    <t>Humán Szolgáltatás</t>
  </si>
  <si>
    <t>A.</t>
  </si>
  <si>
    <t>Kiadások összesen (I-VIII.)</t>
  </si>
  <si>
    <t>Céltartalék összesen</t>
  </si>
  <si>
    <t>IX.</t>
  </si>
  <si>
    <t>Tartalékok összesen</t>
  </si>
  <si>
    <t>C.</t>
  </si>
  <si>
    <t>KIADÁSOK MINDÖSSZESEN (I-IX.)</t>
  </si>
  <si>
    <t xml:space="preserve">             Alba Regia Sport Club - Ingatlan üzemeltetésével összefüggő költségekhez</t>
  </si>
  <si>
    <t>Beruházások</t>
  </si>
  <si>
    <t>MEGNEVEZÉS</t>
  </si>
  <si>
    <t>Működési bevételek</t>
  </si>
  <si>
    <t>Személyi juttatások</t>
  </si>
  <si>
    <t>Közhatalmi bevételek</t>
  </si>
  <si>
    <t>Dologi kiadások</t>
  </si>
  <si>
    <t>Tartalékok</t>
  </si>
  <si>
    <t>Felhalmozási bevételek</t>
  </si>
  <si>
    <t>Felújítások</t>
  </si>
  <si>
    <t>Költségvetési bevételek-kiadások egyenlege</t>
  </si>
  <si>
    <t>Költségvetési kiadások összesen:</t>
  </si>
  <si>
    <t>Költségvetési bevételek összesen:</t>
  </si>
  <si>
    <t>VAGYONGAZDÁLKODÁS</t>
  </si>
  <si>
    <t>VÁROS- ÉS KÖZSÉGGAZDÁLKODÁS</t>
  </si>
  <si>
    <t>HUMÁN SZOLGÁLTATÁS</t>
  </si>
  <si>
    <t xml:space="preserve">             Alba Regia Atlétikai Klub</t>
  </si>
  <si>
    <t>NEMZETISÉGI ÖNKORMÁNYZATOK</t>
  </si>
  <si>
    <t>Társadalmi Felelősségvállalási Alap</t>
  </si>
  <si>
    <t>Céltartalék</t>
  </si>
  <si>
    <t>Önkormányzat mindösszesen</t>
  </si>
  <si>
    <t xml:space="preserve">           Fehérvári Kézművesek Egyesülete</t>
  </si>
  <si>
    <t xml:space="preserve">           Hermann László Vonószenekari Egyesület</t>
  </si>
  <si>
    <t xml:space="preserve">           Székesfehérvári Művészek Társasága</t>
  </si>
  <si>
    <t>Általános tartalék</t>
  </si>
  <si>
    <t>Kiadások összesen</t>
  </si>
  <si>
    <t>I.</t>
  </si>
  <si>
    <t>Pénzügyi igazgatási feladatok</t>
  </si>
  <si>
    <t>Különféle adók, díjak, pénzügyi kiadások</t>
  </si>
  <si>
    <t>Közösségi, társadalmi és információs tevékenység</t>
  </si>
  <si>
    <t>Társadalmi kapcsolatok kiadásai</t>
  </si>
  <si>
    <t>Személyügyi kiadások</t>
  </si>
  <si>
    <t>Informatikai terület</t>
  </si>
  <si>
    <t>Szociális ellátási és gyermekvédelmi feladatok</t>
  </si>
  <si>
    <t>Fejlesztési, felhalmozási ráfordítások</t>
  </si>
  <si>
    <t>IV.</t>
  </si>
  <si>
    <t>Lakás-, vagyongazdálkodási kiadások</t>
  </si>
  <si>
    <t>V.</t>
  </si>
  <si>
    <t>Székesfehérvár Városgondnoksága Kft.</t>
  </si>
  <si>
    <t>Főépítészi kiadások</t>
  </si>
  <si>
    <t>Környezetvédelmi kiadások</t>
  </si>
  <si>
    <t>VI.</t>
  </si>
  <si>
    <t>Közoktatási feladatok</t>
  </si>
  <si>
    <t>Szociális intézményi és egészségügyi feladatok</t>
  </si>
  <si>
    <t>Közművelődési kiadások</t>
  </si>
  <si>
    <t>Diáksport és szabadidős tevékenység</t>
  </si>
  <si>
    <t>VII.</t>
  </si>
  <si>
    <t>VIII.</t>
  </si>
  <si>
    <t>Polgármesteri keret</t>
  </si>
  <si>
    <t>Képviselői Alap</t>
  </si>
  <si>
    <t xml:space="preserve">             Egyéb sportszakosztályi támogatások</t>
  </si>
  <si>
    <t xml:space="preserve">              Kegyeleti rendelet végrehajtása</t>
  </si>
  <si>
    <t xml:space="preserve">              Rászorulókat segítő karácsonyi programok és támogatások</t>
  </si>
  <si>
    <t>Nemzetközi kapcsolatok és reprezentáció</t>
  </si>
  <si>
    <t>~ ebből: Önkormányzati Informatikai Központ Nonprofit Kft.</t>
  </si>
  <si>
    <t>Rendvédelmi, közbiztonsági feladatok, védelmi felkészítés</t>
  </si>
  <si>
    <t>II.</t>
  </si>
  <si>
    <t>HATÓSÁGI TEVÉKENYSÉG</t>
  </si>
  <si>
    <t>III.</t>
  </si>
  <si>
    <t>IGAZGATÁSI TEVÉKENYSÉG</t>
  </si>
  <si>
    <t>Közbeszerzési és egyéb jogi eljárásokkal kapcsolatos kiadások</t>
  </si>
  <si>
    <t xml:space="preserve">             Köfém Sport Club Női Kézilabda Szakosztály</t>
  </si>
  <si>
    <t xml:space="preserve">           KÖFÉM Oktatási és Közművelődési Központ Nonprofit Közhasznú Kft.</t>
  </si>
  <si>
    <t>Környezetvédelmi Alap</t>
  </si>
  <si>
    <t>~ ebből: Nemzetközi kapcsolatok</t>
  </si>
  <si>
    <t xml:space="preserve">              Reprezentáció</t>
  </si>
  <si>
    <t xml:space="preserve">              Határon túli magyar kapcsolatok</t>
  </si>
  <si>
    <t xml:space="preserve">              Székesfehérvári Csemete Alapítvány támogatása - bölcsődei ellátás</t>
  </si>
  <si>
    <t xml:space="preserve">           Székesfehérvári Egyházmegye</t>
  </si>
  <si>
    <t xml:space="preserve"> - Kulturális feladatok</t>
  </si>
  <si>
    <t xml:space="preserve">  - Közművelődési megállapodások, támogatások</t>
  </si>
  <si>
    <t xml:space="preserve">           Vörösmarty Társaság</t>
  </si>
  <si>
    <t>~ ebből: Diáksportkör kiadásai</t>
  </si>
  <si>
    <t xml:space="preserve">              Sportcélok és feladatok</t>
  </si>
  <si>
    <t>~ ebből: Nyugdíjazással kapcsolatos kifizetések</t>
  </si>
  <si>
    <t xml:space="preserve">              Székesfehérvári Református Egyházközség támogatása - Olajfa Református Óvoda</t>
  </si>
  <si>
    <t>Tagdíjak, testületek</t>
  </si>
  <si>
    <t xml:space="preserve">              Alapítvány a Székesfehérvári Fogyasztóvédelemért</t>
  </si>
  <si>
    <t xml:space="preserve">           Alba Regia Vegyeskar Egyesület</t>
  </si>
  <si>
    <t xml:space="preserve">           Székesfehérvári "Bakony" Népzenei Együttes Egyesület</t>
  </si>
  <si>
    <t xml:space="preserve">           Székesfehérvári Ifjúsági Fúvószenekar Egyesület</t>
  </si>
  <si>
    <t xml:space="preserve">           "Aranybulla" Könyvtár Alapítvány</t>
  </si>
  <si>
    <t>Kötelező feladat</t>
  </si>
  <si>
    <t>Önként vállalt feladat</t>
  </si>
  <si>
    <t>-</t>
  </si>
  <si>
    <t>Sportlétesítményekkel kapcsolatos kiadások</t>
  </si>
  <si>
    <t xml:space="preserve">             Handball Future Szolgáltató Kft.- Ingatlan üzemeltetésével összefüggő költségekhez</t>
  </si>
  <si>
    <t>Megnevezés</t>
  </si>
  <si>
    <t>a.</t>
  </si>
  <si>
    <t>b.</t>
  </si>
  <si>
    <t>c.</t>
  </si>
  <si>
    <t>d.</t>
  </si>
  <si>
    <t>e.</t>
  </si>
  <si>
    <t>f.</t>
  </si>
  <si>
    <t>Összesen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</si>
  <si>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</si>
  <si>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</si>
  <si>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</si>
  <si>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</si>
  <si>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</si>
  <si>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</si>
  <si>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</si>
  <si>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</si>
  <si>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</si>
  <si>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Rovat száma</t>
  </si>
  <si>
    <t>K1</t>
  </si>
  <si>
    <t>K2</t>
  </si>
  <si>
    <t>K3</t>
  </si>
  <si>
    <t>K4</t>
  </si>
  <si>
    <t>K6</t>
  </si>
  <si>
    <t>K7</t>
  </si>
  <si>
    <t>K8</t>
  </si>
  <si>
    <t>7, Beruházások</t>
  </si>
  <si>
    <t>8, Felújítások</t>
  </si>
  <si>
    <t>(K1-K8)</t>
  </si>
  <si>
    <t>B1</t>
  </si>
  <si>
    <t>B2</t>
  </si>
  <si>
    <t>B3</t>
  </si>
  <si>
    <t>B4</t>
  </si>
  <si>
    <t>B5</t>
  </si>
  <si>
    <t>B6</t>
  </si>
  <si>
    <t>B7</t>
  </si>
  <si>
    <t>4. Előző évi felhalmozási célú költségvetési maradvány igénybevétele</t>
  </si>
  <si>
    <t>5. Maradvány igénybevétele (3+4)</t>
  </si>
  <si>
    <t>B8</t>
  </si>
  <si>
    <t>Szennyvízcsatorna építések</t>
  </si>
  <si>
    <t>Székesfehérvár Vizi Társulat éves tagdíja</t>
  </si>
  <si>
    <t>Egyéb</t>
  </si>
  <si>
    <t>Tervezési munkák</t>
  </si>
  <si>
    <t>Hatósági és egyéb díjak</t>
  </si>
  <si>
    <t>Belvárosi épületek rekonstrukcióját szolgáló fejlesztési alap (vissza nem térítendő támogatás)</t>
  </si>
  <si>
    <t>5, Egyéb működési célú kiadások</t>
  </si>
  <si>
    <t>3. Előző évi működési célú költségvetési  maradvány igénybevétele</t>
  </si>
  <si>
    <t>Tájékoztató Székesfehérvár Megyei Jogú Város Önkormányzat és  Költségvetési szervei</t>
  </si>
  <si>
    <t>Költségvetési szervek</t>
  </si>
  <si>
    <t>b/1</t>
  </si>
  <si>
    <t>c/1</t>
  </si>
  <si>
    <t>d/1</t>
  </si>
  <si>
    <t>1, Helyi önkormányzatok működésének általános támogatása</t>
  </si>
  <si>
    <t xml:space="preserve">4, Települési önkormányzatok kulturális feladatainak támogatása </t>
  </si>
  <si>
    <t>6, Önkormányzatok működési támogatásai összesen (1+2+3+4+5):</t>
  </si>
  <si>
    <t>B111</t>
  </si>
  <si>
    <t>B112</t>
  </si>
  <si>
    <t>B113</t>
  </si>
  <si>
    <t>B114</t>
  </si>
  <si>
    <t>B11</t>
  </si>
  <si>
    <t>B21</t>
  </si>
  <si>
    <t>B34</t>
  </si>
  <si>
    <t>B351</t>
  </si>
  <si>
    <t>B354</t>
  </si>
  <si>
    <t>B355</t>
  </si>
  <si>
    <t>B35</t>
  </si>
  <si>
    <t>B36</t>
  </si>
  <si>
    <t>B404</t>
  </si>
  <si>
    <t>B408</t>
  </si>
  <si>
    <t>B52</t>
  </si>
  <si>
    <t>11, Általános tartalék</t>
  </si>
  <si>
    <t>12, Céltartalék</t>
  </si>
  <si>
    <t>13, Tartalékok összesen:</t>
  </si>
  <si>
    <t>14,Költségvetési kiadások összesen:</t>
  </si>
  <si>
    <t>K9</t>
  </si>
  <si>
    <t>~ ebből: Tulajdonosi bevételek</t>
  </si>
  <si>
    <t xml:space="preserve">              Kiszámlázott általános forgalmi adó, és általános forgalmi adó visszatérítése</t>
  </si>
  <si>
    <t>B406-B407</t>
  </si>
  <si>
    <t xml:space="preserve">              Kamatbevételek</t>
  </si>
  <si>
    <t>B813</t>
  </si>
  <si>
    <t>1. Költségvetési bevételek mindösszesen</t>
  </si>
  <si>
    <t>2. Költségvetési kiadások mindösszesen</t>
  </si>
  <si>
    <t>I. Költségvetési bevételek</t>
  </si>
  <si>
    <t>III. Költségvetési kiadások</t>
  </si>
  <si>
    <t>V. Költségvetési egyenleg I-III.</t>
  </si>
  <si>
    <t>VI. Finanszírozási egyenleg II-IV.</t>
  </si>
  <si>
    <t>VII. Egyenleg V-VI.</t>
  </si>
  <si>
    <t>Székesfehérvár Megyei Jogú Város Önkormányzat és  Költségvetési szervei</t>
  </si>
  <si>
    <t>(B1-B7)</t>
  </si>
  <si>
    <t>1. Maradvány igénybevétele</t>
  </si>
  <si>
    <t>Műszaki ellenőrzések kerete</t>
  </si>
  <si>
    <t>7, Egyéb működési célú támogatások bevételei államháztartáson belülről</t>
  </si>
  <si>
    <t>B16</t>
  </si>
  <si>
    <t>8, Működési célú támogatások államháztartáson belülről összesen (6+7):</t>
  </si>
  <si>
    <t>9, Felhalmozási célú önkormányzati támogatások</t>
  </si>
  <si>
    <t>B25</t>
  </si>
  <si>
    <t>10, Egyéb felhalmozási célú támogatások bevételei államháztartáson belülről</t>
  </si>
  <si>
    <t>11, Felhalmozási célú támogatások államháztartáson belülről összesen: (9+10)</t>
  </si>
  <si>
    <t xml:space="preserve">              Közbiztonsági problémák társadalmi kezelése</t>
  </si>
  <si>
    <t>Anyakönyvi népesség-nyilvántartási és okmánykibocsátási tevékenység</t>
  </si>
  <si>
    <t xml:space="preserve">              Alba Volán Zrt. 504/2012.(VIII.17.) kgy.hat. .I. 1. b. pontja alapján történő finanszírozására</t>
  </si>
  <si>
    <t xml:space="preserve">           Fehérvári Versünnep, a Költészet Napja - Fehérvár Médiacentrum Kft.</t>
  </si>
  <si>
    <t xml:space="preserve">           Székesfehérvári Turisztikai Közhasznú Nonprofit Kft. - működéshez</t>
  </si>
  <si>
    <t xml:space="preserve"> - Kulturális feladatokhoz kapcsolódó egyéb rendezvények</t>
  </si>
  <si>
    <t>Sportszakosztályi és csarnoküzemeltetési támogatások</t>
  </si>
  <si>
    <t>Egyéb sportcélú támogatások</t>
  </si>
  <si>
    <t>~ ebből: Civil nap megrendezési költségei</t>
  </si>
  <si>
    <t xml:space="preserve">              Önkormányzati kitüntetések, címek</t>
  </si>
  <si>
    <t xml:space="preserve">              Lakásbérlők és Lakástulajdonosok Érdekvédelmi Egyesülete</t>
  </si>
  <si>
    <t xml:space="preserve">              Alba Regia Nyugdíjas Egyesület</t>
  </si>
  <si>
    <t xml:space="preserve">              Széna Egyesület a Családokért</t>
  </si>
  <si>
    <t xml:space="preserve">              Szegényeket Támogató Alapítvány</t>
  </si>
  <si>
    <t xml:space="preserve">              Ifjúság A Jövő Családjaiért Kulturális Közhasznú Egyesület</t>
  </si>
  <si>
    <t xml:space="preserve">              Székesfehérvári Egyházmegye-Belvárosi templomok turisztikai célú támogatása</t>
  </si>
  <si>
    <t xml:space="preserve">              Székesfehérvári Városszépítő- és Védő Egyesület</t>
  </si>
  <si>
    <t xml:space="preserve">              Magyar Hadisírgondozó Szövetség</t>
  </si>
  <si>
    <t xml:space="preserve">              Fehérvári Tűzoltó Egyesület</t>
  </si>
  <si>
    <t>Lakáselidegenítés kiadásai</t>
  </si>
  <si>
    <t xml:space="preserve">           Primavera Vegyeskórus Egyesület</t>
  </si>
  <si>
    <t xml:space="preserve">           Székesfehérvár-Tác Önkormányzati Társulás működésével kapcsolatos költségekre</t>
  </si>
  <si>
    <t xml:space="preserve">           "Ars Musica" Zenebarátok Egyesülete</t>
  </si>
  <si>
    <t>Egyéb felhalmozási célú kiadások</t>
  </si>
  <si>
    <t>Költségvetési kiadások összesen</t>
  </si>
  <si>
    <t>K5</t>
  </si>
  <si>
    <t>Működési célú támogatások államháztartáson belülről</t>
  </si>
  <si>
    <t>Felhalmozási célú támogatások államháztartáson belülről</t>
  </si>
  <si>
    <t>Működési célú átvett pénzeszközök</t>
  </si>
  <si>
    <t>Felhalmozási célú átvett pénzeszközök</t>
  </si>
  <si>
    <t>Maradvány igénybevétele</t>
  </si>
  <si>
    <t>n.=l.+m.</t>
  </si>
  <si>
    <t xml:space="preserve">           Vox Mirabilis Közhasznú Kulturális Egyesület</t>
  </si>
  <si>
    <t>Egyéb működési célú kiadások</t>
  </si>
  <si>
    <t>Egyéb felhalmozási célú  kiadások</t>
  </si>
  <si>
    <t>9, Egyéb felhalmozási célú kiadások</t>
  </si>
  <si>
    <t>K5(k512)</t>
  </si>
  <si>
    <t>K1-8.</t>
  </si>
  <si>
    <t>K1-5.</t>
  </si>
  <si>
    <t>K6-8.</t>
  </si>
  <si>
    <t>(K1-8.)</t>
  </si>
  <si>
    <t>B1-7.</t>
  </si>
  <si>
    <t>o.=g.+k.+n.</t>
  </si>
  <si>
    <t>Közlekedési kiadások</t>
  </si>
  <si>
    <t>~ ebből: HEROSZ Egyesület</t>
  </si>
  <si>
    <t>Felhalmozási célú támogatások bevételei államháztartáson belülről</t>
  </si>
  <si>
    <t>Működési költségvetési kiadások összesen:</t>
  </si>
  <si>
    <t>Működési költségvetési bevételek összesen:</t>
  </si>
  <si>
    <t>Működési költségvetési kiadások</t>
  </si>
  <si>
    <t>Működési költségvetési bevételek</t>
  </si>
  <si>
    <t>Felhalmozási költségvetési kiadások</t>
  </si>
  <si>
    <t>Felhalmozási költségvetési bevételek</t>
  </si>
  <si>
    <t xml:space="preserve">Felhalmozási bevételek </t>
  </si>
  <si>
    <t>Működési költségvetési bevételek-kiadások egyenlege</t>
  </si>
  <si>
    <t>Felhalmozási költségvetési bevételek- kiadások egyenlege</t>
  </si>
  <si>
    <t>Felhalmozási költségvetési kiadások összesen:</t>
  </si>
  <si>
    <t>Felhalmozási költségvetési bevételek összesen:</t>
  </si>
  <si>
    <t>Működési finanszírozási kiadások</t>
  </si>
  <si>
    <t>Működési finanszírozási bevételek</t>
  </si>
  <si>
    <t>Működési finanszírozási bevételek-kiadások egyenlege</t>
  </si>
  <si>
    <t>Működési finanszírozási kiadások összesen:</t>
  </si>
  <si>
    <t>Működési finanszírozási bevételek összesen:</t>
  </si>
  <si>
    <t>Működési egyenleg</t>
  </si>
  <si>
    <t>Felhalmozási finanszírozási kiadások</t>
  </si>
  <si>
    <t>Felhalmozási finanszírozási kiadások összesen:</t>
  </si>
  <si>
    <t>Felhalmozási finanszírozási bevételek</t>
  </si>
  <si>
    <t>Felhalmozási finanszírozási bevételek összesen:</t>
  </si>
  <si>
    <t>Felhalmozási egyenleg</t>
  </si>
  <si>
    <t>Finanszírozási kiadások összesen:</t>
  </si>
  <si>
    <t>Finanszírozási bevételek összesen:</t>
  </si>
  <si>
    <t>Egyenleg</t>
  </si>
  <si>
    <t>Finanszírozási bevételek-kiadások egyenlege</t>
  </si>
  <si>
    <t>Felhalmozási finanszírozási bevételek-kiadások egyenlege</t>
  </si>
  <si>
    <t>Támogatási keretek, alapok</t>
  </si>
  <si>
    <t>2. Irányító szervi támogatás</t>
  </si>
  <si>
    <t>Irányító szervi támogatás folyósítása</t>
  </si>
  <si>
    <t xml:space="preserve">Irányító szervi támogatás </t>
  </si>
  <si>
    <t>I. Költségvetési egyenleg (1-2) az Áht. szerint</t>
  </si>
  <si>
    <t>6. Irányító szervi támogatás</t>
  </si>
  <si>
    <t>B816</t>
  </si>
  <si>
    <t>9. Finanszírozási kiadások összesen:</t>
  </si>
  <si>
    <t>3, Települési önkormányzatok szociális, gyermekjóléti és gyermekétkeztetési feladatainak támogatása</t>
  </si>
  <si>
    <t>K915</t>
  </si>
  <si>
    <t>K5 (K501-K512)</t>
  </si>
  <si>
    <t>K5 (K513)</t>
  </si>
  <si>
    <t>2, Települési önkormányzatok egyes köznevelési feladatainak támogatása</t>
  </si>
  <si>
    <t>5, Működési célú költségvetési támogatások és kiegészítő támogatások</t>
  </si>
  <si>
    <t xml:space="preserve">VÁROSFEJLESZTÉS </t>
  </si>
  <si>
    <t xml:space="preserve">           Alba Regia Táncegyesület - közszolgáltatási szerződés</t>
  </si>
  <si>
    <t xml:space="preserve">           Alba Regia Táncegyesület - programok és működési támogatás</t>
  </si>
  <si>
    <t xml:space="preserve">           Gárdonyi Géza Művelődési Ház és Könyvtár Egyesület</t>
  </si>
  <si>
    <t xml:space="preserve">             Alba Regia SC Kft. Kosárlabda Szakosztály</t>
  </si>
  <si>
    <t xml:space="preserve">             Delfin Sportegyesület- működésre</t>
  </si>
  <si>
    <t xml:space="preserve">             Laroco Motorsport Klub Veszprém-Fehérvár rally megrendezése</t>
  </si>
  <si>
    <t xml:space="preserve">             Pro Rekreatione Közhasznú Nonprofit Kft.- Velence-tavi Vízi Sportiskola működési támogatás</t>
  </si>
  <si>
    <t xml:space="preserve">           Fehérvári Programszervező Kft.</t>
  </si>
  <si>
    <t>~ ebből: Székesfehérvári Többcélú Kistérségi Társulás feladatellátásához való működési hozzájárulás</t>
  </si>
  <si>
    <t>Feladat megnevezése</t>
  </si>
  <si>
    <t>Szennyvízcsatorna összesen:</t>
  </si>
  <si>
    <t>Útfelújítások</t>
  </si>
  <si>
    <t xml:space="preserve">          Jelzőlámpa-rendszer fejlesztése</t>
  </si>
  <si>
    <t xml:space="preserve">          Közműoszlop-kiváltások</t>
  </si>
  <si>
    <t>Egyéb javaslat</t>
  </si>
  <si>
    <t>Útfelújítások összesen:</t>
  </si>
  <si>
    <t>Csapadékvíz elvezetés, árvíz-belvíz védekezés</t>
  </si>
  <si>
    <t>Csapadékcsatorna üzemeltetés</t>
  </si>
  <si>
    <t>Csapadékvíz elvezetés, árvíz-belvíz védekezés összesen:</t>
  </si>
  <si>
    <t>Korlátozási kártalanítás</t>
  </si>
  <si>
    <t>Szemünk Fénye program</t>
  </si>
  <si>
    <t>Belvárosi épületek rekonstrukcióját szolgáló fejlesztési alap (visszatérítendő támogatás)</t>
  </si>
  <si>
    <t>544/2015. (VII.23.) kgy.határozathoz kapcsolódó fejlesztési keret</t>
  </si>
  <si>
    <t>Egyéb összesen:</t>
  </si>
  <si>
    <t>Fő és gyűjtőutak felújítása - Ligetsor (Ligetsor felújítás és parkolómező, körforgalom, iskola-óvoda előtti tér, sétány)</t>
  </si>
  <si>
    <t>Székesfehérvár-Csala 22 kV-os vezeték kiváltása</t>
  </si>
  <si>
    <t>Autóbusz-hálózat átalakításával összefüggő feladatok</t>
  </si>
  <si>
    <t>Államigazgatási feladat</t>
  </si>
  <si>
    <t>Államigaz-gatási feladat</t>
  </si>
  <si>
    <t>Székesfehérvári Mikrovállalkozások Kamattámogatási Programja</t>
  </si>
  <si>
    <t>Álláshely</t>
  </si>
  <si>
    <t>6, Működési költségvetési kiadások összesen</t>
  </si>
  <si>
    <t>10, Felhalmozási költségvetési kiadások összesen</t>
  </si>
  <si>
    <t>6, Működési költségvetési kiadások  összesen:</t>
  </si>
  <si>
    <t>10, Felhalmozási költségvetési kiadások összesen:</t>
  </si>
  <si>
    <t>Előző évi felhalmozási célú költségvetési maradvány igénybevétele</t>
  </si>
  <si>
    <t>Előző évi működési célú költségvetési maradvány igénybevétele</t>
  </si>
  <si>
    <t>Működési költségvetés összesen</t>
  </si>
  <si>
    <t>Felhalmozási költségvetés összesen</t>
  </si>
  <si>
    <t>Önkormányzat eredeti előirányzata</t>
  </si>
  <si>
    <t xml:space="preserve">Költségvetési és finanszírozási egyenleg működési és felhalmozási cél szerinti bontásban (eFt-ban)  </t>
  </si>
  <si>
    <t>Módosított előirányzat</t>
  </si>
  <si>
    <t>Javasolt módosítás</t>
  </si>
  <si>
    <t>b/2</t>
  </si>
  <si>
    <t>b/3</t>
  </si>
  <si>
    <t>c/2</t>
  </si>
  <si>
    <t>c/3</t>
  </si>
  <si>
    <t>d/2</t>
  </si>
  <si>
    <t>d/3</t>
  </si>
  <si>
    <t>d/1=b/1+c/1</t>
  </si>
  <si>
    <t>d/2=b/2+c/2</t>
  </si>
  <si>
    <t>d/3=b/3+c/3</t>
  </si>
  <si>
    <t>b/1.</t>
  </si>
  <si>
    <t>b/2.</t>
  </si>
  <si>
    <t>b/3.</t>
  </si>
  <si>
    <t>c/1.</t>
  </si>
  <si>
    <t>c/2.</t>
  </si>
  <si>
    <t>c/3.</t>
  </si>
  <si>
    <t>d/1.=b/1.+c/1.</t>
  </si>
  <si>
    <t>d/2.=b/2.+c/2.</t>
  </si>
  <si>
    <t>d/3.=b/3.+c/3.</t>
  </si>
  <si>
    <t>Székesfehérvár Megyei Jogú Város Önkormányzat és Költségvetési szervei</t>
  </si>
  <si>
    <t>Diáksportkör kiadásai</t>
  </si>
  <si>
    <t>~ Intézményhez lebontva</t>
  </si>
  <si>
    <t>Tervezett felújítási munka</t>
  </si>
  <si>
    <t>Ybl Miklós-program: Intézményfelújítások</t>
  </si>
  <si>
    <t>Egyesített Szociális Intézmény</t>
  </si>
  <si>
    <t>Összesen:</t>
  </si>
  <si>
    <t>Mészöly Géza u. Orvosi rendelő</t>
  </si>
  <si>
    <t>Akadálymentesítéshez, lift kialakításához kapcsolódó munkák</t>
  </si>
  <si>
    <t xml:space="preserve">Polgármesteri Hivatal </t>
  </si>
  <si>
    <t>Polgármesteri Hivatal épületeit érintő felújítások</t>
  </si>
  <si>
    <t>Tartalék keret</t>
  </si>
  <si>
    <t>Vis Maior</t>
  </si>
  <si>
    <t>Mindösszesen:</t>
  </si>
  <si>
    <t>Kríziskezelő Központ</t>
  </si>
  <si>
    <t xml:space="preserve">           Önként vállalt feladat összesen</t>
  </si>
  <si>
    <t>Ebből: Kötelező feladat összesen</t>
  </si>
  <si>
    <t>összesen:</t>
  </si>
  <si>
    <t xml:space="preserve">            Önként vállalt feladat e.i.</t>
  </si>
  <si>
    <t>~ ebből:Kötelező feladate.i.</t>
  </si>
  <si>
    <t>Polgármesteri Hivatal</t>
  </si>
  <si>
    <t>Intézmények összesen:</t>
  </si>
  <si>
    <t>Kulturális ellátás összesen:</t>
  </si>
  <si>
    <t>A Szabadművelődés Háza</t>
  </si>
  <si>
    <t>Ebből: Önként vállalt feladat összesen</t>
  </si>
  <si>
    <t>~ ebből:Önként vállalt feladat e.i.</t>
  </si>
  <si>
    <t>Vörösmarty Színház</t>
  </si>
  <si>
    <t>Alba Regia Szimfonikus Zenekar</t>
  </si>
  <si>
    <t>Szent István Király Múzeum</t>
  </si>
  <si>
    <t>Vörösmarty Mihály Könyvtár</t>
  </si>
  <si>
    <t>Városi Levéltár és Kutatóintézet</t>
  </si>
  <si>
    <t xml:space="preserve">Székesfehérvári Intézményi Központ </t>
  </si>
  <si>
    <t>Szociális ellátás összesen</t>
  </si>
  <si>
    <t>Humán Szolg. összesen</t>
  </si>
  <si>
    <t>Óvodák összesen</t>
  </si>
  <si>
    <t>Ligetsori Óvoda</t>
  </si>
  <si>
    <t>Szivárvány Óvoda</t>
  </si>
  <si>
    <t>Szárazréti Óvoda</t>
  </si>
  <si>
    <t>Napsugár Óvoda</t>
  </si>
  <si>
    <t>Maroshegyi Óvoda</t>
  </si>
  <si>
    <t>Hosszúsétatéri Óvoda</t>
  </si>
  <si>
    <t>Felsővárosi Óvoda</t>
  </si>
  <si>
    <t>Árpád Úti Óvoda</t>
  </si>
  <si>
    <t>Bölcsőde összesen</t>
  </si>
  <si>
    <t>Nyitnikék Bölcsőde</t>
  </si>
  <si>
    <t>Napraforgó Bölcsőde</t>
  </si>
  <si>
    <t>Százszorszép Bölcsőde</t>
  </si>
  <si>
    <t>Eü. Ellátás összesen</t>
  </si>
  <si>
    <t>Frim Jakab Képességfejlesztő Szakosított Otthon</t>
  </si>
  <si>
    <t>Humán Szolgáltató Intézet</t>
  </si>
  <si>
    <t>l.=j.+k.</t>
  </si>
  <si>
    <t>k.=d.+g.+i.</t>
  </si>
  <si>
    <t>j.=c.+e +f.+h.</t>
  </si>
  <si>
    <t>g.</t>
  </si>
  <si>
    <t>(B1-8.)</t>
  </si>
  <si>
    <t>(B1-7.)</t>
  </si>
  <si>
    <t>(B2+B5+B7)</t>
  </si>
  <si>
    <t>(B1+B3+B4+B6)</t>
  </si>
  <si>
    <t>Önkormányzati támogatás</t>
  </si>
  <si>
    <t>Bevételek  összesen</t>
  </si>
  <si>
    <t>Finanszírozási bevételek</t>
  </si>
  <si>
    <t>Költségvetési  bevételek összesen</t>
  </si>
  <si>
    <t xml:space="preserve"> Közhatalmi bevételek</t>
  </si>
  <si>
    <t>KÖLTSÉGVETÉSI SZERVEK</t>
  </si>
  <si>
    <t>cím</t>
  </si>
  <si>
    <t>o.=m.+n.</t>
  </si>
  <si>
    <t>n.</t>
  </si>
  <si>
    <t>m.=h.+l.</t>
  </si>
  <si>
    <t>l.=i.+j.+k.</t>
  </si>
  <si>
    <t>k.</t>
  </si>
  <si>
    <t>h.=c.+d.+e.+f.+g.</t>
  </si>
  <si>
    <t>(K1-9.)</t>
  </si>
  <si>
    <t>(K6-8.)</t>
  </si>
  <si>
    <t>(K1-5.)</t>
  </si>
  <si>
    <t>Kiadások  összesen</t>
  </si>
  <si>
    <t>Finanszírozási kiadások</t>
  </si>
  <si>
    <t>Egyéb működési célú  kiadások</t>
  </si>
  <si>
    <t>Ellátottak pénzbeli juttatásai</t>
  </si>
  <si>
    <t xml:space="preserve"> INTÉZMÉNYEK</t>
  </si>
  <si>
    <t>Cím</t>
  </si>
  <si>
    <t>Működési költségvetési bevételek összesen</t>
  </si>
  <si>
    <t>Felhalmozási költségvetési bevételek összesen</t>
  </si>
  <si>
    <t>Rákóczi Utcai Óvoda</t>
  </si>
  <si>
    <t>Tolnai Utcai Óvoda</t>
  </si>
  <si>
    <t>Székesfehérvári Család- és Gyermekjóléti Központ</t>
  </si>
  <si>
    <t xml:space="preserve">           Államigazgatási feladat
           összesen</t>
  </si>
  <si>
    <t xml:space="preserve">            Államigazgatási feladat e.i.</t>
  </si>
  <si>
    <t>Működési költségvetési kiadások összesen</t>
  </si>
  <si>
    <t>Felhalmozási költségvetési kiadások  összesen</t>
  </si>
  <si>
    <t xml:space="preserve">I. </t>
  </si>
  <si>
    <t>Igazgatási tevékenység</t>
  </si>
  <si>
    <t>~ Intézményekhez lebontva</t>
  </si>
  <si>
    <t>~ Bevétel miatti növekedés</t>
  </si>
  <si>
    <t xml:space="preserve">   Költségvetési szerveknél foglalkoztatottak bérkompenzációja</t>
  </si>
  <si>
    <t>K9121</t>
  </si>
  <si>
    <t>B8121</t>
  </si>
  <si>
    <t>Forgatási célú belföldi értékpapírok beváltása, értékesítése</t>
  </si>
  <si>
    <t>Forgatási célú belföldi értékpapírok vásárlása</t>
  </si>
  <si>
    <t>7, Forgatási célú belföldi értékpapírok beváltása, értékesítése</t>
  </si>
  <si>
    <t>4, Ellátottak pénzbeli juttatásai</t>
  </si>
  <si>
    <t>15, Forgatási célú belföldi értékpapírok vásárlása</t>
  </si>
  <si>
    <t>16, Államháztartáson belüli megelőlegezések visszavizetése</t>
  </si>
  <si>
    <t>K914</t>
  </si>
  <si>
    <t>17, Irányító szervi támogatás folyósítása</t>
  </si>
  <si>
    <t>18, Finanszírozási kiadások összesen:</t>
  </si>
  <si>
    <t>II. Finanszírozási egyenleg (8-9)</t>
  </si>
  <si>
    <t>Egyenleg (I-II.)</t>
  </si>
  <si>
    <t>3. Forgatási célú belföldi értékpapírok beváltása, értékesítése</t>
  </si>
  <si>
    <t>1, Forgatási célú belföldi értékpapírok vásárlása</t>
  </si>
  <si>
    <t>2, Államháztartáson belüli megelőlegezések visszavizetése</t>
  </si>
  <si>
    <t>3, Irányító szervi támogatás folyósítása</t>
  </si>
  <si>
    <t>IV. Finanszírozási kiadások összesen (1+2+3)</t>
  </si>
  <si>
    <t>Szolidaritási hozzájárulás</t>
  </si>
  <si>
    <t>~ ebből: Városrészi közbiztonsági feladatok támogatása</t>
  </si>
  <si>
    <t xml:space="preserve">              Térfigyelő kamerarendszer bővítése (Közbiztonság növelését szolgáló fejlesztések megvalósítása)</t>
  </si>
  <si>
    <t>Víziközmű-fejlesztési Alap</t>
  </si>
  <si>
    <t>~ ebből: Helyi közösségi közlekedés finanszírozási kerete</t>
  </si>
  <si>
    <t xml:space="preserve">              Önálló Főiskolai Közalapítvány támogatása</t>
  </si>
  <si>
    <t xml:space="preserve">              Székesfehérvári Tankerületi Központ- oktatásszakmai munkájának támogatása</t>
  </si>
  <si>
    <t xml:space="preserve">              Székesfehérvári Szakképzési Centrum - oktatásszakmai munkájának támogatása</t>
  </si>
  <si>
    <t xml:space="preserve">              Mozgássérültek Fejér Megyei Egyesülete által fenntartott Viktória Rehabilitációs Központ egészségügyi és szociális ellátásának támogatása</t>
  </si>
  <si>
    <t xml:space="preserve">              Alba Civitan Rehabilitációs Nonprofit Kft. támogatása</t>
  </si>
  <si>
    <t xml:space="preserve">              Székesfehérvár Fejlődéséért Alapítvány támogatása</t>
  </si>
  <si>
    <t xml:space="preserve">              Kégl György Program - Fejér Megyei Szent György Egyetemi Oktató Kórház működési és fejlesztési támogatása</t>
  </si>
  <si>
    <t xml:space="preserve">              Kégl György Program - Egészségügyi feladatok</t>
  </si>
  <si>
    <t xml:space="preserve">           Bory-Vár Alapítvány támogatása</t>
  </si>
  <si>
    <t xml:space="preserve">           Kákics Kulturális Egyesület</t>
  </si>
  <si>
    <t>~ ebből: Fehérvár FC Kft.</t>
  </si>
  <si>
    <t xml:space="preserve">             Alba Volán Sportclub Öttusa Szakosztály</t>
  </si>
  <si>
    <t xml:space="preserve">             Fehérvár Enthroners Sportegyesület</t>
  </si>
  <si>
    <t xml:space="preserve">             Fehérvár Frizbi Sportegyesület</t>
  </si>
  <si>
    <t>TÁMOGATÁSI ALAPOK (KERETEK, ALAPOK)</t>
  </si>
  <si>
    <t xml:space="preserve">          Balatoni u. járda töltésmegerősítés kiviteli terv készítés</t>
  </si>
  <si>
    <t>Iskolák előtti közösségi terek kialakítása</t>
  </si>
  <si>
    <t>Közösségi terek tervezése, létrehozása</t>
  </si>
  <si>
    <t>Árpád-ház programhoz kapcsolódó tervezési, előkészítési feladatok figyelemmel az 1315/2016.(VII.1.) Korm.határozatra</t>
  </si>
  <si>
    <t>Utastájékoztatás (arculattervezés, táblacsere, menetrend, menetrendfüzet)</t>
  </si>
  <si>
    <t>Varga csatorna mederrendezése</t>
  </si>
  <si>
    <t>Kégl és Távírda utca csapadékcsatorna rekonstrukció</t>
  </si>
  <si>
    <t>Székesfehérvár szennyvíztisztító telep biogáz vonalának fejlesztése</t>
  </si>
  <si>
    <t>Palotavárosi tavak sport és rekreációs célú hasznosítása</t>
  </si>
  <si>
    <t>Nyílászáró csere</t>
  </si>
  <si>
    <t>Budai u. 56/a ingatlan felújítása (Csemete Gyermekcentrum Bölcsőde)</t>
  </si>
  <si>
    <t>Integrált Területi Program (ITP) felújításai</t>
  </si>
  <si>
    <t>Integrált Területi Program (ITP) felújításai összesen:</t>
  </si>
  <si>
    <t>Államháztartáson belüli megelőlegezések visszafizetése</t>
  </si>
  <si>
    <t>Sportcélok és feladatok</t>
  </si>
  <si>
    <t xml:space="preserve">IV. </t>
  </si>
  <si>
    <t>Vagyongazdálkodás</t>
  </si>
  <si>
    <t xml:space="preserve">II. </t>
  </si>
  <si>
    <t>Hatósági tevékenység</t>
  </si>
  <si>
    <t>Segítő Fehérvár program</t>
  </si>
  <si>
    <t>Székesfehérvári Sóstó Természetvédelmi Terület és Vidámparki Csónakázótó rehabilitációjára, figyelemmel a 1285/2015.(IV.30.) Korm. Határozatra, valamint a megvalósítás ütemezésére</t>
  </si>
  <si>
    <t>Mindösszesen</t>
  </si>
  <si>
    <t>Parkolóház kialakítására (282/2017.(IV.7.) kgy.hat.alapján)</t>
  </si>
  <si>
    <t xml:space="preserve">   Szociális ágazati összevont pótlék</t>
  </si>
  <si>
    <t xml:space="preserve">   Kulturális illetménypótlék</t>
  </si>
  <si>
    <t xml:space="preserve">   Nyugdíjazással kapcsolatos kifizetések</t>
  </si>
  <si>
    <t xml:space="preserve">   Jubileumi jutalom, jogszabályból fakadó személyi jellegű többlet kifizetések kerete</t>
  </si>
  <si>
    <t xml:space="preserve">   Intézményi kafetéria juttatás fedezetére</t>
  </si>
  <si>
    <t>~ Polgármesteri Hivatalhoz lebontva</t>
  </si>
  <si>
    <t>Kötlező feladat</t>
  </si>
  <si>
    <t>Önként vállat feladat</t>
  </si>
  <si>
    <t>Önként  vállalt feladat</t>
  </si>
  <si>
    <t xml:space="preserve"> </t>
  </si>
  <si>
    <t>Bevételek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</si>
  <si>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</si>
  <si>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</si>
  <si>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</si>
  <si>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</si>
  <si>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</si>
  <si>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</si>
  <si>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</si>
  <si>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</si>
  <si>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</si>
  <si>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</si>
  <si>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</si>
  <si>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</si>
  <si>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összesen</t>
  </si>
  <si>
    <t>Működési célú pénzeszköz átvétel</t>
  </si>
  <si>
    <t>Felhalmozási célú pénzeszköz átvétel</t>
  </si>
  <si>
    <t>Bevétel összesen*</t>
  </si>
  <si>
    <t>Kiadások</t>
  </si>
  <si>
    <t>Költségvetési szervek  kiadásai</t>
  </si>
  <si>
    <t>Igazgatási és egyéb központosított kiadások</t>
  </si>
  <si>
    <t>Fejlesztési kiadások, Viziközmű-fejlesztési Alap</t>
  </si>
  <si>
    <t>Tartalék</t>
  </si>
  <si>
    <t>Államháztartáson belüli megelőlegezések</t>
  </si>
  <si>
    <t>Kiadás összesen*</t>
  </si>
  <si>
    <t>* Megjegyzés: Tartalmazza a finanszírozási célú bevételeket és kiadásokat, kivéve az irányító szervi támogatást a duplikáció elkerülése okán.</t>
  </si>
  <si>
    <t>12, Építményadó</t>
  </si>
  <si>
    <t>13, Vagyoni típusú adók összesen: (12)</t>
  </si>
  <si>
    <t>14, Iparűzési adó</t>
  </si>
  <si>
    <t>15, Értékesítési és forgalmi adók (14)</t>
  </si>
  <si>
    <t>16, Gépjárműadó</t>
  </si>
  <si>
    <t>17, Idegenforgalmi adó</t>
  </si>
  <si>
    <t>18, Egyéb áruhasználati és szolgáltatási adók (17)</t>
  </si>
  <si>
    <t>19, Termékek és szolgáltatások adói összesen (15+16+18):</t>
  </si>
  <si>
    <t>20, Egyéb települési adó</t>
  </si>
  <si>
    <t>21, Adópótlék, adóbírság</t>
  </si>
  <si>
    <t>22, Szabálysértési pénz és helyszíni bírság és közigazgatási bírság</t>
  </si>
  <si>
    <t>23, Egyéb bírság</t>
  </si>
  <si>
    <t>24, Egyéb közhatalmi bevételek összesen (20+21+22+23):</t>
  </si>
  <si>
    <t>26, Működési bevételek</t>
  </si>
  <si>
    <t>27, Ingatlanok értékesítése</t>
  </si>
  <si>
    <t>29, Működési célú átvett pénzeszközök</t>
  </si>
  <si>
    <t>30, Felhalmozási célú átvett pénzeszközök</t>
  </si>
  <si>
    <t>31, Működési költségvetési bevételek összesen (8+25+26+29):</t>
  </si>
  <si>
    <t>32, Felhalmozási költségvetési bevételek összesen (11+28+30):</t>
  </si>
  <si>
    <t>33, Költségvetési bevételek összesen (31+32):</t>
  </si>
  <si>
    <t>Felújítási kiadások</t>
  </si>
  <si>
    <t>Az Önkormányzat költségvetési kiadásai feladatonkénti bontásban
(eFt-ban)</t>
  </si>
  <si>
    <t>x</t>
  </si>
  <si>
    <t xml:space="preserve">             Vadmadárkórház Természetvédelmi Alapítvány a Vadon Élő Madarak Megmentéséért</t>
  </si>
  <si>
    <t xml:space="preserve">              Fejér Megyei Rendőr-Főkapitányság - Székesfehérvári Rendőrkapitányság működésére</t>
  </si>
  <si>
    <t>Közműellátási feladatok</t>
  </si>
  <si>
    <t xml:space="preserve">              "Aranyeső" Alapítvány az egészséges emberért támogatása - Hétpettyes Óvoda</t>
  </si>
  <si>
    <t xml:space="preserve">              "Lánczos Kornél-Szekfű Gyula" Ösztöndíj Közalapítvány támogatása</t>
  </si>
  <si>
    <t xml:space="preserve">              Tóth István és Tóth Terézia Ösztöndíj Közalapítvány támogatása</t>
  </si>
  <si>
    <t xml:space="preserve">              Színes Diploma átadó ünnepség megrendezésére - Pedagógusok Szakszervezete Fejér Megyei Szervezete</t>
  </si>
  <si>
    <t xml:space="preserve">              "Alba Regia" tanulmányi ösztöndíj</t>
  </si>
  <si>
    <t xml:space="preserve">              HPV 9 komponensű oltóanyag beszerzése a székesfehérvári lakóhellyel rendelkező 2017. és 2018. évben 12. életévüket betöltő fiú gyermekek részére</t>
  </si>
  <si>
    <t xml:space="preserve">              Fehérvári Pályakezdő Orvosok Egyesülete támogatása</t>
  </si>
  <si>
    <t xml:space="preserve">              Segítő Fehérvár program</t>
  </si>
  <si>
    <t xml:space="preserve">           Városi rendezvények</t>
  </si>
  <si>
    <t xml:space="preserve">           "Szín-Tér"/Színjátszó-Versmondó/ Egyesület </t>
  </si>
  <si>
    <t xml:space="preserve">         Könyvkiadás</t>
  </si>
  <si>
    <t xml:space="preserve">         Kulturális célú kiadások év közben jelentkező többletfeladatok</t>
  </si>
  <si>
    <t xml:space="preserve">         Jazz Fesztivál megrendezése- M.A.P.! Workshop Kft.</t>
  </si>
  <si>
    <t xml:space="preserve">         Székelyföldi Verstábor - Fortis Hungarorum Kulturális Egyesület</t>
  </si>
  <si>
    <t xml:space="preserve">         Magyar Zsidó Kulturális Egyesület</t>
  </si>
  <si>
    <t xml:space="preserve">         Bálok támogatása </t>
  </si>
  <si>
    <t xml:space="preserve">             Fehérvár AV 19 Sport Club Jégkorong Szakosztály</t>
  </si>
  <si>
    <t>~ ebből: Fehérvár AV 19 Sport Club  - Ingatlan üzemeltetésével, fejlesztésével összefüggő költségekhez</t>
  </si>
  <si>
    <t xml:space="preserve">             Track&amp;Race - Sportügynökség Korlátolt Felelősségű Társaság - "Gyulai István Memorial-Atlétikai Magyar Nagydíj" </t>
  </si>
  <si>
    <t xml:space="preserve">             Alba Regia Atlétikai Klub - Országos atlétikai versenyek megrendezésére</t>
  </si>
  <si>
    <t xml:space="preserve">             Felsővárosi Fésüs Röplabda Akadémia Fehérvár</t>
  </si>
  <si>
    <t xml:space="preserve">            "Fehérvár Kiskút Teniszklub" Sportegyesület </t>
  </si>
  <si>
    <t xml:space="preserve">Saára Gyula program </t>
  </si>
  <si>
    <t xml:space="preserve">          Kégl és Távírda utca felújítása</t>
  </si>
  <si>
    <t xml:space="preserve">          Arany János utca és kapcsolódó terek felújítása</t>
  </si>
  <si>
    <t xml:space="preserve">          Nagyszombati út felújításához kapcsolódó tervezési feladatok</t>
  </si>
  <si>
    <t xml:space="preserve">          Börgöndi járda és csapadékcsatorna építése, buszforduló átépítése, parkolók kialakítása</t>
  </si>
  <si>
    <t xml:space="preserve">           Széchenyi út - Horvát István út új sáv kiépítése középsziget csökkentésével</t>
  </si>
  <si>
    <t xml:space="preserve">           Berényi út III. ütem útépítés</t>
  </si>
  <si>
    <t>Varga csatorna árapasztó műtárgy kivitelezése</t>
  </si>
  <si>
    <t>Berényi út III. csapadékcsatorna átépítése</t>
  </si>
  <si>
    <t>Zombori utca csapadékcsatorna átépítése</t>
  </si>
  <si>
    <t>Arany János u. 10. szám alatti ingatlan felújításával kapcsolatos tervezési feladatok</t>
  </si>
  <si>
    <t>Alba Geotrade Zrt. EKN. Vezetés, bemérések</t>
  </si>
  <si>
    <t>Tervfelülvizsgálatok, közműegyeztetések</t>
  </si>
  <si>
    <t>Multifunkcionális csarnok megvalósításához szükséges tervezési, előkészítési feladatok</t>
  </si>
  <si>
    <t>Az árpád-ház program részét képező "Az ország bölcsője" kiemelt székesfehérvári alprogram második szakasz további elemeinek előzetes koncepciójáról szóló 1792/2017. (XI.8.) Kormányhatározat alapján</t>
  </si>
  <si>
    <t>Városmester üzemeltetés, fejlesztés</t>
  </si>
  <si>
    <t>Bory-vár épületdiagnosztikai és tartószerkezeti vizsgálat</t>
  </si>
  <si>
    <t>Halász utcai játszótér bővítése (1717/2017.(X.3.) Korm.határozat alapján)</t>
  </si>
  <si>
    <t>Gárdonyi Géza Művelődési Ház és Könyvtár felújítására irányuló beruházás előkészítése (1841/2017.(XI.10.) Kormány határozat alapján)</t>
  </si>
  <si>
    <t>Bartók Béla tér fejlesztése  (TOP-7.1.1-16 )</t>
  </si>
  <si>
    <t>Fekete Sas Szálló rekonstrukciójához és fejlesztéséhez szükséges előkészítő és tervezési feladatok</t>
  </si>
  <si>
    <t>Velencei Gyermek- és Ifjúsági Tábor fejlesztése</t>
  </si>
  <si>
    <t>A belváros élhetőségének javítását szolgáló Zichy-liget projekt tervezése</t>
  </si>
  <si>
    <t>ITP keretében megvalósuló fejlesztések</t>
  </si>
  <si>
    <t>Fő és gyűjtőutak felújítása- Berényi u. II. ütem</t>
  </si>
  <si>
    <t>Túrózsáki út melletti szabadidőpark létrehozása és sétány kialakiítása (Túrózsáki út-Bártfai út)</t>
  </si>
  <si>
    <t>Felsőváros vízrendezése III. ütem</t>
  </si>
  <si>
    <t>Berényi u. II. ütem vízrendezés</t>
  </si>
  <si>
    <t>Bölcsődei intézmények eszközfejlesztése</t>
  </si>
  <si>
    <t>Óvodai udvarok megújítása</t>
  </si>
  <si>
    <t>Fenntartható városi közlekedés I. ütem</t>
  </si>
  <si>
    <t>Fenntartható városi közlekedés III. ütem</t>
  </si>
  <si>
    <t>Innovatív Szociális Szolgáltató Központ kialakítása Székesfehérváron</t>
  </si>
  <si>
    <t>I. számú Gondozási egység tetőtér beépítési munkáival készülő férőhely bővítés feladataira</t>
  </si>
  <si>
    <t>I. számú Gondozási egység villamos hálózat rekonstrukciója kiviteli terv alapján (tervezés és kivitelezés)</t>
  </si>
  <si>
    <t>III. számú gondozási központ lépcsőházi acél üvegportál cseréje műanyag szerkezetre, hőtükrös fóliázással</t>
  </si>
  <si>
    <t>III. számú gondozási központ villamos és gépészeti rendszerének felújításával kapcsolatos tervezési és kivitelezési feladatok, valamint a IV. számú gondozási központ bővítésével kapcsolatos tervezési feladatok</t>
  </si>
  <si>
    <t>Árpád úti Óvoda Vízivárosi Tagóvodája</t>
  </si>
  <si>
    <t>Homlokzati FENFA elemek és nyílászárók cseréje</t>
  </si>
  <si>
    <t>Gyöngyvirág Óvoda</t>
  </si>
  <si>
    <t xml:space="preserve">Arany János Óvoda, Általános Iskola, Speciális Szakiskola és EGYMI </t>
  </si>
  <si>
    <t>Felújítási munkálatokkal kapcsolatos feladatok</t>
  </si>
  <si>
    <t>Csók István Képtár</t>
  </si>
  <si>
    <t>Homlokzat helyreállítása, árkádsor alatti világítás kiépítése lépcső helyreállítással</t>
  </si>
  <si>
    <t>Konyha felújítás tervezése és homlokzati nyílászárók cseréje</t>
  </si>
  <si>
    <t>Épület felújítása és eszközbeszerzés a TOP 6.6.1-16 kódszámú pályázati felhívás keretében</t>
  </si>
  <si>
    <t>Felnőtt háziorvosi rendelő felújítása</t>
  </si>
  <si>
    <t>Gyermekorvosi rendelő és védőnői tanácsadó átalakítása, bővítése, felújítása a TOP 6.2.1-16 kódszámú pályázati felhívás keretében</t>
  </si>
  <si>
    <t>Nyitó pénzkészlet</t>
  </si>
  <si>
    <t>Bevétel-Kiadás különbözet havi bontásban (maradvány igénybevétele nélkül)</t>
  </si>
  <si>
    <t>Záró Pénzkészlet (Nyitó pénzkészlet + Bevétel-Kiadás különbözete)</t>
  </si>
  <si>
    <t>32.</t>
  </si>
  <si>
    <t>33.</t>
  </si>
  <si>
    <t>Székesfehérvári Balett Színház</t>
  </si>
  <si>
    <t>~ Főösszeget nem érintő saját hatáskörű átcsoportosítás</t>
  </si>
  <si>
    <t xml:space="preserve">   Szociális ágazatban egészségügyi végzettséghez kötött munkakörben foglalkoztatottak egészségügyi kiegészítő pótléka</t>
  </si>
  <si>
    <t>Multifunkcionális csarnok kivitelezése és kapcsolódó feladatok</t>
  </si>
  <si>
    <t>Nemzeti Szabadidős-Egészség Sportpark Program önkormányzati saját erő (194/2018.(III.19.) kgy.hat.alapján)</t>
  </si>
  <si>
    <t xml:space="preserve">         Államalapító Szent István Érdemrend és Díj Alapítvány</t>
  </si>
  <si>
    <t xml:space="preserve">             Rászoruló gyermekek intézményen kívüli szünidei étkeztetésének támogatása</t>
  </si>
  <si>
    <t>2019. évi bevételei eFt-ban</t>
  </si>
  <si>
    <t>2019. évi kiadásai eFt-ban</t>
  </si>
  <si>
    <t>összevont 2019. évi bevételeiről eFt-ban</t>
  </si>
  <si>
    <t>összevont 2019. évi bevételi és kiadási  egyenlege eFt-ban</t>
  </si>
  <si>
    <t>Siklósi Gyula Várostörténeti Kutatóközpont</t>
  </si>
  <si>
    <t>Önkormányzat 2019. évi költségvetési kiadásai (eFt-ban)</t>
  </si>
  <si>
    <t xml:space="preserve">              Kábítószerügyi Egyeztető Fórum</t>
  </si>
  <si>
    <t xml:space="preserve">              Vadásztölténygyári Vasas Ifjúsági és Sport Egyesület- Futballfesztivál megrendezésének támogatása</t>
  </si>
  <si>
    <t xml:space="preserve">              Maroshegyi Ifjúsági Egyesület</t>
  </si>
  <si>
    <t xml:space="preserve">              Egészség és Kultúra Egyesület - Fehérvár Feszt megrendezésének támogatása </t>
  </si>
  <si>
    <t xml:space="preserve">              Egészség és Kultúra Egyesület - Skate Park és szurkolói klub működtetése</t>
  </si>
  <si>
    <t xml:space="preserve">              Székesfehérvári Városszépítő- és Védő Egyesület - Székesfehérvár Hosszútemető műemlék jellegű sírjainak karbantartására, felújítására</t>
  </si>
  <si>
    <t xml:space="preserve">              Ifjúsági feladatok és a Székesfehérvári Diáktanács működése</t>
  </si>
  <si>
    <t xml:space="preserve">              Székesfehérvári Szerb Nemzetiségi Önkormányzat- Szerb templom karbantartásához, felújításához, nyitvatartásához</t>
  </si>
  <si>
    <t xml:space="preserve">              Ezer Lámpás Éjszakája Alapítvány- Ezer Lámpás Éjszakája rendezvénysorozat</t>
  </si>
  <si>
    <t xml:space="preserve">              Székesfehérvári Születési Támogatási Program - települési támogatás</t>
  </si>
  <si>
    <t xml:space="preserve">              Székesfehérvári Szociális Alapítvány</t>
  </si>
  <si>
    <t xml:space="preserve">              Székesfehérvári Érzékenyítő Program</t>
  </si>
  <si>
    <t xml:space="preserve">              Gaja Környezetvédő Egyesület működési támogatása</t>
  </si>
  <si>
    <t xml:space="preserve">              Önkormányzati közalapítványok támogatása (379/2016. (V.27.) kgy. hat. alapján)</t>
  </si>
  <si>
    <t xml:space="preserve">              Katonai Emlékpark Közhasznú Nonprofit Kft.- A Katonai Emlékpark kiemelt- elsősorban pedagógiai-programjainak támogatása</t>
  </si>
  <si>
    <t xml:space="preserve">              1956-os Magyar Szabadságharcosok Világszövetsége Egyesület</t>
  </si>
  <si>
    <t xml:space="preserve">              Honvédség és Társadalom Baráti Kör Székesfehérvári Szervezete</t>
  </si>
  <si>
    <t xml:space="preserve">              Dévai Szent Ferenc Alapítvány- Szent Imre Iskolaház működéséhez támogatás</t>
  </si>
  <si>
    <t xml:space="preserve">              Fehérvári Civil Központ üzemeltetése</t>
  </si>
  <si>
    <t xml:space="preserve">              Civil Centrum Közhasznú Alapítvány - Esélykör működtetése</t>
  </si>
  <si>
    <t xml:space="preserve">              Magyar Vöröskereszt Fejér Megyei Szervezete</t>
  </si>
  <si>
    <t xml:space="preserve">              Tarsoly Ifjúságért Egyesület</t>
  </si>
  <si>
    <t xml:space="preserve">              Nagycsaládosok Országos Egyesülete - székesfehérvári csoport támogatása</t>
  </si>
  <si>
    <t xml:space="preserve">              Vasútmodell kiállítás üzemeltetésének támogatása</t>
  </si>
  <si>
    <t xml:space="preserve">              Prosperis Alba Kutatóközpont Nonprofit Kft.</t>
  </si>
  <si>
    <t xml:space="preserve">              Székesfehérvári Zsidó Hitközség</t>
  </si>
  <si>
    <t xml:space="preserve">              Állatotthonok működési támogatása - ASKA Alapítvány</t>
  </si>
  <si>
    <t xml:space="preserve">              Állatotthonok működési támogatása - FEMA Állatmentő és Állatvédelmi Egyesület</t>
  </si>
  <si>
    <t xml:space="preserve">              Állatotthonok működési támogatása - HEROSZ Fehérvár Állatotthona</t>
  </si>
  <si>
    <t xml:space="preserve">              Smart Grant Alapítvány</t>
  </si>
  <si>
    <t xml:space="preserve">              IV. Adventi Jótékonysági Futás és a VIII. Székesfehérvári Jótékonysági Estély (673/2018.(X.12.) kgy.hat.alapján)</t>
  </si>
  <si>
    <t xml:space="preserve">              Informatikai fejlesztés</t>
  </si>
  <si>
    <t xml:space="preserve">              Fejér Megyei Katasztrófavédelmi Igazgatóság - Polgári Védelmi Kirendeltségének 2019. évi támogatására</t>
  </si>
  <si>
    <t>~ ebből: 65 év feletti időskorúak egyszeri támogatásának kerete</t>
  </si>
  <si>
    <t>~ ebből: Ingatlangazdálkodási Alap</t>
  </si>
  <si>
    <t xml:space="preserve">             Helyi közösségi közlekedés viteldíjához kapcsolódó intézkedések kerete</t>
  </si>
  <si>
    <t xml:space="preserve">              Székesfehérvári felsőoktatási intézmények támogatása</t>
  </si>
  <si>
    <t xml:space="preserve">              Nyelvoktatás szociális szempontok szerinti támogatásának kerete</t>
  </si>
  <si>
    <t xml:space="preserve">              Budapesti Corvinus Egyetem Székesfehérvári Campusa működtetése, fejlesztése érdekében felmerülő kiadások finanszírozási kerete </t>
  </si>
  <si>
    <t xml:space="preserve">              Digitális kompetencia fejlesztése - okos osztályterem pilot program keretében (Székesfehérvár Fejlődéséért Alapítvány)</t>
  </si>
  <si>
    <t xml:space="preserve">              Digitális kompetencia fejlesztése - digitális felnőttképzési pilot program keretében (Székesfehérvár Fejlődéséért Alapítvány)</t>
  </si>
  <si>
    <t xml:space="preserve">              HPV 9 komponensű oltóanyag beszerzése a székesfehérvári lakóhellyel rendelkező 2019. évben 12. életévüket betöltő fiú gyermekek részére</t>
  </si>
  <si>
    <t xml:space="preserve">           Babamúzeum jogdíja</t>
  </si>
  <si>
    <t xml:space="preserve">           Réber Hagyaték</t>
  </si>
  <si>
    <t xml:space="preserve">           Vasutas Országos Közművelődési és Szabadidő Egyesület Vörösmarty Mihály Művelődési Ház és Könyvtár</t>
  </si>
  <si>
    <t xml:space="preserve">          Quartettissimo Fesztivál- Károlyi József Alapítvány</t>
  </si>
  <si>
    <t xml:space="preserve">          Fehérvári Zenei Napok- FEZEN Művészeti és Jószolgálati Alapítvány</t>
  </si>
  <si>
    <t xml:space="preserve">          Burján Zsigmond - "Szégyen" munkacímű filmalkotás megvalósításához támogatás</t>
  </si>
  <si>
    <t xml:space="preserve">         Nemzeti és állami ünnepeink</t>
  </si>
  <si>
    <t xml:space="preserve">         Városrészi rendezvények</t>
  </si>
  <si>
    <t xml:space="preserve">         Emléktábla elhelyezéséhez támogatás</t>
  </si>
  <si>
    <t xml:space="preserve">         Fehérvári Ének XI. Nemzetközi Ifjúsági Kórustalálkozó </t>
  </si>
  <si>
    <t xml:space="preserve">         Fehéredő Múlt című film 4. rész elkészítése</t>
  </si>
  <si>
    <t xml:space="preserve">         Trianon Centenárium</t>
  </si>
  <si>
    <t xml:space="preserve">         Aracsi Norbert - Elfelejtett nemzedék című film támogatása</t>
  </si>
  <si>
    <t xml:space="preserve">         Gárdonyi Géza Szakképző Iskola támogatás - Vásárhelyi úti ingatlan használatához</t>
  </si>
  <si>
    <t xml:space="preserve">            Alba Volán Sporclub - Felnőtt Öttusa Világkupa megrendezéséhez támogatás</t>
  </si>
  <si>
    <t xml:space="preserve">             Alba Regia SC Kft. Kosárlabda Szakosztály - nemzetközi kupaszereplés</t>
  </si>
  <si>
    <t>~ ebből: Magyar Labdarúgó Szövetség Fejér Megyei Igazgatósága - "Alba Liga" kispályás labdarúgó bajnokság támogatása</t>
  </si>
  <si>
    <t xml:space="preserve">             Tour de Hongrie 2019. székesfehérvári szakasza</t>
  </si>
  <si>
    <t xml:space="preserve">             Fehérvári Sakk Egyesület</t>
  </si>
  <si>
    <t xml:space="preserve">             MÁV Előre Sport Club </t>
  </si>
  <si>
    <t xml:space="preserve">             Év közben jelentkező sportcélú kiadások</t>
  </si>
  <si>
    <t xml:space="preserve">             Free Spirit Tánc-Sport Egyesület</t>
  </si>
  <si>
    <t xml:space="preserve">             Fehérvári Vizilabda Sportegyesület- uszoda fejlesztéssel kapcsolatos tervek elkészítéséhez támogatás (230/2018.(IV.20.) kgy.hat.alapján)</t>
  </si>
  <si>
    <t>Kulturális Alap</t>
  </si>
  <si>
    <t>Egészségügyi Alap</t>
  </si>
  <si>
    <t>Sport Alap</t>
  </si>
  <si>
    <t>Ifjúsági Alap</t>
  </si>
  <si>
    <t>Nemzetiségi Alap</t>
  </si>
  <si>
    <t xml:space="preserve">             Jubileumi jutalom, jogszabályból fakadó személyi jellegű többlet kifizetések kerete</t>
  </si>
  <si>
    <t xml:space="preserve">             Intézményi kafetéria juttatás fedezetére</t>
  </si>
  <si>
    <t xml:space="preserve">             Költségvetési szervek működési költségeinek  tartalék kerete, valamint az új illetve átszervezéssel érintett intézmények megalakulásával és átszervezésével kapcsolatos eseti költségeinek fedezetére</t>
  </si>
  <si>
    <t xml:space="preserve">             Kistelepülési könyvtári és közművelődési kiegészítő támogatás (Vörösmarty Könyvtár)</t>
  </si>
  <si>
    <t xml:space="preserve">             Óvodai és iskolai szociális segítő tevékenység támogatása</t>
  </si>
  <si>
    <t xml:space="preserve">      </t>
  </si>
  <si>
    <t xml:space="preserve">             Járásszékhely múzeumok szakmai támogatása</t>
  </si>
  <si>
    <t xml:space="preserve">             Katonai Főváros Program kerete</t>
  </si>
  <si>
    <t>Javasolt módosítás     (2)</t>
  </si>
  <si>
    <t>2019. évre áthúzódó
(4)</t>
  </si>
  <si>
    <t>2019. évi előirányzat     (5)</t>
  </si>
  <si>
    <t>Költségvetési szerveknek lebontás
(6)</t>
  </si>
  <si>
    <t>Fejlesztési kiadások 2019. évi feladatonkénti megbontása
(eFt-ban)</t>
  </si>
  <si>
    <t>Székesfehérvár Város és Térsége Szennyvízcsatorna Hálózat Bővítési Önkormányzati Társulás 2019. évi önkormányzati önrésze</t>
  </si>
  <si>
    <t>ebből: Gyalogos és kerékpáros biztonsági program</t>
  </si>
  <si>
    <t xml:space="preserve">           Fiskális út felújítása I. ütem</t>
  </si>
  <si>
    <t xml:space="preserve">           Zombori út felújítása</t>
  </si>
  <si>
    <t xml:space="preserve">           Csanádi tér parkolók építése</t>
  </si>
  <si>
    <t xml:space="preserve">           Fiskális u. felújítás II. ütem Budai és Pozsonyi között 1150 méter</t>
  </si>
  <si>
    <t xml:space="preserve">           Corvinus Egyetem Zrínyi utcai parkolók</t>
  </si>
  <si>
    <t xml:space="preserve">           Batthyány utca városrészi központ, parkolók és járdák rendezése (I. ütem)</t>
  </si>
  <si>
    <t xml:space="preserve">           Fürdősor hídfelújítás és mederrendezés</t>
  </si>
  <si>
    <t>Fejlesztési tartalék</t>
  </si>
  <si>
    <t>Aranysas utca csapadékcsatorna árok lefedése</t>
  </si>
  <si>
    <t>Vízelvezetési tanulmányterv megújítása</t>
  </si>
  <si>
    <t>315/2018.(V.18.) kgy.hat.alapján ideiglenes moduláris rendszerű ebédlő telepítése</t>
  </si>
  <si>
    <t>7899/68 hrsz.-ú Juharfa utcában lévő ingatlan megvásárlása (548/2018.(VIII.17.) kgy.hat.alapján)</t>
  </si>
  <si>
    <t>Utótisztító műtárgy üzemeltetése (550/2018.(VIII.17.) kgy.hat.alapján)</t>
  </si>
  <si>
    <t>Csóri karsztakna védelembe helyezése előkészítő feladatok</t>
  </si>
  <si>
    <t>Csala Közösségi Ház (Picúr Büfé)</t>
  </si>
  <si>
    <t>Felsővárosi Tájház kialakítása – Kertalja utca</t>
  </si>
  <si>
    <t>Székesfehérvár, Mura utca 2. ingatlanon elhelyezsére kerülő raktárkonténer telepítésének költsége és bérleti díja (654/2018.(X.12.) kgy.hat.alapján)</t>
  </si>
  <si>
    <t>Székesfehérvár, Juharfa utca 7899/68 helyrajzi számú ingatlanon álló épület és kerítés felújítási munkái</t>
  </si>
  <si>
    <t>"Biológiailag lebomló hulladék eltérítése a hulladéklerakótól Székesfehérváron" pályázat benyújtásához vállalt önkormányzati saját erő (157/2018.(III.9.) kgy.hat.alapján)</t>
  </si>
  <si>
    <t>Önerős fejlesztések összesen</t>
  </si>
  <si>
    <t>MVP, egyedi projektek</t>
  </si>
  <si>
    <t>MVP, egyedi projektek összesen:</t>
  </si>
  <si>
    <t>Fenntartható városi közlekedés II. ütem</t>
  </si>
  <si>
    <t>Támogatásból megvalósuló fejlesztések összesen</t>
  </si>
  <si>
    <t>Felújítási kiadások 2019. évben
(eFt-ban)</t>
  </si>
  <si>
    <t>I. számú Idősek Otthona - Székesfehérvár, Rákóczi utca 34. szám alatti ingatlanon található Intézmény villamoshálózat korszerűsítéséhez és a fűtési rendszer átalakításához, valamint az ingatlanon található 2. számú épület tetőtérbeépítésével kapcsolatos tervezési feladatok</t>
  </si>
  <si>
    <t>Alagsori szint talajvíz elleni szigeteléséhez és felújításához kapcsolódó tervezési feladat</t>
  </si>
  <si>
    <t xml:space="preserve">Napraforgó Bölcsőde </t>
  </si>
  <si>
    <t>Udvari babakocsi és kerékpár tároló kialakítása,
megsüllyedt és balesteveszélyes térkő burkolat helyreállítása</t>
  </si>
  <si>
    <t xml:space="preserve">Nyitnikék Bölcsőde </t>
  </si>
  <si>
    <t>Tetőhéjazat csere</t>
  </si>
  <si>
    <t>Felsővárosi Óvoda Ybl Miklós Tagóvoda</t>
  </si>
  <si>
    <t>Udvari szervízjárda és emeleti felnőtt vizesblokk felújítása</t>
  </si>
  <si>
    <t>Homlokzati FENFA nyílászáró szerkezetek cseréje I. ütem</t>
  </si>
  <si>
    <t>Hosszúsétatéri Óvoda Tóvárosi Tagóvoda</t>
  </si>
  <si>
    <t>3db vizesblokk felújítása, ereszcsatorna és bölcsőde álmennyezet lapok cseréje/pótlása</t>
  </si>
  <si>
    <t>Fűtési rendszer felújítása</t>
  </si>
  <si>
    <t>Régi épületszárny nyílászáró szerkezeteinek cseréje</t>
  </si>
  <si>
    <t>Tolnai utcai Óvoda</t>
  </si>
  <si>
    <t>Vörösmarty Mihály Általános Iskola</t>
  </si>
  <si>
    <t>Tornacsarnok nyílászáróinak és sportpadlójának cseréje</t>
  </si>
  <si>
    <t>Árpád Szakképző Iskola</t>
  </si>
  <si>
    <t>Étkező és konyha lapostető felújítás</t>
  </si>
  <si>
    <t>Budai úti tagkönyvtár utcafronti portálcsere</t>
  </si>
  <si>
    <t>Oromfal felújítás</t>
  </si>
  <si>
    <t>Elektromos és statikai tervezési munkák</t>
  </si>
  <si>
    <t>Konyha épületrész belső felújítási munkái tervdokumentáció alapján</t>
  </si>
  <si>
    <t>Nyílászáró csere II. ütem</t>
  </si>
  <si>
    <t>Lövölde u. 26. ingatlan felújítása</t>
  </si>
  <si>
    <t>Csapadékvíz és szennyvíz elvezető rendszer átépítése</t>
  </si>
  <si>
    <t>Háziorvosi és fogorvosi rendelő felújítása, fejlesztése</t>
  </si>
  <si>
    <t xml:space="preserve">             MOL Aréna Sóstó üzemeltetési feladatainak ellátására</t>
  </si>
  <si>
    <t>16, Államháztartáson belüli megelőlegezések visszafizetése</t>
  </si>
  <si>
    <t>Informatikai kiadások</t>
  </si>
  <si>
    <t>Csillagok bevilágító ablakai és a bejárati ajtó cseréje és kazáncsere</t>
  </si>
  <si>
    <t>kötelező</t>
  </si>
  <si>
    <t>önként</t>
  </si>
  <si>
    <t xml:space="preserve">             Virágos Fehérvárért Program</t>
  </si>
  <si>
    <t xml:space="preserve">             Aranycsapat a Kárpát-medencei Fiatalok Sportjáért Alapítvány</t>
  </si>
  <si>
    <t xml:space="preserve">             Alba Regia Tanulóiért Kulturális Egyesület</t>
  </si>
  <si>
    <t xml:space="preserve">             KÖFÉM Oktatási és Közművelődési Központ Nonprofit Közhasznú Kft - nyugdíjas klub  programjaira</t>
  </si>
  <si>
    <t xml:space="preserve">             SZIVÁRVÁNY Szociális Alapítvány</t>
  </si>
  <si>
    <t xml:space="preserve">             Magyar Máltai Szeretetszolgálat Közép-Dunántúli Régió Székesfehérvári Csoportja</t>
  </si>
  <si>
    <t xml:space="preserve">           Gárdonyi Géza Művelődési Ház és Könyvtár Egyesület - programok támogatása</t>
  </si>
  <si>
    <t xml:space="preserve">         Magyar Éremgyűjtők Egyesülete</t>
  </si>
  <si>
    <t xml:space="preserve">         Magyarországi Zsidó Hitközségek Szövetsége - II. Székesfehérvári Zsidó Napok</t>
  </si>
  <si>
    <t xml:space="preserve">         Alba Regia Teátrum Alapítvány a Vörösmarty Színházért</t>
  </si>
  <si>
    <t xml:space="preserve">     </t>
  </si>
  <si>
    <t xml:space="preserve">             Honvéd Szondi György Sportegyesület</t>
  </si>
  <si>
    <t xml:space="preserve">             Alba Öttusa Sportegyesület</t>
  </si>
  <si>
    <t xml:space="preserve">            MOL Aréna rendezvényszervezés eszközbeszerzései</t>
  </si>
  <si>
    <t>Szárazréti  Orvosi rendelő</t>
  </si>
  <si>
    <t>Akadálymentesítéshez kapcsolódó munkák</t>
  </si>
  <si>
    <t>2019. év</t>
  </si>
  <si>
    <t>2020. év</t>
  </si>
  <si>
    <t>2021. év</t>
  </si>
  <si>
    <t>2022. év</t>
  </si>
  <si>
    <t>További évek összesen</t>
  </si>
  <si>
    <t>g.=b.+…+f.</t>
  </si>
  <si>
    <t>I. Európai uniós és hazai forrásból megvalósuló projektekkel kapcsolatos kiadások</t>
  </si>
  <si>
    <t>Bartók Béla tér fejlesztése</t>
  </si>
  <si>
    <t>I. Európai uniós és hazai forrásból megvalósuló projektekkel kapcsolatos kiadások összesen</t>
  </si>
  <si>
    <t>II. Egyéb beruházási, felhalmozási kiadások</t>
  </si>
  <si>
    <t>Alba Geotrade Zrt. – központi közműnyilvántartás és alaptérkép vezetése</t>
  </si>
  <si>
    <t>II. Egyéb beruházási, felhalmozási kiadások összesen</t>
  </si>
  <si>
    <t>III. Helyi közösségi közlekedéssel kapcsolatos kiadások</t>
  </si>
  <si>
    <t>Alba Volán Zrt. - 2006. január 1. napjától 2012. december 31. napjáig terjedő időszak veszteségének kiegyenlése</t>
  </si>
  <si>
    <t>III. Helyi közösségi közlekedéssel kapcsolatos kiadások összesen</t>
  </si>
  <si>
    <t xml:space="preserve">           Vásárhelyi út Rádió út - Logisztika iparvágány közötti szakaszának felújítása </t>
  </si>
  <si>
    <t xml:space="preserve">         Filharmónia Bérletsorozat támogatása</t>
  </si>
  <si>
    <t xml:space="preserve">         Őszi székelyvásár</t>
  </si>
  <si>
    <t>köt</t>
  </si>
  <si>
    <t>Középiskolai Campus külső csapadékcsatorna - 217/2019. (IV.12.) kgy. határozat alapján</t>
  </si>
  <si>
    <t xml:space="preserve">             Fehérvár AV 19 Sport Club - 214/2019. (IV.12.) kgy. határozat alapján</t>
  </si>
  <si>
    <t xml:space="preserve">             Ökölvívó Gála - Felix Promotion Menedzser Kft.- 215/2019.(IV.12.) kgy.határozat alapján)</t>
  </si>
  <si>
    <t xml:space="preserve">Széna téri kerékpárforgalmi létesítmény </t>
  </si>
  <si>
    <t xml:space="preserve">Budapesti Corvinus Egyetem Székesfehérvári Campusa elhelyezésével és működtetésével kapcsolatos beruházások elvégzésére </t>
  </si>
  <si>
    <t xml:space="preserve">Pályázat előkészítésére és önerő keret </t>
  </si>
  <si>
    <t>Napsugár Óvoda Nefelejcs Tagóvodája</t>
  </si>
  <si>
    <t>Ligetsori Óvoda Palotavárosai Tagóvodája</t>
  </si>
  <si>
    <t>Udvar felújítása (199/2019.(IV.12.) kgy.határozat alapján)</t>
  </si>
  <si>
    <t>Alíz</t>
  </si>
  <si>
    <t>Belvárosi Brunszvik T. Óvoda</t>
  </si>
  <si>
    <t>Gyöngyvirág Óvoda-Székesfehérvár-Kindergarten Maiglöckchen</t>
  </si>
  <si>
    <t>Rákóczi Úti Óvoda</t>
  </si>
  <si>
    <t>Tolnai Úti Óvoda</t>
  </si>
  <si>
    <t>~ ebből: Önként vállalt feladat e.i.</t>
  </si>
  <si>
    <t xml:space="preserve">           Összesen</t>
  </si>
  <si>
    <t xml:space="preserve">           Kötelező feladat összesen</t>
  </si>
  <si>
    <t xml:space="preserve">           Államigazgatási feladat összesen</t>
  </si>
  <si>
    <t xml:space="preserve">            Kötelező feladat összesen</t>
  </si>
  <si>
    <t>összes módosítás:</t>
  </si>
  <si>
    <t>Ell.</t>
  </si>
  <si>
    <t xml:space="preserve">         Megadance Székesfehérvári Táncszínház Egyesület</t>
  </si>
  <si>
    <t xml:space="preserve">  17. melléklet</t>
  </si>
  <si>
    <t>az 5/2019.(II.15.) önkormányzati rendelethez</t>
  </si>
  <si>
    <t>Különbség</t>
  </si>
  <si>
    <t xml:space="preserve">             Szociális ágazati összevont pótlék</t>
  </si>
  <si>
    <t xml:space="preserve">             Szociális ágazatban egészségügyi végzettséghez kötött munkakörben foglalkoztatottak egészségügyi kiegészítő pótléka</t>
  </si>
  <si>
    <t xml:space="preserve">            Kulturális illetménypótlék</t>
  </si>
  <si>
    <t xml:space="preserve">            Költségvetési szerveknél foglalkoztatottak bérkompenzációja</t>
  </si>
  <si>
    <t xml:space="preserve">            Önkormányzati feladatellátást szolgáló támogatási keret</t>
  </si>
  <si>
    <t xml:space="preserve">18. melléklet </t>
  </si>
  <si>
    <t>összevont 2019. évi kiadásairól eFt-ban</t>
  </si>
  <si>
    <t>Intézményi felújítási kiadások</t>
  </si>
  <si>
    <t xml:space="preserve">              ResQ Székesfehérvár Alapítvány támogatása</t>
  </si>
  <si>
    <t xml:space="preserve">             Országos Gerincvédő Egyesület</t>
  </si>
  <si>
    <t xml:space="preserve">             TIMI-BEA Művészeti Szolgáltató, Kulturális Betéti Társaság</t>
  </si>
  <si>
    <t>Új Módosított előirányzat</t>
  </si>
  <si>
    <t>Módosított előirányzat
(1)</t>
  </si>
  <si>
    <t>Új Módosított előírányzat
(3)=(1)+(2)</t>
  </si>
  <si>
    <t>Önkormányzat I. módosított előirányzata</t>
  </si>
  <si>
    <t>~ Saját hatáskörű átcsoportosítás/módosítás (az  5/2019.(II.15.) önkormányzati rendelet 6.§ (10) bekezdése alapján)</t>
  </si>
  <si>
    <t>~ Főösszeget nem érintő átcsoportosítás (pü -K)</t>
  </si>
  <si>
    <t>~ Igazgatási tevékenységet érintő átcsoportosítás (fa-ról fa-ra)</t>
  </si>
  <si>
    <t>Székesfehérvári Stadionrekonstrukciós program megvalósítására, figyelemmel a 1285/2015.(IV.30.) Korm.határozatra, valamint a megvalósítás ütemezésére</t>
  </si>
  <si>
    <t xml:space="preserve">              Rotary Club Székesfehérvár</t>
  </si>
  <si>
    <t xml:space="preserve">              Vállalkozók és Munkáltatók Országos Szövetsége</t>
  </si>
  <si>
    <t xml:space="preserve">              Fejér Megyei Cukorbetegek Egyesülete /FEMECE/</t>
  </si>
  <si>
    <t xml:space="preserve">              Tercia StArt Egyesület</t>
  </si>
  <si>
    <t xml:space="preserve">              Ciszterci Diákegyesület Székesfehérvár</t>
  </si>
  <si>
    <t xml:space="preserve">         Szent István Hitoktatási és Művelődési Ház</t>
  </si>
  <si>
    <t xml:space="preserve">         Székesfehérvári Evangélikus Egyházközség</t>
  </si>
  <si>
    <t xml:space="preserve">             Alba Volán Sportclub - Öttusa Szakosztály olimpiai kvótát szerzett sportolóinak felkészítése</t>
  </si>
  <si>
    <t xml:space="preserve">             CUNDER Tömegsport és Utánpótlás Kézisuli Egyesület</t>
  </si>
  <si>
    <t xml:space="preserve">   Tartalék keret</t>
  </si>
  <si>
    <t xml:space="preserve">V. </t>
  </si>
  <si>
    <t>Város- és községgazdálkodás</t>
  </si>
  <si>
    <t>III. számú Idősek Otthona -  Székesfehérvár, Farkasvermi út 40. szám alatti ingatlanon található Intézmény villamoshálózatának, gépészeti rendszerének és lapostetőjének felújítása, valamint a IV. számú gondozási központ bővítésével kapcsolatos tervezési feladatok</t>
  </si>
  <si>
    <t>Raktár u. 1.szám alatti épület felújítási munkáira</t>
  </si>
  <si>
    <t xml:space="preserve">              Notre Dame felújítására (Kárpátok Alapítvány - Magyarország)</t>
  </si>
  <si>
    <t xml:space="preserve">             VIDEOTON FCF Baráti Kör Egyesüle</t>
  </si>
  <si>
    <t>Szent István Király Múzeum épületének rekonstrukciója előkészítése</t>
  </si>
  <si>
    <t>Elektromos gépjárművek beszerzése</t>
  </si>
  <si>
    <t xml:space="preserve">                ebből:  MOL Aréna Sóstó üzemeltetési feladatainak ellátására (Székesfehérvári Városfejlesztési Kft.)</t>
  </si>
  <si>
    <t xml:space="preserve">   </t>
  </si>
  <si>
    <t xml:space="preserve">   Székesfehérvári Városfejlesztési Közhasznú Nonprofit Kft.- Lakás bérleti díj)</t>
  </si>
  <si>
    <t>III. számú Idősek Otthona -  Székesfehérvár, Farkasvermi út 40. szám alatti ingatlanon található Intézmény villamoshálózat és gépészeti rendszer felújítása, valamint tető felújítása</t>
  </si>
  <si>
    <t xml:space="preserve">   Víziközmű-fejlesztési Alap</t>
  </si>
  <si>
    <t xml:space="preserve">   Helyi közösségi közlekedés finanszírozási kerete</t>
  </si>
  <si>
    <t>I.rendmód</t>
  </si>
  <si>
    <t>Terka int.</t>
  </si>
  <si>
    <t>Módosított  előirányzat</t>
  </si>
  <si>
    <t>~ Főösszeget érintő saját hatáskörű átcsoportosítás</t>
  </si>
  <si>
    <t>Módodsított előirányzat</t>
  </si>
  <si>
    <t>Felosztandó</t>
  </si>
  <si>
    <t xml:space="preserve">             Hullám 91. Úszó és Vízilabda Egyesület</t>
  </si>
  <si>
    <t xml:space="preserve">             Vitál Club Vízi Sport, Kerékpár, Triatlon, Quadriatlon és Szabadidő   Sportegyesület</t>
  </si>
  <si>
    <t xml:space="preserve">                                                       </t>
  </si>
  <si>
    <t>Önkormányzat II. módosított előirányzata</t>
  </si>
  <si>
    <t xml:space="preserve">   Környezetvédelmi Alap</t>
  </si>
  <si>
    <t xml:space="preserve">              Bridge Club Székesfehérvár</t>
  </si>
  <si>
    <t xml:space="preserve">              Magyarországi Zsidó Hitközségek Szövetsége</t>
  </si>
  <si>
    <t xml:space="preserve">         Aranybulla Könyvtár alapítvány működési támogatás</t>
  </si>
  <si>
    <t xml:space="preserve">             Videoton Box Club</t>
  </si>
  <si>
    <t xml:space="preserve">   Óvodaigazgatók munkaközösségének támogatása</t>
  </si>
  <si>
    <t xml:space="preserve">   Bakony úti szennyvíztelepen megépített utótisztító műtárgy üzemeltetési költsége (550/2018. (VIII.17.) kgy.hat.alapján)</t>
  </si>
  <si>
    <t>Királyi Bazilika köveinek elszállítása</t>
  </si>
  <si>
    <t>Sportcsarnok, egyéb létesítmények, felszíni parkolók, zöldfelület építésének önkormányzati önrésze (233/2019.(IV.26.) kgy.hat.alapján)</t>
  </si>
  <si>
    <t xml:space="preserve">   Sportcsarnok, egyéb létesítmények, felszíni parkolók, zöldfelület építésének önkormányzati önrésze (233/2019.(IV.26.) kgy.hat.alapján)</t>
  </si>
  <si>
    <t>Jókai u. 2. épület fal sótlanítás és falszárítás dokumentáció</t>
  </si>
  <si>
    <t xml:space="preserve">              V. Adventi Jótékonysági Futás és a IX. Székesfehérvári Jótékonysági Estély (674/2019.(XI.7.) kgy.hat.alapján)</t>
  </si>
  <si>
    <t xml:space="preserve">         Gőzmalom u. 24. "Kivett malom" ingatlan vagyonkezelői jogának megszüntetésére megbízott szakértői díj fedezetére 532/2019. (VIII. 16.) kgy.határozat alapján</t>
  </si>
  <si>
    <t xml:space="preserve">   Játékvezetők díja</t>
  </si>
  <si>
    <t>Szent István Király Múzeum épületének rekonstrukciója előkészítése - önerő kerete</t>
  </si>
  <si>
    <t>~ Intézménytől elvonás</t>
  </si>
  <si>
    <t>~ Városrészi rendezvények</t>
  </si>
  <si>
    <t xml:space="preserve">   Nyugdíjazással kapcsolatos kifizetések (Intézményi működéshez kapcsolódó kiadások-ASZMH)</t>
  </si>
  <si>
    <t>Különbözet</t>
  </si>
  <si>
    <t>Székesfehérvár 428 hrsz-ú ingatlanon álló épület építészeti, műszaki felmérése, hasznosítási elemzések</t>
  </si>
  <si>
    <t>Prohászka 32/a. épület bontási terve</t>
  </si>
  <si>
    <t>Székesfehérvár Városház tér 1. szám alatti épület tartószerkezeti véleményezése, épületenergetika, elektromos felújítás költségbecslése</t>
  </si>
  <si>
    <t>Ssz.</t>
  </si>
  <si>
    <t>2019. évi módosított terv (eFt-ban)</t>
  </si>
  <si>
    <t>2018. évi alap maradványa</t>
  </si>
  <si>
    <t>Kamatbevétel 2019.</t>
  </si>
  <si>
    <t>Bírságok 2019.</t>
  </si>
  <si>
    <t>Talajterhelési díj 2019.</t>
  </si>
  <si>
    <t>2019. évi összes bevétel:</t>
  </si>
  <si>
    <t>Környezetvédelmi Nevelési Alap - szemléletformálást segítő előadások, pályázatok, pedagógiai továbbképzések támogatása</t>
  </si>
  <si>
    <t>~ ebből: kötelezettségvállalással terhelt kiadás</t>
  </si>
  <si>
    <t>1000 fa ültetése projekt</t>
  </si>
  <si>
    <t>Környezetvédelmi Program kidolgozása</t>
  </si>
  <si>
    <t>Székesfehérvár zöldfelületi elemeinek növelése</t>
  </si>
  <si>
    <t>Környezetvédelmi feladatok összesen:</t>
  </si>
  <si>
    <t>Bankköltség, forgalmi jutalék</t>
  </si>
  <si>
    <t>Fel nem osztott keret</t>
  </si>
  <si>
    <t>Kiadások összesen:</t>
  </si>
  <si>
    <t>Önkormányzat III. módosított előirányzata</t>
  </si>
  <si>
    <t>köt:  ö:</t>
  </si>
  <si>
    <t xml:space="preserve">köt:  önként: </t>
  </si>
  <si>
    <t>IV. módosítás</t>
  </si>
  <si>
    <t xml:space="preserve">   Kulturális célú kiadások év közben jelentkező többletfeladatok</t>
  </si>
  <si>
    <t xml:space="preserve">   Könyvkiadás</t>
  </si>
  <si>
    <t xml:space="preserve">   Települési támogatás</t>
  </si>
  <si>
    <t xml:space="preserve">   Települési lakhatási támogatás</t>
  </si>
  <si>
    <t xml:space="preserve">   Települési hátralékkezelési támogatás</t>
  </si>
  <si>
    <t xml:space="preserve">   Települési ápolási támogatás</t>
  </si>
  <si>
    <t xml:space="preserve">   Lakhatást segítő eseti krízis támogatás</t>
  </si>
  <si>
    <t xml:space="preserve">   Temetési segély</t>
  </si>
  <si>
    <t xml:space="preserve">   Gyógyszertámogatás</t>
  </si>
  <si>
    <t xml:space="preserve">   Hajléktalanszállás (díjhátralékra)</t>
  </si>
  <si>
    <t xml:space="preserve">   Rendkívüli gyermekvédelmi támogatás</t>
  </si>
  <si>
    <t xml:space="preserve">   Települési hátralékkez.tám.kapcs.lakhat.</t>
  </si>
  <si>
    <t xml:space="preserve">   "Biológiailag lebomló hulladék eltérítése a hulladéklerakótól Székesfehérváron" pályázat benyújtásához vállalt önkormányzati saját erő (157/2018.(III.9.) kgy.hat.alapján)</t>
  </si>
  <si>
    <t xml:space="preserve">   Fehérvár FC Kft.</t>
  </si>
  <si>
    <t xml:space="preserve">         Országos Diákparlament </t>
  </si>
  <si>
    <t xml:space="preserve">   Országos Diákparlament</t>
  </si>
  <si>
    <t xml:space="preserve">   Járásszékhely múzeumok szakmai támogatása</t>
  </si>
  <si>
    <t>Országos Futópálya-építési Program (9196 hrsz.alatti Halesz ligetben) - 424/2019. (VI.21.) kgy.határozat alapján</t>
  </si>
  <si>
    <t xml:space="preserve">   Országos Futópálya-építési Program (9196 hrsz.alatti Halesz ligetben) - 424/2019. (VI.21.) kgy.határozat alapján</t>
  </si>
  <si>
    <t xml:space="preserve">   Központi támogatások és szerződéses kötelmek elszámolása</t>
  </si>
  <si>
    <t xml:space="preserve">   Fehérvári Tűzoltó Egyesület</t>
  </si>
  <si>
    <t xml:space="preserve">   IV. Adventi Jótékonysági Futás és a Székesfehérvári Jótékonysági Estély (673/2018. (X.12.) kgy.hat.alapján)</t>
  </si>
  <si>
    <t xml:space="preserve">   Nagycsaládosok Országos Egyesülete - székesfehérvári csoport támogatása</t>
  </si>
  <si>
    <t xml:space="preserve">   Települési önkormányzatok szociális, gyermekjóléti és gyermekétkeztetési feladatainak támogatása (Nappali melegedők hosszitott nyitvatartásának támogatása)</t>
  </si>
  <si>
    <t xml:space="preserve">   Települési önkormányzatok egyes köznevelési feladatainak támogatása (Minimálbér és garantált bérminimum emeléséből addódó bértöbblet kifizetésis támogatás)</t>
  </si>
  <si>
    <t xml:space="preserve">   Települési önkormányzatok egyes köznevelési feladatainak támogatása (Központi támogatás)</t>
  </si>
  <si>
    <t xml:space="preserve">   Települési önkormányzatok szociális, gyermekjóléti és gyermekétkeztetési feladatainak támogatása (Minimálbér és garantált bérminimum emeléséből addódó bértöbblet kifizetésis támogatás)</t>
  </si>
  <si>
    <t xml:space="preserve">   Települési önkormányzatok szociális, gyermekjóléti és gyermekétkeztetési feladatainak támogatása (Központi támogatások)</t>
  </si>
  <si>
    <t xml:space="preserve">   Települési önkormányzatok kulturális feladatainak támogatása  (Központi támogatások)</t>
  </si>
  <si>
    <t xml:space="preserve">   Működési célú költségvetési támogatások és kiegészítő támogatások (Kémény Zrt. Kéményseprő-ipari közszolgáltató támogatás)</t>
  </si>
  <si>
    <t xml:space="preserve">   Elszámolásból adódó bevételek (Központi támogatások)</t>
  </si>
  <si>
    <t xml:space="preserve">   Helyi önkormányzatok működésének általános támogatása (Központi támogatások)</t>
  </si>
  <si>
    <t xml:space="preserve">   Nemzetközi kapcsolatok</t>
  </si>
  <si>
    <t xml:space="preserve">   Százszorszép Bölcsőde - Épület felújítása és eszközbeszerzés a TOP 6.6.1-16 kódszámú pályázati felhívás keretében</t>
  </si>
  <si>
    <t xml:space="preserve">   Ybl Miklós lakótelepi rendelőépület -Gyermekorvosi rendelő és védőnői tanácsadó átalakítása, bővítése, felújítása a TOP 6.2.1-16 kódszámú pályázati felhívás keretében</t>
  </si>
  <si>
    <t>~ Főösszeget nem érintő belcső átcsoportosítás (kerekítési különbözetek)</t>
  </si>
  <si>
    <t xml:space="preserve">   Ligetsori Óvoda - Homlokzati FENFA elemek és nyílászárók cseréje</t>
  </si>
  <si>
    <t xml:space="preserve">    Ligetsori Óvoda - Homlokzati FENFA elemek és nyílászárók cseréje</t>
  </si>
  <si>
    <t xml:space="preserve">   Gyöngyvirág Óvoda - Nyílászáró csere</t>
  </si>
  <si>
    <t xml:space="preserve">   Árpád úti Óvoda Vízivárosi Tagóvodája - Homlokzati FENFA elemek és nyílászárók cseréje</t>
  </si>
  <si>
    <t xml:space="preserve">   Budai u. 56/a ingatlan felújítása (Csemete Gyermekcentrum Bölcsőde) - Konyha felújítás tervezése és homlokzati nyílászárók cseréje</t>
  </si>
  <si>
    <t xml:space="preserve">   Vörösmarty Mihály Könyvtár - Budai úti tagkönyvtár utcafronti portálcsere</t>
  </si>
  <si>
    <t xml:space="preserve">              Helyi közösségfejlesztés Székesfehérváron</t>
  </si>
  <si>
    <t xml:space="preserve">   Helyi közösségfejlesztés Székesfehérváron</t>
  </si>
  <si>
    <t xml:space="preserve">   Túrózsáki út melletti szabadidőpark létrehozása és sétány kialakiítása (Túrózsáki út-Bártfai út)</t>
  </si>
  <si>
    <t xml:space="preserve">   Varga csatorna mederrendezése</t>
  </si>
  <si>
    <t xml:space="preserve">    Palotavárosi tavak sport és rekreációs célú hasznosítása</t>
  </si>
  <si>
    <t xml:space="preserve">      Berényi út III. ütem útépítés</t>
  </si>
  <si>
    <t xml:space="preserve">    Berényi út III. ütem útépítés</t>
  </si>
  <si>
    <t xml:space="preserve">     Kégl és Távírda utca csapadékcsatorna rekonstrukció</t>
  </si>
  <si>
    <t>~ Főösszeget nem érintő belső átcsoportosítás (kerekítési különbözetek)</t>
  </si>
  <si>
    <t xml:space="preserve">   MOL Aréna Sóstó létesítménybe beépített ingóságok megvásárlása  </t>
  </si>
  <si>
    <t xml:space="preserve">   Életjáradék lakásért</t>
  </si>
  <si>
    <t xml:space="preserve">   Kártérítés és járulékai költségei</t>
  </si>
  <si>
    <t>~ Igazgatási tevékenységet érintő belső átcsoportosítás (kerekítési különbözetek)</t>
  </si>
  <si>
    <t xml:space="preserve">   Erdőtelepítés ültetési és fenntartási feladatai</t>
  </si>
  <si>
    <t xml:space="preserve">   Székesfehérvári felsőoktatási intézmények támogatása</t>
  </si>
  <si>
    <t xml:space="preserve">   "Alba Regia" tanulmányi ösztöndíj</t>
  </si>
  <si>
    <t xml:space="preserve">  "Aranyeső" Alapítvány az egészséges emberért támogatása - Hétpettyes Óvodaa</t>
  </si>
  <si>
    <t>~ Igazgatási tevékenységet érintő belső  átcsoportosítás (kerekítési különbözetek)</t>
  </si>
  <si>
    <t xml:space="preserve">  HPV 9 komponensű oltóanyag beszerzése a székesfehérvári lakóhellyel rendelkező 2017. és 2018. évben 12. életévüket betöltő fiú gyermekek részére</t>
  </si>
  <si>
    <t xml:space="preserve">   Egészséges Városok Magyar Nyelvű Szövetsége</t>
  </si>
  <si>
    <t xml:space="preserve">   Segítő Fehérvár Program</t>
  </si>
  <si>
    <t xml:space="preserve">   Segítő Fehérvár program</t>
  </si>
  <si>
    <t xml:space="preserve">   Városi rendezvények</t>
  </si>
  <si>
    <t xml:space="preserve">   Nemzeti és állami ünnepeink</t>
  </si>
  <si>
    <t xml:space="preserve">   Fehéredő Múlt című film 4. rész elkészítése</t>
  </si>
  <si>
    <t xml:space="preserve">   Emléktábla elhelyezéséhez támogatás</t>
  </si>
  <si>
    <t xml:space="preserve">   Vitál Club Vízi Sport, Kerékpár, Triatlon, Quadriatlon és Szabadidő   Sportegyesület</t>
  </si>
  <si>
    <t xml:space="preserve">   Év közben jelentkező sportcélú kiadások</t>
  </si>
  <si>
    <t xml:space="preserve">   Ifjúsági Alap</t>
  </si>
  <si>
    <t xml:space="preserve">   Polgármesteri keret</t>
  </si>
  <si>
    <t xml:space="preserve">   Társadalmi Felelősségvállalási Alap</t>
  </si>
  <si>
    <t xml:space="preserve">   Képviselői alap</t>
  </si>
  <si>
    <t xml:space="preserve">   Trianon Centenárium </t>
  </si>
  <si>
    <t xml:space="preserve">Székesfehérvár területén fenntartható városi közlekedés fejlesztés </t>
  </si>
  <si>
    <t>Székesfehérvár területén fenntartható városi közlekedés fejlesztés</t>
  </si>
  <si>
    <t>Helyi közösségfejlesztés Székesfehérváron</t>
  </si>
  <si>
    <t>Székesfehérvár Középiskolai Campus kialakítása</t>
  </si>
  <si>
    <t>Déli összekötőút megépítése</t>
  </si>
  <si>
    <t xml:space="preserve">   Fogorvosi rendelők felújításához Zámoly község hozzájárulása megállapodás alapján</t>
  </si>
  <si>
    <t xml:space="preserve">   Székesfehérvár területén fenntartható városi közlekedés fejlesztés </t>
  </si>
  <si>
    <t xml:space="preserve">   Ifjúsági feladatok és a Székesfehérvári Diáktanács működése</t>
  </si>
  <si>
    <t xml:space="preserve">   Utcai szociális munka támogatása</t>
  </si>
  <si>
    <t>kötlező</t>
  </si>
  <si>
    <t xml:space="preserve">   Viziközmű-fejlesztési Alap</t>
  </si>
  <si>
    <t xml:space="preserve">   Kégl György Program: FM.Szt.György Egyetemi Oktató Kórház működési és fejlesztési támogatás visszautalása</t>
  </si>
  <si>
    <t xml:space="preserve">  </t>
  </si>
  <si>
    <t xml:space="preserve">   Fogyatékos személyek otthona és gondozóháza szociális szakellátási feladata</t>
  </si>
  <si>
    <t xml:space="preserve">   Székesfehérvár szennyvíztisztító telep biogáz vonalának fejlesztése</t>
  </si>
  <si>
    <t xml:space="preserve">   Termőföld bérbeadásából származó jövedelem utáni személyi jövedelemadó</t>
  </si>
  <si>
    <t xml:space="preserve">   Építményadó, telekadó</t>
  </si>
  <si>
    <t xml:space="preserve">   Iparűzési adó</t>
  </si>
  <si>
    <t xml:space="preserve">   Gépjármű adó</t>
  </si>
  <si>
    <t xml:space="preserve">   Idegenforgalmi adó</t>
  </si>
  <si>
    <t xml:space="preserve">   Egyéb települési adó (Helyi adó bevétel)</t>
  </si>
  <si>
    <t xml:space="preserve">   Egyéb helyi közhatalmi bevételek - köztemetés</t>
  </si>
  <si>
    <t xml:space="preserve">   Közigazgatási bírság</t>
  </si>
  <si>
    <t xml:space="preserve">   Távolléti közigazgatási helyszíni bírság</t>
  </si>
  <si>
    <t xml:space="preserve">   Közigazgatási helyszíni bírság</t>
  </si>
  <si>
    <t xml:space="preserve">   Szabálysértési közigazgatási bírság</t>
  </si>
  <si>
    <t xml:space="preserve">   Egyéb bevételek</t>
  </si>
  <si>
    <t xml:space="preserve">   Szennyvízcsatorna hálózatra utólagos rákötési díj</t>
  </si>
  <si>
    <t xml:space="preserve">   Rekreációs célú földhasználati díj</t>
  </si>
  <si>
    <t xml:space="preserve">   V. Adventi Jótékonysági Futás és IX. Székesfehérvári Jótékonysági Estély (2020)</t>
  </si>
  <si>
    <t xml:space="preserve">   Házasságkötéssel kapcsolatos bevételek</t>
  </si>
  <si>
    <t xml:space="preserve">   Lakás bérleti díj</t>
  </si>
  <si>
    <t xml:space="preserve">   Alba Volán Sporttelep bérleti szerződés</t>
  </si>
  <si>
    <t xml:space="preserve">   Városfejlesztési Kft MOL Stadion Sóstó</t>
  </si>
  <si>
    <t xml:space="preserve">   Túrózsáki  út 2427 -9 ingatlan áramdíj   továbbszámlázása</t>
  </si>
  <si>
    <t xml:space="preserve">   MOL Aréna Sóstó üzemeltetési feladatainak ellátására (Önkormányzat)</t>
  </si>
  <si>
    <t xml:space="preserve">   Viziközmű-fejlesztési Alap (Kötbér)</t>
  </si>
  <si>
    <t xml:space="preserve">   Ingatlanok értékesítése</t>
  </si>
  <si>
    <t xml:space="preserve">   Viziközmű-fejlesztési Alap (Visszaigényelhető áfa)</t>
  </si>
  <si>
    <t xml:space="preserve">   Kamatbevétel</t>
  </si>
  <si>
    <t xml:space="preserve">   Viziközmű-fejlesztési Alap (Kamatbevétel)</t>
  </si>
  <si>
    <t xml:space="preserve">   Környezetvédelmi Alap (Kamatbevétel)</t>
  </si>
  <si>
    <t xml:space="preserve">   Környezetvédelmi Alap (Bírság)</t>
  </si>
  <si>
    <t xml:space="preserve">   Kerekítés</t>
  </si>
  <si>
    <t xml:space="preserve">   Vevő késedelmi kamat</t>
  </si>
  <si>
    <t xml:space="preserve">   Egyéb díjak, hitel igénybevételi díj, perköltség</t>
  </si>
  <si>
    <t xml:space="preserve">   Egyéb bevételek </t>
  </si>
  <si>
    <t xml:space="preserve">   Végrehajtási költség</t>
  </si>
  <si>
    <t xml:space="preserve">   Kártalanítás kamata</t>
  </si>
  <si>
    <t xml:space="preserve">   Bérleti díjak</t>
  </si>
  <si>
    <t xml:space="preserve">   Önkormányzati lakások értékesítése</t>
  </si>
  <si>
    <t xml:space="preserve">   Lakáskölcsön kamata</t>
  </si>
  <si>
    <t>V. Adventi Jótékonysági Futás és IX. Székesfehérvári Jótékonysági Estély (2020)</t>
  </si>
  <si>
    <t>Önkormányzati Közalapítványok támogatása</t>
  </si>
  <si>
    <t>Nemzetközi kapcsolatok</t>
  </si>
  <si>
    <t>Oktatásfejlesztő Széchenyi Alaptvány</t>
  </si>
  <si>
    <t>Székesfehérvár Fejlődéséért Alapítvány támogatása</t>
  </si>
  <si>
    <t>Kulturális célú kiadások év közben jelentkező többletfeladatok</t>
  </si>
  <si>
    <t>Alba Kölyök Egyesület 2016. támogatás visszautalása</t>
  </si>
  <si>
    <t>"Fehérvár Kiskút Teniszklub" Sportegyesület</t>
  </si>
  <si>
    <t>TFA-Székesfehérvári civil szerv.eszk. és infrastruktúrális felj.k.kts.tám.</t>
  </si>
  <si>
    <t>TFA-Székesfehérvári Civil szervezetek működési támogatása</t>
  </si>
  <si>
    <t>B115-B116</t>
  </si>
  <si>
    <t>B311</t>
  </si>
  <si>
    <t>B814</t>
  </si>
  <si>
    <t>5/a. Államháztartáson belüli megelőlegezések</t>
  </si>
  <si>
    <t>8. Finanszírozási bevételek összesen (5+5/a+6+7):</t>
  </si>
  <si>
    <t>11/a, Termőföld bérbeadásából származó jövedelem utáni személyi jövedelemadó</t>
  </si>
  <si>
    <t>25, Közhatalmi bevételek összesen (11/a+13+19+24):</t>
  </si>
  <si>
    <t>4. Államháztartáson belüli megelőlegezések</t>
  </si>
  <si>
    <t>II. Finanszírozási bevételek összesen (1+2+3+4)</t>
  </si>
  <si>
    <t>B6 Ny.Ildi + Önk.</t>
  </si>
  <si>
    <t>B1 M.né Erika</t>
  </si>
  <si>
    <t>B2 Kr.Zs.</t>
  </si>
  <si>
    <t>B3 István/erika</t>
  </si>
  <si>
    <t>B4 István/erika</t>
  </si>
  <si>
    <t>4 m. Ktg.vet.sz.oszlop</t>
  </si>
  <si>
    <t>11m</t>
  </si>
  <si>
    <t>Az Árpád-ház Program részét képező "Az ország bölcsője" kiemelt székesfehérvári alprogram második szakasz további elemeinek előzetes koncepciójáról szóló 1792/2017. (XI.8.) Kormányhatározat alapján</t>
  </si>
  <si>
    <t>„Az ország bölcsője” kiemelt székesfehérvári alprogram első szakaszának megvalósításáról és a második szakasz egyes fejlesztési elemeinek bemutatásáról szóló 1469/2017. (VII.25.) Kormányhatározat értelmében</t>
  </si>
  <si>
    <t>Székesfehérvári Középiskolai Campus kialakítása</t>
  </si>
  <si>
    <t>Zöld Város - Fehérvár Tüdeje II. ütem</t>
  </si>
  <si>
    <t>19. melléklet</t>
  </si>
  <si>
    <t xml:space="preserve"> az 5/2019.(II.15.) önkormányzati rendelethez</t>
  </si>
  <si>
    <t>Projekt megnevezése</t>
  </si>
  <si>
    <t>Státusz</t>
  </si>
  <si>
    <t>Projekt összköltség</t>
  </si>
  <si>
    <t>2015. évi támogatás</t>
  </si>
  <si>
    <t>2016. évi támogatás</t>
  </si>
  <si>
    <t>2017. évi támogatás</t>
  </si>
  <si>
    <t>2018. évi támogatás</t>
  </si>
  <si>
    <t>2019. évi támogatás</t>
  </si>
  <si>
    <t>2020. évi támogatás</t>
  </si>
  <si>
    <t>2021. évi támogatás</t>
  </si>
  <si>
    <t>2022. évi támogatás</t>
  </si>
  <si>
    <t>EU-s forrás</t>
  </si>
  <si>
    <t>Hazai forrás</t>
  </si>
  <si>
    <t>Projektzárás alatt</t>
  </si>
  <si>
    <t>Fő és gyűjtőutak felújítása - Ligetsor</t>
  </si>
  <si>
    <t>Felsőváros vízrendezése I. ütem</t>
  </si>
  <si>
    <t>Rákóczi Utcai Óvoda  - az épület energiahatékonysági rekonstrukciója, akadálymentesítése, külső terek felújítása, eszközök beszerzése</t>
  </si>
  <si>
    <t>Kisléptékű közlekedési célú fejlesztés a munkaerő mobilitás és a gazdaságfejlesztés érdekében</t>
  </si>
  <si>
    <t>Helyi foglalkoztatási együttműködések Székesfehérvár és járása területén</t>
  </si>
  <si>
    <t>Felsőváros vízrendezése II. üteme</t>
  </si>
  <si>
    <t xml:space="preserve">Maroshegyi Óvoda bővítése </t>
  </si>
  <si>
    <t>Végrehajtás alatt</t>
  </si>
  <si>
    <t>Székesfehérvári Stadionrekonstrukciós program megvalósítására, figyelemmel a 1285/2015.(IV.30.) Korm. Határozatra, valamint a megvalósítás ütemezésére *</t>
  </si>
  <si>
    <t>Székesfehérvári szennyvíztisztító telep biogáz vonalának fejlesztése</t>
  </si>
  <si>
    <t>Berényi út II. ütem vízrendezése</t>
  </si>
  <si>
    <t xml:space="preserve">Szent István Király  Múzeum épületének rekonstrukciója, előkészítése </t>
  </si>
  <si>
    <t>34.</t>
  </si>
  <si>
    <t>35.</t>
  </si>
  <si>
    <t>36.</t>
  </si>
  <si>
    <t>37.</t>
  </si>
  <si>
    <t>38.</t>
  </si>
  <si>
    <t>39.</t>
  </si>
  <si>
    <t>40.</t>
  </si>
  <si>
    <t>Halász utcai játszótér bővítése</t>
  </si>
  <si>
    <t>41.</t>
  </si>
  <si>
    <t>* megjegyzés: a projekt összege Áfá-t nem tartalmaz.</t>
  </si>
  <si>
    <t>Túrózsáki út melletti szabadidőpark  és sétány kialakítása</t>
  </si>
  <si>
    <t>Berényi út felújításának II. üteme</t>
  </si>
  <si>
    <t>Multifunkcionális csarnok megvalósítása (teljes körű tervezés, előkészítés)</t>
  </si>
  <si>
    <t>Ybl lakótelepi rendelő - Gyermekorvosi rendelő és védőnői tanácsadó átalakítása, bővítése, felújítása a TOP 6.2.1-16 kódszámú pályázati felhívás keretében</t>
  </si>
  <si>
    <t>Batthyány utca 12. szám alatti rendelő - Felnőtt háziorvosi rendelő felújítása</t>
  </si>
  <si>
    <t>Százszorszép Bölcsőde felújítása -Épület felújítása és eszközbeszerzés a TOP 6.6.1-16 kódszámú pályázati felhívás keretében</t>
  </si>
  <si>
    <t>„Az ország bölcsője” kiemelt székesfehérvári alprogram első szakaszának megvalósításáról és a második szakasz egyes fejlesztési elemeinek bemutatásáról szóló 1469/2017. (VII.25.) értelmében</t>
  </si>
  <si>
    <t>Zöld város - Fehérvár Tüdeje II. ütem</t>
  </si>
  <si>
    <t>Szekfű Gyula utca 9. szám alatti  rendelő</t>
  </si>
  <si>
    <t>Szekfű Gyula utca 9. szám alatti rendelő - Háziorvosi és fogorvosi rendelő felújítása, fejlesztése</t>
  </si>
  <si>
    <t xml:space="preserve">Ybl lakótelepi rendelő </t>
  </si>
  <si>
    <t>Batthyány utca 12. szám alatti rendelő</t>
  </si>
  <si>
    <t>+</t>
  </si>
  <si>
    <t xml:space="preserve">   Előző évi működési célú maradvány (Kerekítési különbözet)</t>
  </si>
  <si>
    <t>Önkormányzati egyéb bevételből biztosított forrás</t>
  </si>
  <si>
    <t>Székesfehérvár területén fenntartható városi közlekedésfejlesztés (korábbi Fenntartható városi közlekedés I-II-III. ütem)</t>
  </si>
  <si>
    <t xml:space="preserve">   Környezetvédelmi Alap (Talajterhelési díj)</t>
  </si>
  <si>
    <t>IV.rmód</t>
  </si>
  <si>
    <t>~ Bérkompenzáció ( X., XI. havi)</t>
  </si>
  <si>
    <t>~ Jogszabályból fakadó személyi jellegű többletkifizetések (jubileumi jutalom, szabadságmegváltás, dupla bér kifizetése)</t>
  </si>
  <si>
    <t>~ Cafetéria (XI., XII. havi)</t>
  </si>
  <si>
    <t>~ Szociális ágazati összevont pótlék (XI.havi)</t>
  </si>
  <si>
    <t>744/2017. (X.20.) és a 21/2020. (I.24.) Kgy.határozatok alapján a támogatás 2019. évben fel nem használt része.</t>
  </si>
  <si>
    <t>~ 2019. november 1. és 2020. augusztus 31. napja között megvalósításra kerülő programokhoz és tárgyi eszköz beszerzéséhez kapcsolódó személyi és dologi költségekhez (Képviselői Alap)</t>
  </si>
  <si>
    <t>Mesevilág Bölcsőde (korábban 3.sz Bölcsőde)</t>
  </si>
  <si>
    <t>Szeder  Bölcsőde (korábban 7. sz. Bölcsőde)</t>
  </si>
  <si>
    <t>Tündérkert  Bölcsőde (8.sz. Bölcsőde)</t>
  </si>
  <si>
    <t>~  A Püspök-kertvárosi Tagóvodájának 2019. november 1. és 2020. augusztus 31. napja között megvalósításra kerülő programokhoz és tárgyi eszköz beszerzéséhez kapcsolódó személyi és dologi költségekhez (Képviselői Alap)</t>
  </si>
  <si>
    <t>Kossuth Zsuzsanna Szociális Intézmény (korábban Egyesített Szociális Intézmény)</t>
  </si>
  <si>
    <t>~ Egészségügyi kiegészítő pótlék (XII. havi)</t>
  </si>
  <si>
    <t>Alba Bástya Család- és Gyermekjóléti Központ (korábban Székesfehérvári Család-és Gyermekjóléti Központ)</t>
  </si>
  <si>
    <t>~ Kulturális illetménypótlék (XI. havi)</t>
  </si>
  <si>
    <t>~  A Budai Úti Tagkönyvtárának 2019. november 1. és 2020. augusztus 31. napja között megvalósításra kerülő programokhoz és tárgyi eszköz beszerzéséhez kapcsolódó személyi és dologi költségekhez (Képviselői Alap)</t>
  </si>
  <si>
    <t>~ 2019. évben megjelenő "Szocialista szürrealizmus titokzatos bája" című kiállítás összegző katalógusa kiadásának megvalósítására (Kulturális célú kiadások év közben jelentkező többletfeladatok)</t>
  </si>
  <si>
    <t>~ 2019. december hónapban megvalósításra kerülő Mikulás és karácsonyi rendezvényekhez kapcsolódó személyi és dologi költségekhez (Képviselői Alap)</t>
  </si>
  <si>
    <t>~ Vízivárosi Advent rendezvényhez kapcsolódó dologi költségekhez (Városrészi rendezvények)</t>
  </si>
  <si>
    <t>744/2017. (X.20.) és a 21/2020. (I.24.) Kgy.határozatok alapján a támogatás 2019. évben fel nem használt része. (Frim Jakab Képességfejlesztő Szakosított Otthon)</t>
  </si>
  <si>
    <t>~ Képviselői Alapok</t>
  </si>
  <si>
    <t>~ Kulturális célú kiadások év közben jelentkező feladatok</t>
  </si>
  <si>
    <t>~ Bérkompenzáció (X. XI. havi)</t>
  </si>
  <si>
    <t>~ Cafetéria ( XI. , XII. havi)</t>
  </si>
  <si>
    <t>~ Szociális ágazati összevont pótlék ( XI. havi)</t>
  </si>
  <si>
    <t>744/2017. (X.20.) és 21/2020. (I.24.) Kgy.határozatok alapján a támogatás 2019. évben fel nem használt része</t>
  </si>
  <si>
    <t>~ 2019. november 1. és 2020. augusztus 31. napja között megvalósításra kerülő programokhoz és tárgyi eszköz beszerzéseéhez kapcsolódó személyi és dologi költségekhez (Képviselői Alap)</t>
  </si>
  <si>
    <t>Mesevilág Bölcsőde (korábban 3.sz. Bölcsőde)</t>
  </si>
  <si>
    <t>Szeder  Bölcsőde (korábban 7.sz. Bölcsőde)</t>
  </si>
  <si>
    <t>Tündérkert Bölcsőde (korábban 8. sz Bölcsőde)</t>
  </si>
  <si>
    <t>~ A Püspök-kertvárosi Tagóvodájának 2019. november 1. és 2020. augusztus 31. napja között megvalósításra kerülő programokhoz és tárgyi eszköz beszerzéseéhez kapcsolódó személyi és dologi költségekhez (Képviselői Alap)</t>
  </si>
  <si>
    <t>~ A Budai Úti Tagkönyvtárának  2019. november 1. és 2020. augusztus 31. napja között megvalósításra kerülő programokhoz és tárgyi eszköz beszerzéseéhez kapcsolódó személyi és dologi költségekhez (Képviselői Alap)</t>
  </si>
  <si>
    <t>~ 2019. évben megjelenő "Szocialista szürrealizmus titkos bája" című kiállítás összegző katalógusa kiadásának megvalósítására (Kulturális célú kiadások év közben jelentkező többletfeladatok)</t>
  </si>
  <si>
    <t>~Főösszeget érintő saját hatáskörű átcsoportosítás</t>
  </si>
  <si>
    <t>744/2017. (X.20.) és 21/2020. (I.24.) Kgy.határozatok alapján a támogatás 2019. évben fel nem használt része (Frim Jakab Képességfejlesztő Szakosított Otthon)</t>
  </si>
  <si>
    <t>~ Kulturális célú kiadások év közben jelentkező többletfeladatok</t>
  </si>
  <si>
    <t>álláshely</t>
  </si>
  <si>
    <t>124/2019. (III.22.) Kgy. Határozat alapján</t>
  </si>
  <si>
    <t>212/2019. (IV.12.) Kgy.határozat alapján</t>
  </si>
  <si>
    <t xml:space="preserve">álláshely </t>
  </si>
  <si>
    <t>527/2019. (VIII.16.) és 528/2019. (VIII.16.)Kgy.határozat alapján</t>
  </si>
  <si>
    <t>SZMSZ 99 § (2) bekezdés</t>
  </si>
  <si>
    <t>2019. január 1.</t>
  </si>
  <si>
    <t>2019. március 1.</t>
  </si>
  <si>
    <t>2019. április 1.</t>
  </si>
  <si>
    <t>2019. május 1.</t>
  </si>
  <si>
    <t>2019. június 15.</t>
  </si>
  <si>
    <t>2019. augusztus 1.</t>
  </si>
  <si>
    <t>2019. szeptember 1.</t>
  </si>
  <si>
    <t>2019. október 1.</t>
  </si>
  <si>
    <t>2019. december 1.</t>
  </si>
  <si>
    <t>2019. november 7.</t>
  </si>
  <si>
    <t>2019. december 31.</t>
  </si>
  <si>
    <t xml:space="preserve"> Eü. ellátás összesen</t>
  </si>
  <si>
    <t>3. számú Bölcsőde</t>
  </si>
  <si>
    <t>Nyítnikék Bölcsőde</t>
  </si>
  <si>
    <t>7. számú Bölcsőde</t>
  </si>
  <si>
    <t>8. számú Bölcsőde</t>
  </si>
  <si>
    <t>Belvárosi Bunszvik Teréz Óvoda</t>
  </si>
  <si>
    <t>Gyöngyvirág Óvoda-Székesfehérvár</t>
  </si>
  <si>
    <t xml:space="preserve">Humán Szolgáltató összesen </t>
  </si>
  <si>
    <t>Székesfehérvári Intézményi Központ</t>
  </si>
  <si>
    <t>Kulturális ellátás összesen</t>
  </si>
  <si>
    <t>Költségvetési szervek összesen:</t>
  </si>
  <si>
    <t>Költségvetési szervek 2019. évi kiadási előirányzatán</t>
  </si>
  <si>
    <t xml:space="preserve"> belül a kiemelt dologi előirányzatok (eFt-ban)</t>
  </si>
  <si>
    <t>Közüzemi díjak</t>
  </si>
  <si>
    <t>Közüzemi díjak ÁFA</t>
  </si>
  <si>
    <t>Élelmezés</t>
  </si>
  <si>
    <t>Élelmezés  ÁFA</t>
  </si>
  <si>
    <t>köt: 2573+287 önként:87</t>
  </si>
  <si>
    <t>köt: 4732/önként: 3561</t>
  </si>
  <si>
    <t xml:space="preserve">   Frim Jakab Kép.fejlesztő Szakosított Otthon: feladatelmaradás miatti előirányzatrendezés</t>
  </si>
  <si>
    <t xml:space="preserve">   2019. november 1. és 2020. augusztus 31. napja között megvalósításra kerülő programokhoz és tárgyi eszköz beszerzéséhez kapcsolódó személyi és dologi költségekhez (Frim Jakab Képessgéfejlesztő Szakosított Otthon)</t>
  </si>
  <si>
    <t xml:space="preserve">   2019. november 1. és 2020. augusztus 31. napja között megvalósításra kerülő programokhoz és tárgyi eszköz beszerzéséhez kapcsolódó személyi és dologi költségekhez (Hosszúsétatéri Óvoda)</t>
  </si>
  <si>
    <t xml:space="preserve">   A Püspök-kertvárosi Tagóvodájának 2019. november 1. és 2020. augusztus 31. napja között megvalósításra kerülő programokhoz és tárgyi eszköz beszerzéséhez kapcsolódó személyi és dologi költségekhez (Szivárvány Óvoda)</t>
  </si>
  <si>
    <t xml:space="preserve">   A Budai Úti Tagkönyvtárának 2019. november 1. és 2020. augusztus 31. napja között megvalósításra kerülő programokhoz és tárgyi eszköz beszerzéséhez kapcsolódó személyi és dologi költségekhez (Vörösmarty Mihály Könyvtár)</t>
  </si>
  <si>
    <t xml:space="preserve">   2019. december hónapban megvalósításra kerülő Mikulás és karácsonyi rendezvényekhez kapcsolódó személyi és dologi költségekhez (A Szabadművelődés Háza)</t>
  </si>
  <si>
    <t xml:space="preserve">   Városi rendezvények (Vízivárosi Advent rendezvényhez kapcsolódó dologi költségekhez -  ASZMH)</t>
  </si>
  <si>
    <t xml:space="preserve">  Kulturális célú kiadások év közben jelentkező többletfeladatok ( 2019. évben megjelenő "Szocialista szürrealizmus titokzatos bája" című kiállítás összegző katalógusa kiadásának megvalósítására - SZIKM)</t>
  </si>
  <si>
    <t xml:space="preserve">   Környezetvédelmi Alap </t>
  </si>
  <si>
    <t>~ Főösszeget nem érintő átcsoportosítás (fa-ról fa-ra)</t>
  </si>
  <si>
    <t xml:space="preserve">   Előirányzat rendezés</t>
  </si>
  <si>
    <t>köt:-22+1124 ö:2466 áig 839</t>
  </si>
  <si>
    <t>28, Felhalmozási bevételek összesen (27+27/a):</t>
  </si>
  <si>
    <t>B53</t>
  </si>
  <si>
    <t>27/a, Tárgyi eszközök értékesítése</t>
  </si>
  <si>
    <t>~ Bevétel miatti növekedés/csökkenés (előirányzat rendezés)</t>
  </si>
  <si>
    <t xml:space="preserve">   Székesfehérvári  stadionrekonstrukciós program megvalósítására, figyelemmel a 1285/2015.(IV.30.) Korm.határozatra, valamint a megvalósítás ütemezésére</t>
  </si>
  <si>
    <t xml:space="preserve">   Kodolányi János Főiskola visszatérítendő    támogatás</t>
  </si>
  <si>
    <t xml:space="preserve">   Fehérvári Zenei Napok "A tehetséges Zenészekért Alapítvány" visszatérítendő támogatása</t>
  </si>
  <si>
    <t xml:space="preserve">   Alba Volán S.C. Jégkorong szakosztály kamatmentes visszatérítendő támogatás</t>
  </si>
  <si>
    <t xml:space="preserve">   Köfém Sport Club visszatérítendő támogatás</t>
  </si>
  <si>
    <t xml:space="preserve">   Alba Volán SC Jégkorong Szakosztály kamatmentes visszatérítendő támogatás</t>
  </si>
  <si>
    <t xml:space="preserve">   Mura utca 4/A-B-C szám alatti  három lakóépület központi fűtési hőtermelő-és elosztó berendezéseinek üzemeltetésére és karbantartására (575/2013.(XI.14.) kgy.hat.alapján)</t>
  </si>
  <si>
    <t xml:space="preserve">   Székesfehérvári Városfejlesztési Közhasznú Nonprofit Kft.- Ingatlangazdálkodási kiadások lakás és nem lakás célú felújítási kerettel</t>
  </si>
  <si>
    <t xml:space="preserve">   Belvárosi épületek rekonstrukcióját szolgáló fejlesztési alap (visszatérítendő támogatás)</t>
  </si>
  <si>
    <t>~ Főösszeget érintő saját hatáskörű átcsoportosítás (Önkormányzati projektekhez kapcsolódó rendezés)</t>
  </si>
  <si>
    <t xml:space="preserve">   Forgatási célú belföldi értékpapírok beváltása, értékesítése (Kerekítési különbözet)</t>
  </si>
  <si>
    <t>14. melléklet a 6/2020.(II.24.) önkormányzati rendelethez</t>
  </si>
  <si>
    <t>15. melléklet a 6/2020.(II.24.) önkormányzati rendelethez</t>
  </si>
  <si>
    <t xml:space="preserve">16. melléklet a 6/2020.(II.24.) önkormányzati rendelethez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</si>
</sst>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F_t_-;\-* #,##0.00\ _F_t_-;_-* &quot;-&quot;??\ _F_t_-;_-@_-"/>
    <numFmt numFmtId="165" formatCode="_-* #,##0_-;\-* #,##0_-;_-* &quot;-&quot;??_-;_-@_-"/>
  </numFmts>
  <fonts count="75" x14ac:knownFonts="1">
    <font>
      <sz val="12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sz val="12"/>
      <name val="Times New Roman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 CE"/>
      <charset val="238"/>
    </font>
    <font>
      <sz val="12"/>
      <color indexed="8"/>
      <name val="Times New Roman"/>
      <family val="2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b/>
      <i/>
      <sz val="12"/>
      <name val="Times New Roman CE"/>
      <charset val="238"/>
    </font>
    <font>
      <i/>
      <sz val="10"/>
      <name val="Arial CE"/>
      <charset val="238"/>
    </font>
    <font>
      <b/>
      <i/>
      <sz val="10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  <font>
      <b/>
      <sz val="10"/>
      <name val="Times New Roman CE"/>
      <charset val="238"/>
    </font>
    <font>
      <i/>
      <sz val="12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2"/>
      <charset val="238"/>
    </font>
    <font>
      <sz val="12"/>
      <name val="Times New Roman CE"/>
    </font>
    <font>
      <b/>
      <sz val="12"/>
      <name val="Times New Roman CE"/>
    </font>
    <font>
      <i/>
      <sz val="12"/>
      <name val="Times New Roman CE"/>
    </font>
    <font>
      <b/>
      <sz val="10"/>
      <name val="Times New Roman CE"/>
      <family val="1"/>
      <charset val="238"/>
    </font>
    <font>
      <b/>
      <sz val="10"/>
      <name val="Times New Roman CE"/>
    </font>
    <font>
      <b/>
      <sz val="11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1"/>
      <name val="Times New Roman CE"/>
      <charset val="238"/>
    </font>
    <font>
      <sz val="10"/>
      <name val="Times New Roman CE"/>
      <family val="1"/>
      <charset val="238"/>
    </font>
    <font>
      <b/>
      <sz val="14"/>
      <name val="Times New Roman"/>
      <family val="1"/>
      <charset val="238"/>
    </font>
    <font>
      <strike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8"/>
      <name val="Times New Roman CE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 tint="-4.9989318521683403E-2"/>
        <bgColor indexed="64"/>
      </patternFill>
    </fill>
  </fills>
  <borders count="15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268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29" fillId="3" borderId="0" applyNumberFormat="0" applyBorder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31" fillId="20" borderId="1" applyNumberFormat="0" applyAlignment="0" applyProtection="0"/>
    <xf numFmtId="0" fontId="22" fillId="21" borderId="2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1" borderId="2" applyNumberFormat="0" applyAlignment="0" applyProtection="0"/>
    <xf numFmtId="0" fontId="22" fillId="21" borderId="2" applyNumberFormat="0" applyAlignment="0" applyProtection="0"/>
    <xf numFmtId="0" fontId="22" fillId="21" borderId="2" applyNumberFormat="0" applyAlignment="0" applyProtection="0"/>
    <xf numFmtId="0" fontId="27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164" fontId="5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17" fillId="7" borderId="1" applyNumberFormat="0" applyAlignment="0" applyProtection="0"/>
    <xf numFmtId="0" fontId="11" fillId="22" borderId="7" applyNumberFormat="0" applyFont="0" applyAlignment="0" applyProtection="0"/>
    <xf numFmtId="0" fontId="33" fillId="22" borderId="7" applyNumberFormat="0" applyFont="0" applyAlignment="0" applyProtection="0"/>
    <xf numFmtId="0" fontId="33" fillId="22" borderId="7" applyNumberFormat="0" applyFont="0" applyAlignment="0" applyProtection="0"/>
    <xf numFmtId="0" fontId="14" fillId="22" borderId="7" applyNumberFormat="0" applyFont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6" fillId="20" borderId="8" applyNumberFormat="0" applyAlignment="0" applyProtection="0"/>
    <xf numFmtId="0" fontId="26" fillId="20" borderId="8" applyNumberFormat="0" applyAlignment="0" applyProtection="0"/>
    <xf numFmtId="0" fontId="26" fillId="20" borderId="8" applyNumberFormat="0" applyAlignment="0" applyProtection="0"/>
    <xf numFmtId="0" fontId="24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23" borderId="0" applyNumberFormat="0" applyBorder="0" applyAlignment="0" applyProtection="0"/>
    <xf numFmtId="0" fontId="52" fillId="0" borderId="0"/>
    <xf numFmtId="0" fontId="14" fillId="0" borderId="0"/>
    <xf numFmtId="0" fontId="33" fillId="0" borderId="0"/>
    <xf numFmtId="0" fontId="33" fillId="0" borderId="0"/>
    <xf numFmtId="0" fontId="14" fillId="0" borderId="0"/>
    <xf numFmtId="0" fontId="11" fillId="0" borderId="0"/>
    <xf numFmtId="0" fontId="33" fillId="0" borderId="0"/>
    <xf numFmtId="0" fontId="51" fillId="0" borderId="0"/>
    <xf numFmtId="0" fontId="15" fillId="0" borderId="0"/>
    <xf numFmtId="0" fontId="33" fillId="0" borderId="0"/>
    <xf numFmtId="0" fontId="5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0"/>
    <xf numFmtId="0" fontId="35" fillId="0" borderId="0"/>
    <xf numFmtId="0" fontId="14" fillId="0" borderId="0"/>
    <xf numFmtId="0" fontId="52" fillId="0" borderId="0"/>
    <xf numFmtId="0" fontId="52" fillId="0" borderId="0"/>
    <xf numFmtId="0" fontId="48" fillId="0" borderId="0"/>
    <xf numFmtId="0" fontId="36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5" fillId="22" borderId="7" applyNumberFormat="0" applyFont="0" applyAlignment="0" applyProtection="0"/>
    <xf numFmtId="0" fontId="26" fillId="20" borderId="8" applyNumberFormat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1" fillId="20" borderId="1" applyNumberFormat="0" applyAlignment="0" applyProtection="0"/>
    <xf numFmtId="0" fontId="31" fillId="20" borderId="1" applyNumberFormat="0" applyAlignment="0" applyProtection="0"/>
    <xf numFmtId="0" fontId="31" fillId="20" borderId="1" applyNumberFormat="0" applyAlignment="0" applyProtection="0"/>
    <xf numFmtId="0" fontId="18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0" fillId="0" borderId="0"/>
    <xf numFmtId="0" fontId="53" fillId="0" borderId="0"/>
    <xf numFmtId="0" fontId="53" fillId="0" borderId="0"/>
    <xf numFmtId="164" fontId="10" fillId="0" borderId="0" applyFont="0" applyFill="0" applyBorder="0" applyAlignment="0" applyProtection="0"/>
    <xf numFmtId="0" fontId="9" fillId="0" borderId="0"/>
    <xf numFmtId="0" fontId="9" fillId="0" borderId="0"/>
    <xf numFmtId="0" fontId="8" fillId="0" borderId="0"/>
    <xf numFmtId="0" fontId="33" fillId="0" borderId="0"/>
    <xf numFmtId="0" fontId="11" fillId="0" borderId="0"/>
    <xf numFmtId="0" fontId="7" fillId="0" borderId="0"/>
    <xf numFmtId="0" fontId="7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7" borderId="1" applyNumberFormat="0" applyAlignment="0" applyProtection="0"/>
    <xf numFmtId="0" fontId="18" fillId="0" borderId="0" applyNumberFormat="0" applyFill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21" borderId="2" applyNumberFormat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1" fillId="22" borderId="7" applyNumberFormat="0" applyFont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25" fillId="4" borderId="0" applyNumberFormat="0" applyBorder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3" borderId="0" applyNumberFormat="0" applyBorder="0" applyAlignment="0" applyProtection="0"/>
    <xf numFmtId="0" fontId="30" fillId="23" borderId="0" applyNumberFormat="0" applyBorder="0" applyAlignment="0" applyProtection="0"/>
    <xf numFmtId="0" fontId="31" fillId="20" borderId="1" applyNumberFormat="0" applyAlignment="0" applyProtection="0"/>
    <xf numFmtId="0" fontId="6" fillId="0" borderId="0"/>
    <xf numFmtId="0" fontId="36" fillId="0" borderId="0"/>
    <xf numFmtId="0" fontId="33" fillId="0" borderId="0"/>
    <xf numFmtId="0" fontId="33" fillId="0" borderId="0"/>
    <xf numFmtId="0" fontId="36" fillId="0" borderId="0"/>
    <xf numFmtId="0" fontId="5" fillId="0" borderId="0"/>
    <xf numFmtId="0" fontId="5" fillId="0" borderId="0"/>
    <xf numFmtId="0" fontId="4" fillId="0" borderId="0"/>
    <xf numFmtId="43" fontId="11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5" fillId="0" borderId="0"/>
    <xf numFmtId="0" fontId="53" fillId="0" borderId="0"/>
    <xf numFmtId="0" fontId="33" fillId="0" borderId="0"/>
    <xf numFmtId="0" fontId="1" fillId="0" borderId="0"/>
    <xf numFmtId="0" fontId="33" fillId="0" borderId="0"/>
    <xf numFmtId="0" fontId="1" fillId="0" borderId="0"/>
  </cellStyleXfs>
  <cellXfs count="1067">
    <xf numFmtId="0" fontId="0" fillId="0" borderId="0" xfId="0"/>
    <xf numFmtId="3" fontId="11" fillId="0" borderId="21" xfId="174" applyNumberFormat="1" applyFont="1" applyFill="1" applyBorder="1"/>
    <xf numFmtId="3" fontId="11" fillId="0" borderId="11" xfId="174" applyNumberFormat="1" applyFont="1" applyFill="1" applyBorder="1"/>
    <xf numFmtId="3" fontId="12" fillId="0" borderId="11" xfId="174" applyNumberFormat="1" applyFont="1" applyFill="1" applyBorder="1"/>
    <xf numFmtId="3" fontId="41" fillId="0" borderId="11" xfId="174" applyNumberFormat="1" applyFont="1" applyFill="1" applyBorder="1"/>
    <xf numFmtId="3" fontId="42" fillId="0" borderId="20" xfId="174" applyNumberFormat="1" applyFont="1" applyFill="1" applyBorder="1"/>
    <xf numFmtId="3" fontId="42" fillId="0" borderId="11" xfId="174" applyNumberFormat="1" applyFont="1" applyFill="1" applyBorder="1"/>
    <xf numFmtId="3" fontId="42" fillId="0" borderId="21" xfId="174" applyNumberFormat="1" applyFont="1" applyFill="1" applyBorder="1"/>
    <xf numFmtId="3" fontId="44" fillId="0" borderId="11" xfId="174" applyNumberFormat="1" applyFont="1" applyFill="1" applyBorder="1"/>
    <xf numFmtId="3" fontId="44" fillId="0" borderId="20" xfId="174" applyNumberFormat="1" applyFont="1" applyFill="1" applyBorder="1"/>
    <xf numFmtId="3" fontId="13" fillId="0" borderId="20" xfId="174" applyNumberFormat="1" applyFont="1" applyFill="1" applyBorder="1"/>
    <xf numFmtId="3" fontId="13" fillId="0" borderId="11" xfId="174" applyNumberFormat="1" applyFont="1" applyFill="1" applyBorder="1"/>
    <xf numFmtId="3" fontId="13" fillId="0" borderId="21" xfId="174" applyNumberFormat="1" applyFont="1" applyFill="1" applyBorder="1"/>
    <xf numFmtId="3" fontId="44" fillId="0" borderId="21" xfId="174" applyNumberFormat="1" applyFont="1" applyFill="1" applyBorder="1"/>
    <xf numFmtId="3" fontId="43" fillId="0" borderId="11" xfId="174" applyNumberFormat="1" applyFont="1" applyFill="1" applyBorder="1"/>
    <xf numFmtId="0" fontId="42" fillId="0" borderId="11" xfId="174" applyFont="1" applyFill="1" applyBorder="1" applyAlignment="1">
      <alignment wrapText="1"/>
    </xf>
    <xf numFmtId="0" fontId="36" fillId="0" borderId="0" xfId="172" applyFont="1" applyFill="1"/>
    <xf numFmtId="3" fontId="12" fillId="0" borderId="19" xfId="174" applyNumberFormat="1" applyFont="1" applyFill="1" applyBorder="1"/>
    <xf numFmtId="3" fontId="12" fillId="0" borderId="36" xfId="174" applyNumberFormat="1" applyFont="1" applyFill="1" applyBorder="1"/>
    <xf numFmtId="3" fontId="12" fillId="0" borderId="37" xfId="174" applyNumberFormat="1" applyFont="1" applyFill="1" applyBorder="1"/>
    <xf numFmtId="3" fontId="12" fillId="0" borderId="10" xfId="174" applyNumberFormat="1" applyFont="1" applyFill="1" applyBorder="1"/>
    <xf numFmtId="3" fontId="11" fillId="0" borderId="38" xfId="174" applyNumberFormat="1" applyFont="1" applyFill="1" applyBorder="1"/>
    <xf numFmtId="3" fontId="11" fillId="0" borderId="39" xfId="174" applyNumberFormat="1" applyFont="1" applyFill="1" applyBorder="1"/>
    <xf numFmtId="3" fontId="12" fillId="0" borderId="38" xfId="174" applyNumberFormat="1" applyFont="1" applyFill="1" applyBorder="1"/>
    <xf numFmtId="3" fontId="41" fillId="0" borderId="40" xfId="174" applyNumberFormat="1" applyFont="1" applyFill="1" applyBorder="1"/>
    <xf numFmtId="3" fontId="41" fillId="0" borderId="41" xfId="174" applyNumberFormat="1" applyFont="1" applyFill="1" applyBorder="1"/>
    <xf numFmtId="3" fontId="41" fillId="0" borderId="10" xfId="174" applyNumberFormat="1" applyFont="1" applyFill="1" applyBorder="1"/>
    <xf numFmtId="3" fontId="44" fillId="0" borderId="10" xfId="174" applyNumberFormat="1" applyFont="1" applyFill="1" applyBorder="1"/>
    <xf numFmtId="3" fontId="41" fillId="0" borderId="0" xfId="174" applyNumberFormat="1" applyFont="1" applyFill="1" applyBorder="1"/>
    <xf numFmtId="3" fontId="37" fillId="0" borderId="0" xfId="172" applyNumberFormat="1" applyFont="1" applyFill="1" applyBorder="1"/>
    <xf numFmtId="3" fontId="38" fillId="0" borderId="24" xfId="172" applyNumberFormat="1" applyFont="1" applyFill="1" applyBorder="1" applyAlignment="1">
      <alignment wrapText="1"/>
    </xf>
    <xf numFmtId="3" fontId="38" fillId="0" borderId="22" xfId="172" applyNumberFormat="1" applyFont="1" applyFill="1" applyBorder="1"/>
    <xf numFmtId="3" fontId="38" fillId="0" borderId="11" xfId="172" applyNumberFormat="1" applyFont="1" applyFill="1" applyBorder="1" applyAlignment="1">
      <alignment wrapText="1"/>
    </xf>
    <xf numFmtId="3" fontId="49" fillId="0" borderId="33" xfId="0" applyNumberFormat="1" applyFont="1" applyFill="1" applyBorder="1" applyAlignment="1">
      <alignment horizontal="center" vertical="center" wrapText="1"/>
    </xf>
    <xf numFmtId="0" fontId="41" fillId="0" borderId="10" xfId="173" applyFont="1" applyFill="1" applyBorder="1" applyAlignment="1">
      <alignment horizontal="center"/>
    </xf>
    <xf numFmtId="3" fontId="41" fillId="0" borderId="10" xfId="173" applyNumberFormat="1" applyFont="1" applyFill="1" applyBorder="1" applyAlignment="1">
      <alignment horizontal="center" wrapText="1"/>
    </xf>
    <xf numFmtId="0" fontId="11" fillId="0" borderId="0" xfId="173" applyFill="1"/>
    <xf numFmtId="3" fontId="41" fillId="0" borderId="22" xfId="173" applyNumberFormat="1" applyFont="1" applyFill="1" applyBorder="1" applyAlignment="1">
      <alignment wrapText="1"/>
    </xf>
    <xf numFmtId="0" fontId="41" fillId="0" borderId="0" xfId="173" applyFont="1" applyFill="1"/>
    <xf numFmtId="3" fontId="41" fillId="0" borderId="16" xfId="173" applyNumberFormat="1" applyFont="1" applyFill="1" applyBorder="1" applyAlignment="1">
      <alignment wrapText="1"/>
    </xf>
    <xf numFmtId="3" fontId="41" fillId="0" borderId="18" xfId="173" applyNumberFormat="1" applyFont="1" applyFill="1" applyBorder="1"/>
    <xf numFmtId="3" fontId="50" fillId="0" borderId="22" xfId="173" applyNumberFormat="1" applyFont="1" applyFill="1" applyBorder="1" applyAlignment="1">
      <alignment wrapText="1"/>
    </xf>
    <xf numFmtId="3" fontId="50" fillId="0" borderId="25" xfId="173" applyNumberFormat="1" applyFont="1" applyFill="1" applyBorder="1"/>
    <xf numFmtId="0" fontId="50" fillId="0" borderId="0" xfId="173" applyFont="1" applyFill="1"/>
    <xf numFmtId="3" fontId="42" fillId="0" borderId="25" xfId="173" applyNumberFormat="1" applyFont="1" applyFill="1" applyBorder="1"/>
    <xf numFmtId="3" fontId="50" fillId="0" borderId="77" xfId="173" applyNumberFormat="1" applyFont="1" applyFill="1" applyBorder="1" applyAlignment="1">
      <alignment wrapText="1"/>
    </xf>
    <xf numFmtId="0" fontId="11" fillId="0" borderId="77" xfId="173" applyFont="1" applyFill="1" applyBorder="1"/>
    <xf numFmtId="3" fontId="11" fillId="0" borderId="26" xfId="173" applyNumberFormat="1" applyFont="1" applyFill="1" applyBorder="1"/>
    <xf numFmtId="3" fontId="13" fillId="0" borderId="22" xfId="173" applyNumberFormat="1" applyFont="1" applyFill="1" applyBorder="1" applyAlignment="1">
      <alignment wrapText="1"/>
    </xf>
    <xf numFmtId="0" fontId="13" fillId="0" borderId="22" xfId="175" applyFont="1" applyFill="1" applyBorder="1" applyAlignment="1">
      <alignment wrapText="1"/>
    </xf>
    <xf numFmtId="3" fontId="13" fillId="0" borderId="25" xfId="173" applyNumberFormat="1" applyFont="1" applyFill="1" applyBorder="1"/>
    <xf numFmtId="3" fontId="43" fillId="0" borderId="10" xfId="173" applyNumberFormat="1" applyFont="1" applyFill="1" applyBorder="1" applyAlignment="1">
      <alignment wrapText="1"/>
    </xf>
    <xf numFmtId="3" fontId="43" fillId="0" borderId="10" xfId="173" applyNumberFormat="1" applyFont="1" applyFill="1" applyBorder="1"/>
    <xf numFmtId="0" fontId="43" fillId="0" borderId="0" xfId="173" applyFont="1" applyFill="1"/>
    <xf numFmtId="3" fontId="11" fillId="0" borderId="0" xfId="173" applyNumberFormat="1" applyFill="1" applyAlignment="1">
      <alignment wrapText="1"/>
    </xf>
    <xf numFmtId="3" fontId="11" fillId="0" borderId="0" xfId="173" applyNumberFormat="1" applyFill="1"/>
    <xf numFmtId="3" fontId="11" fillId="0" borderId="18" xfId="173" applyNumberFormat="1" applyFill="1" applyBorder="1"/>
    <xf numFmtId="0" fontId="11" fillId="0" borderId="0" xfId="173" applyFont="1" applyFill="1"/>
    <xf numFmtId="0" fontId="12" fillId="0" borderId="10" xfId="173" applyFont="1" applyFill="1" applyBorder="1" applyAlignment="1">
      <alignment horizontal="center" wrapText="1"/>
    </xf>
    <xf numFmtId="3" fontId="41" fillId="0" borderId="10" xfId="173" applyNumberFormat="1" applyFont="1" applyFill="1" applyBorder="1" applyAlignment="1">
      <alignment wrapText="1"/>
    </xf>
    <xf numFmtId="3" fontId="12" fillId="0" borderId="35" xfId="173" applyNumberFormat="1" applyFont="1" applyFill="1" applyBorder="1"/>
    <xf numFmtId="3" fontId="12" fillId="0" borderId="10" xfId="173" applyNumberFormat="1" applyFont="1" applyFill="1" applyBorder="1"/>
    <xf numFmtId="3" fontId="11" fillId="0" borderId="0" xfId="173" applyNumberFormat="1" applyFont="1" applyFill="1" applyAlignment="1">
      <alignment wrapText="1"/>
    </xf>
    <xf numFmtId="3" fontId="11" fillId="0" borderId="0" xfId="173" applyNumberFormat="1" applyFont="1" applyFill="1"/>
    <xf numFmtId="3" fontId="12" fillId="0" borderId="0" xfId="173" applyNumberFormat="1" applyFont="1" applyFill="1"/>
    <xf numFmtId="3" fontId="42" fillId="0" borderId="36" xfId="174" applyNumberFormat="1" applyFont="1" applyFill="1" applyBorder="1"/>
    <xf numFmtId="3" fontId="11" fillId="0" borderId="81" xfId="174" applyNumberFormat="1" applyFont="1" applyFill="1" applyBorder="1"/>
    <xf numFmtId="3" fontId="41" fillId="0" borderId="82" xfId="174" applyNumberFormat="1" applyFont="1" applyFill="1" applyBorder="1"/>
    <xf numFmtId="0" fontId="42" fillId="0" borderId="43" xfId="174" applyFont="1" applyFill="1" applyBorder="1" applyAlignment="1">
      <alignment wrapText="1"/>
    </xf>
    <xf numFmtId="3" fontId="42" fillId="0" borderId="43" xfId="174" applyNumberFormat="1" applyFont="1" applyFill="1" applyBorder="1"/>
    <xf numFmtId="3" fontId="37" fillId="0" borderId="22" xfId="172" applyNumberFormat="1" applyFont="1" applyFill="1" applyBorder="1"/>
    <xf numFmtId="0" fontId="42" fillId="0" borderId="11" xfId="171" applyFont="1" applyFill="1" applyBorder="1"/>
    <xf numFmtId="3" fontId="42" fillId="0" borderId="12" xfId="171" applyNumberFormat="1" applyFont="1" applyFill="1" applyBorder="1"/>
    <xf numFmtId="0" fontId="12" fillId="0" borderId="11" xfId="171" applyNumberFormat="1" applyFont="1" applyFill="1" applyBorder="1"/>
    <xf numFmtId="0" fontId="42" fillId="0" borderId="0" xfId="171" applyFont="1" applyFill="1"/>
    <xf numFmtId="0" fontId="13" fillId="0" borderId="83" xfId="171" applyFont="1" applyFill="1" applyBorder="1"/>
    <xf numFmtId="3" fontId="13" fillId="0" borderId="52" xfId="171" applyNumberFormat="1" applyFont="1" applyFill="1" applyBorder="1"/>
    <xf numFmtId="0" fontId="13" fillId="0" borderId="0" xfId="171" applyFont="1" applyFill="1"/>
    <xf numFmtId="0" fontId="13" fillId="0" borderId="0" xfId="0" applyFont="1" applyFill="1"/>
    <xf numFmtId="0" fontId="42" fillId="0" borderId="11" xfId="171" applyNumberFormat="1" applyFont="1" applyFill="1" applyBorder="1"/>
    <xf numFmtId="0" fontId="13" fillId="0" borderId="15" xfId="171" applyNumberFormat="1" applyFont="1" applyFill="1" applyBorder="1"/>
    <xf numFmtId="3" fontId="41" fillId="0" borderId="38" xfId="174" applyNumberFormat="1" applyFont="1" applyFill="1" applyBorder="1"/>
    <xf numFmtId="3" fontId="41" fillId="0" borderId="81" xfId="174" applyNumberFormat="1" applyFont="1" applyFill="1" applyBorder="1"/>
    <xf numFmtId="3" fontId="41" fillId="0" borderId="39" xfId="174" applyNumberFormat="1" applyFont="1" applyFill="1" applyBorder="1"/>
    <xf numFmtId="3" fontId="37" fillId="0" borderId="24" xfId="172" applyNumberFormat="1" applyFont="1" applyFill="1" applyBorder="1"/>
    <xf numFmtId="3" fontId="38" fillId="0" borderId="20" xfId="172" applyNumberFormat="1" applyFont="1" applyFill="1" applyBorder="1" applyAlignment="1">
      <alignment wrapText="1"/>
    </xf>
    <xf numFmtId="3" fontId="37" fillId="0" borderId="20" xfId="172" applyNumberFormat="1" applyFont="1" applyFill="1" applyBorder="1"/>
    <xf numFmtId="3" fontId="38" fillId="0" borderId="24" xfId="172" applyNumberFormat="1" applyFont="1" applyFill="1" applyBorder="1"/>
    <xf numFmtId="3" fontId="38" fillId="0" borderId="22" xfId="172" applyNumberFormat="1" applyFont="1" applyFill="1" applyBorder="1" applyAlignment="1">
      <alignment wrapText="1"/>
    </xf>
    <xf numFmtId="3" fontId="38" fillId="0" borderId="20" xfId="172" applyNumberFormat="1" applyFont="1" applyFill="1" applyBorder="1"/>
    <xf numFmtId="0" fontId="12" fillId="0" borderId="38" xfId="171" applyNumberFormat="1" applyFont="1" applyFill="1" applyBorder="1"/>
    <xf numFmtId="3" fontId="12" fillId="0" borderId="11" xfId="171" applyNumberFormat="1" applyFont="1" applyFill="1" applyBorder="1"/>
    <xf numFmtId="3" fontId="44" fillId="0" borderId="38" xfId="174" applyNumberFormat="1" applyFont="1" applyFill="1" applyBorder="1"/>
    <xf numFmtId="0" fontId="13" fillId="0" borderId="56" xfId="157" applyFont="1" applyFill="1" applyBorder="1" applyAlignment="1">
      <alignment wrapText="1"/>
    </xf>
    <xf numFmtId="3" fontId="44" fillId="0" borderId="83" xfId="171" applyNumberFormat="1" applyFont="1" applyFill="1" applyBorder="1"/>
    <xf numFmtId="3" fontId="43" fillId="0" borderId="0" xfId="173" applyNumberFormat="1" applyFont="1" applyFill="1" applyBorder="1" applyAlignment="1">
      <alignment wrapText="1"/>
    </xf>
    <xf numFmtId="3" fontId="43" fillId="0" borderId="0" xfId="173" applyNumberFormat="1" applyFont="1" applyFill="1" applyBorder="1"/>
    <xf numFmtId="3" fontId="41" fillId="0" borderId="0" xfId="173" applyNumberFormat="1" applyFont="1" applyFill="1" applyBorder="1" applyAlignment="1">
      <alignment wrapText="1"/>
    </xf>
    <xf numFmtId="3" fontId="13" fillId="0" borderId="27" xfId="173" applyNumberFormat="1" applyFont="1" applyFill="1" applyBorder="1" applyAlignment="1">
      <alignment wrapText="1"/>
    </xf>
    <xf numFmtId="3" fontId="12" fillId="0" borderId="0" xfId="173" applyNumberFormat="1" applyFont="1" applyFill="1" applyBorder="1"/>
    <xf numFmtId="3" fontId="12" fillId="24" borderId="10" xfId="173" applyNumberFormat="1" applyFont="1" applyFill="1" applyBorder="1"/>
    <xf numFmtId="3" fontId="43" fillId="24" borderId="10" xfId="173" applyNumberFormat="1" applyFont="1" applyFill="1" applyBorder="1"/>
    <xf numFmtId="3" fontId="38" fillId="0" borderId="65" xfId="172" applyNumberFormat="1" applyFont="1" applyFill="1" applyBorder="1"/>
    <xf numFmtId="3" fontId="38" fillId="0" borderId="25" xfId="172" applyNumberFormat="1" applyFont="1" applyFill="1" applyBorder="1"/>
    <xf numFmtId="3" fontId="37" fillId="0" borderId="25" xfId="172" applyNumberFormat="1" applyFont="1" applyFill="1" applyBorder="1"/>
    <xf numFmtId="3" fontId="38" fillId="0" borderId="21" xfId="172" applyNumberFormat="1" applyFont="1" applyFill="1" applyBorder="1"/>
    <xf numFmtId="3" fontId="38" fillId="0" borderId="25" xfId="172" applyNumberFormat="1" applyFont="1" applyFill="1" applyBorder="1" applyAlignment="1">
      <alignment wrapText="1"/>
    </xf>
    <xf numFmtId="3" fontId="38" fillId="0" borderId="21" xfId="172" applyNumberFormat="1" applyFont="1" applyFill="1" applyBorder="1" applyAlignment="1">
      <alignment wrapText="1"/>
    </xf>
    <xf numFmtId="3" fontId="38" fillId="0" borderId="77" xfId="172" applyNumberFormat="1" applyFont="1" applyFill="1" applyBorder="1"/>
    <xf numFmtId="3" fontId="38" fillId="0" borderId="73" xfId="172" applyNumberFormat="1" applyFont="1" applyFill="1" applyBorder="1"/>
    <xf numFmtId="3" fontId="38" fillId="0" borderId="39" xfId="172" applyNumberFormat="1" applyFont="1" applyFill="1" applyBorder="1"/>
    <xf numFmtId="3" fontId="38" fillId="0" borderId="81" xfId="172" applyNumberFormat="1" applyFont="1" applyFill="1" applyBorder="1"/>
    <xf numFmtId="3" fontId="38" fillId="0" borderId="78" xfId="172" applyNumberFormat="1" applyFont="1" applyFill="1" applyBorder="1"/>
    <xf numFmtId="3" fontId="32" fillId="0" borderId="77" xfId="172" applyNumberFormat="1" applyFont="1" applyFill="1" applyBorder="1"/>
    <xf numFmtId="3" fontId="32" fillId="0" borderId="73" xfId="172" applyNumberFormat="1" applyFont="1" applyFill="1" applyBorder="1"/>
    <xf numFmtId="3" fontId="32" fillId="0" borderId="39" xfId="172" applyNumberFormat="1" applyFont="1" applyFill="1" applyBorder="1"/>
    <xf numFmtId="3" fontId="32" fillId="0" borderId="81" xfId="172" applyNumberFormat="1" applyFont="1" applyFill="1" applyBorder="1"/>
    <xf numFmtId="3" fontId="32" fillId="0" borderId="78" xfId="172" applyNumberFormat="1" applyFont="1" applyFill="1" applyBorder="1"/>
    <xf numFmtId="0" fontId="42" fillId="0" borderId="11" xfId="176" applyFont="1" applyFill="1" applyBorder="1" applyAlignment="1">
      <alignment wrapText="1"/>
    </xf>
    <xf numFmtId="3" fontId="37" fillId="0" borderId="86" xfId="172" applyNumberFormat="1" applyFont="1" applyFill="1" applyBorder="1" applyAlignment="1">
      <alignment wrapText="1"/>
    </xf>
    <xf numFmtId="3" fontId="32" fillId="0" borderId="20" xfId="172" applyNumberFormat="1" applyFont="1" applyFill="1" applyBorder="1" applyAlignment="1">
      <alignment wrapText="1"/>
    </xf>
    <xf numFmtId="3" fontId="32" fillId="0" borderId="12" xfId="172" applyNumberFormat="1" applyFont="1" applyFill="1" applyBorder="1"/>
    <xf numFmtId="3" fontId="32" fillId="0" borderId="24" xfId="172" applyNumberFormat="1" applyFont="1" applyFill="1" applyBorder="1"/>
    <xf numFmtId="3" fontId="38" fillId="0" borderId="81" xfId="172" applyNumberFormat="1" applyFont="1" applyFill="1" applyBorder="1" applyAlignment="1">
      <alignment wrapText="1"/>
    </xf>
    <xf numFmtId="3" fontId="32" fillId="0" borderId="81" xfId="172" applyNumberFormat="1" applyFont="1" applyFill="1" applyBorder="1" applyAlignment="1">
      <alignment wrapText="1"/>
    </xf>
    <xf numFmtId="3" fontId="37" fillId="0" borderId="18" xfId="172" applyNumberFormat="1" applyFont="1" applyFill="1" applyBorder="1" applyAlignment="1">
      <alignment wrapText="1"/>
    </xf>
    <xf numFmtId="3" fontId="32" fillId="0" borderId="25" xfId="172" applyNumberFormat="1" applyFont="1" applyFill="1" applyBorder="1" applyAlignment="1">
      <alignment wrapText="1"/>
    </xf>
    <xf numFmtId="3" fontId="32" fillId="0" borderId="25" xfId="172" applyNumberFormat="1" applyFont="1" applyFill="1" applyBorder="1"/>
    <xf numFmtId="3" fontId="37" fillId="0" borderId="25" xfId="172" applyNumberFormat="1" applyFont="1" applyFill="1" applyBorder="1" applyAlignment="1">
      <alignment wrapText="1"/>
    </xf>
    <xf numFmtId="3" fontId="38" fillId="0" borderId="78" xfId="172" applyNumberFormat="1" applyFont="1" applyFill="1" applyBorder="1" applyAlignment="1">
      <alignment wrapText="1"/>
    </xf>
    <xf numFmtId="3" fontId="13" fillId="0" borderId="52" xfId="173" applyNumberFormat="1" applyFont="1" applyFill="1" applyBorder="1" applyAlignment="1">
      <alignment wrapText="1"/>
    </xf>
    <xf numFmtId="3" fontId="13" fillId="0" borderId="12" xfId="173" applyNumberFormat="1" applyFont="1" applyFill="1" applyBorder="1" applyAlignment="1">
      <alignment wrapText="1"/>
    </xf>
    <xf numFmtId="3" fontId="50" fillId="0" borderId="52" xfId="173" applyNumberFormat="1" applyFont="1" applyFill="1" applyBorder="1" applyAlignment="1">
      <alignment wrapText="1"/>
    </xf>
    <xf numFmtId="3" fontId="50" fillId="0" borderId="48" xfId="173" applyNumberFormat="1" applyFont="1" applyFill="1" applyBorder="1"/>
    <xf numFmtId="0" fontId="44" fillId="0" borderId="100" xfId="173" applyFont="1" applyFill="1" applyBorder="1" applyAlignment="1">
      <alignment wrapText="1"/>
    </xf>
    <xf numFmtId="0" fontId="13" fillId="0" borderId="31" xfId="0" applyFont="1" applyFill="1" applyBorder="1" applyAlignment="1">
      <alignment wrapText="1"/>
    </xf>
    <xf numFmtId="3" fontId="32" fillId="0" borderId="20" xfId="172" applyNumberFormat="1" applyFont="1" applyFill="1" applyBorder="1"/>
    <xf numFmtId="3" fontId="37" fillId="0" borderId="65" xfId="172" applyNumberFormat="1" applyFont="1" applyFill="1" applyBorder="1" applyAlignment="1">
      <alignment wrapText="1"/>
    </xf>
    <xf numFmtId="3" fontId="38" fillId="0" borderId="34" xfId="172" applyNumberFormat="1" applyFont="1" applyFill="1" applyBorder="1" applyAlignment="1">
      <alignment wrapText="1"/>
    </xf>
    <xf numFmtId="3" fontId="38" fillId="0" borderId="72" xfId="172" applyNumberFormat="1" applyFont="1" applyFill="1" applyBorder="1" applyAlignment="1">
      <alignment wrapText="1"/>
    </xf>
    <xf numFmtId="3" fontId="37" fillId="0" borderId="104" xfId="172" applyNumberFormat="1" applyFont="1" applyFill="1" applyBorder="1" applyAlignment="1">
      <alignment wrapText="1"/>
    </xf>
    <xf numFmtId="3" fontId="32" fillId="0" borderId="21" xfId="172" applyNumberFormat="1" applyFont="1" applyFill="1" applyBorder="1" applyAlignment="1">
      <alignment wrapText="1"/>
    </xf>
    <xf numFmtId="3" fontId="32" fillId="0" borderId="21" xfId="172" applyNumberFormat="1" applyFont="1" applyFill="1" applyBorder="1"/>
    <xf numFmtId="3" fontId="37" fillId="0" borderId="21" xfId="172" applyNumberFormat="1" applyFont="1" applyFill="1" applyBorder="1" applyAlignment="1">
      <alignment wrapText="1"/>
    </xf>
    <xf numFmtId="3" fontId="38" fillId="0" borderId="39" xfId="172" applyNumberFormat="1" applyFont="1" applyFill="1" applyBorder="1" applyAlignment="1">
      <alignment wrapText="1"/>
    </xf>
    <xf numFmtId="3" fontId="37" fillId="0" borderId="16" xfId="172" applyNumberFormat="1" applyFont="1" applyFill="1" applyBorder="1" applyAlignment="1">
      <alignment wrapText="1"/>
    </xf>
    <xf numFmtId="3" fontId="42" fillId="0" borderId="21" xfId="174" applyNumberFormat="1" applyFont="1" applyFill="1" applyBorder="1" applyAlignment="1">
      <alignment horizontal="right"/>
    </xf>
    <xf numFmtId="0" fontId="37" fillId="0" borderId="56" xfId="196" applyFont="1" applyFill="1" applyBorder="1" applyAlignment="1">
      <alignment wrapText="1"/>
    </xf>
    <xf numFmtId="0" fontId="38" fillId="0" borderId="56" xfId="196" applyFont="1" applyFill="1" applyBorder="1" applyAlignment="1">
      <alignment wrapText="1"/>
    </xf>
    <xf numFmtId="3" fontId="38" fillId="0" borderId="56" xfId="197" applyNumberFormat="1" applyFont="1" applyFill="1" applyBorder="1"/>
    <xf numFmtId="3" fontId="37" fillId="0" borderId="56" xfId="196" applyNumberFormat="1" applyFont="1" applyFill="1" applyBorder="1" applyAlignment="1">
      <alignment wrapText="1"/>
    </xf>
    <xf numFmtId="3" fontId="37" fillId="0" borderId="56" xfId="197" applyNumberFormat="1" applyFont="1" applyFill="1" applyBorder="1"/>
    <xf numFmtId="3" fontId="37" fillId="0" borderId="56" xfId="196" applyNumberFormat="1" applyFont="1" applyFill="1" applyBorder="1"/>
    <xf numFmtId="3" fontId="37" fillId="0" borderId="33" xfId="196" applyNumberFormat="1" applyFont="1" applyFill="1" applyBorder="1" applyAlignment="1">
      <alignment wrapText="1"/>
    </xf>
    <xf numFmtId="3" fontId="38" fillId="0" borderId="109" xfId="172" applyNumberFormat="1" applyFont="1" applyFill="1" applyBorder="1"/>
    <xf numFmtId="3" fontId="12" fillId="0" borderId="83" xfId="174" applyNumberFormat="1" applyFont="1" applyFill="1" applyBorder="1"/>
    <xf numFmtId="3" fontId="38" fillId="0" borderId="34" xfId="172" applyNumberFormat="1" applyFont="1" applyFill="1" applyBorder="1"/>
    <xf numFmtId="3" fontId="37" fillId="0" borderId="34" xfId="172" applyNumberFormat="1" applyFont="1" applyFill="1" applyBorder="1"/>
    <xf numFmtId="3" fontId="32" fillId="0" borderId="72" xfId="172" applyNumberFormat="1" applyFont="1" applyFill="1" applyBorder="1"/>
    <xf numFmtId="3" fontId="32" fillId="0" borderId="109" xfId="172" applyNumberFormat="1" applyFont="1" applyFill="1" applyBorder="1"/>
    <xf numFmtId="3" fontId="32" fillId="0" borderId="74" xfId="172" applyNumberFormat="1" applyFont="1" applyFill="1" applyBorder="1"/>
    <xf numFmtId="3" fontId="37" fillId="0" borderId="21" xfId="172" applyNumberFormat="1" applyFont="1" applyFill="1" applyBorder="1"/>
    <xf numFmtId="3" fontId="12" fillId="0" borderId="32" xfId="0" applyNumberFormat="1" applyFont="1" applyFill="1" applyBorder="1"/>
    <xf numFmtId="0" fontId="0" fillId="0" borderId="31" xfId="0" applyFont="1" applyFill="1" applyBorder="1" applyAlignment="1">
      <alignment wrapText="1"/>
    </xf>
    <xf numFmtId="3" fontId="12" fillId="0" borderId="59" xfId="0" applyNumberFormat="1" applyFont="1" applyFill="1" applyBorder="1"/>
    <xf numFmtId="3" fontId="12" fillId="0" borderId="56" xfId="0" applyNumberFormat="1" applyFont="1" applyFill="1" applyBorder="1"/>
    <xf numFmtId="3" fontId="0" fillId="0" borderId="118" xfId="0" applyNumberFormat="1" applyFont="1" applyFill="1" applyBorder="1" applyAlignment="1">
      <alignment wrapText="1"/>
    </xf>
    <xf numFmtId="3" fontId="0" fillId="0" borderId="34" xfId="0" applyNumberFormat="1" applyFont="1" applyFill="1" applyBorder="1"/>
    <xf numFmtId="3" fontId="0" fillId="0" borderId="65" xfId="0" applyNumberFormat="1" applyFont="1" applyFill="1" applyBorder="1"/>
    <xf numFmtId="3" fontId="0" fillId="0" borderId="56" xfId="0" applyNumberFormat="1" applyFont="1" applyFill="1" applyBorder="1"/>
    <xf numFmtId="3" fontId="13" fillId="0" borderId="77" xfId="173" applyNumberFormat="1" applyFont="1" applyFill="1" applyBorder="1" applyAlignment="1">
      <alignment wrapText="1"/>
    </xf>
    <xf numFmtId="0" fontId="12" fillId="0" borderId="88" xfId="195" applyFont="1" applyFill="1" applyBorder="1" applyAlignment="1">
      <alignment horizontal="center" wrapText="1"/>
    </xf>
    <xf numFmtId="3" fontId="12" fillId="0" borderId="92" xfId="195" applyNumberFormat="1" applyFont="1" applyFill="1" applyBorder="1" applyAlignment="1">
      <alignment horizontal="center" wrapText="1"/>
    </xf>
    <xf numFmtId="3" fontId="12" fillId="0" borderId="31" xfId="195" applyNumberFormat="1" applyFont="1" applyFill="1" applyBorder="1" applyAlignment="1"/>
    <xf numFmtId="3" fontId="12" fillId="0" borderId="31" xfId="195" applyNumberFormat="1" applyFont="1" applyFill="1" applyBorder="1" applyAlignment="1">
      <alignment horizontal="center"/>
    </xf>
    <xf numFmtId="0" fontId="11" fillId="0" borderId="56" xfId="195" applyFont="1" applyFill="1" applyBorder="1" applyAlignment="1">
      <alignment wrapText="1"/>
    </xf>
    <xf numFmtId="3" fontId="11" fillId="0" borderId="31" xfId="195" applyNumberFormat="1" applyFont="1" applyFill="1" applyBorder="1" applyAlignment="1">
      <alignment horizontal="center"/>
    </xf>
    <xf numFmtId="3" fontId="12" fillId="0" borderId="31" xfId="195" applyNumberFormat="1" applyFont="1" applyFill="1" applyBorder="1"/>
    <xf numFmtId="3" fontId="11" fillId="0" borderId="31" xfId="195" applyNumberFormat="1" applyFont="1" applyFill="1" applyBorder="1" applyAlignment="1"/>
    <xf numFmtId="0" fontId="13" fillId="0" borderId="56" xfId="195" applyFont="1" applyFill="1" applyBorder="1" applyAlignment="1">
      <alignment wrapText="1"/>
    </xf>
    <xf numFmtId="3" fontId="13" fillId="0" borderId="31" xfId="195" applyNumberFormat="1" applyFont="1" applyFill="1" applyBorder="1" applyAlignment="1"/>
    <xf numFmtId="3" fontId="13" fillId="0" borderId="31" xfId="195" applyNumberFormat="1" applyFont="1" applyFill="1" applyBorder="1" applyAlignment="1">
      <alignment horizontal="center"/>
    </xf>
    <xf numFmtId="3" fontId="13" fillId="0" borderId="94" xfId="195" applyNumberFormat="1" applyFont="1" applyFill="1" applyBorder="1" applyAlignment="1"/>
    <xf numFmtId="0" fontId="12" fillId="0" borderId="56" xfId="195" applyFont="1" applyFill="1" applyBorder="1" applyAlignment="1">
      <alignment wrapText="1"/>
    </xf>
    <xf numFmtId="3" fontId="12" fillId="0" borderId="31" xfId="195" applyNumberFormat="1" applyFont="1" applyFill="1" applyBorder="1" applyAlignment="1">
      <alignment wrapText="1"/>
    </xf>
    <xf numFmtId="3" fontId="12" fillId="0" borderId="31" xfId="195" applyNumberFormat="1" applyFont="1" applyFill="1" applyBorder="1" applyAlignment="1">
      <alignment horizontal="center" wrapText="1"/>
    </xf>
    <xf numFmtId="0" fontId="12" fillId="0" borderId="85" xfId="195" applyFont="1" applyFill="1" applyBorder="1" applyAlignment="1">
      <alignment horizontal="right"/>
    </xf>
    <xf numFmtId="3" fontId="12" fillId="0" borderId="67" xfId="195" applyNumberFormat="1" applyFont="1" applyFill="1" applyBorder="1"/>
    <xf numFmtId="3" fontId="12" fillId="0" borderId="67" xfId="195" applyNumberFormat="1" applyFont="1" applyFill="1" applyBorder="1" applyAlignment="1">
      <alignment horizontal="center"/>
    </xf>
    <xf numFmtId="3" fontId="11" fillId="0" borderId="31" xfId="195" applyNumberFormat="1" applyFont="1" applyFill="1" applyBorder="1"/>
    <xf numFmtId="3" fontId="13" fillId="0" borderId="95" xfId="195" applyNumberFormat="1" applyFont="1" applyFill="1" applyBorder="1" applyAlignment="1"/>
    <xf numFmtId="3" fontId="12" fillId="0" borderId="33" xfId="195" applyNumberFormat="1" applyFont="1" applyFill="1" applyBorder="1"/>
    <xf numFmtId="3" fontId="12" fillId="0" borderId="33" xfId="195" applyNumberFormat="1" applyFont="1" applyFill="1" applyBorder="1" applyAlignment="1">
      <alignment horizontal="center"/>
    </xf>
    <xf numFmtId="0" fontId="38" fillId="0" borderId="0" xfId="196" applyFont="1" applyFill="1"/>
    <xf numFmtId="3" fontId="38" fillId="0" borderId="0" xfId="196" applyNumberFormat="1" applyFont="1" applyFill="1"/>
    <xf numFmtId="0" fontId="37" fillId="0" borderId="10" xfId="196" applyFont="1" applyFill="1" applyBorder="1" applyAlignment="1">
      <alignment horizontal="center" vertical="center" wrapText="1"/>
    </xf>
    <xf numFmtId="0" fontId="38" fillId="0" borderId="0" xfId="196" applyFont="1" applyFill="1" applyAlignment="1">
      <alignment horizontal="center" vertical="center"/>
    </xf>
    <xf numFmtId="0" fontId="37" fillId="0" borderId="11" xfId="195" applyFont="1" applyFill="1" applyBorder="1" applyAlignment="1">
      <alignment wrapText="1"/>
    </xf>
    <xf numFmtId="0" fontId="38" fillId="0" borderId="0" xfId="157" applyFont="1" applyFill="1" applyBorder="1"/>
    <xf numFmtId="0" fontId="38" fillId="0" borderId="36" xfId="196" applyFont="1" applyFill="1" applyBorder="1" applyAlignment="1">
      <alignment wrapText="1"/>
    </xf>
    <xf numFmtId="0" fontId="37" fillId="0" borderId="36" xfId="196" applyFont="1" applyFill="1" applyBorder="1" applyAlignment="1">
      <alignment wrapText="1"/>
    </xf>
    <xf numFmtId="0" fontId="37" fillId="0" borderId="11" xfId="196" applyFont="1" applyFill="1" applyBorder="1" applyAlignment="1"/>
    <xf numFmtId="0" fontId="37" fillId="0" borderId="11" xfId="196" applyFont="1" applyFill="1" applyBorder="1" applyAlignment="1">
      <alignment wrapText="1"/>
    </xf>
    <xf numFmtId="3" fontId="37" fillId="0" borderId="11" xfId="196" applyNumberFormat="1" applyFont="1" applyFill="1" applyBorder="1" applyAlignment="1">
      <alignment wrapText="1"/>
    </xf>
    <xf numFmtId="0" fontId="38" fillId="0" borderId="11" xfId="196" applyFont="1" applyFill="1" applyBorder="1" applyAlignment="1">
      <alignment wrapText="1"/>
    </xf>
    <xf numFmtId="0" fontId="32" fillId="0" borderId="11" xfId="196" applyFont="1" applyFill="1" applyBorder="1" applyAlignment="1">
      <alignment wrapText="1"/>
    </xf>
    <xf numFmtId="0" fontId="39" fillId="0" borderId="11" xfId="196" applyFont="1" applyFill="1" applyBorder="1" applyAlignment="1"/>
    <xf numFmtId="0" fontId="37" fillId="0" borderId="15" xfId="196" applyFont="1" applyFill="1" applyBorder="1" applyAlignment="1">
      <alignment wrapText="1"/>
    </xf>
    <xf numFmtId="0" fontId="37" fillId="0" borderId="0" xfId="196" applyFont="1" applyFill="1"/>
    <xf numFmtId="0" fontId="37" fillId="0" borderId="119" xfId="196" applyFont="1" applyFill="1" applyBorder="1" applyAlignment="1"/>
    <xf numFmtId="0" fontId="37" fillId="0" borderId="120" xfId="196" applyFont="1" applyFill="1" applyBorder="1" applyAlignment="1"/>
    <xf numFmtId="3" fontId="37" fillId="0" borderId="75" xfId="197" applyNumberFormat="1" applyFont="1" applyFill="1" applyBorder="1"/>
    <xf numFmtId="0" fontId="38" fillId="0" borderId="0" xfId="196" applyFont="1" applyFill="1" applyAlignment="1">
      <alignment wrapText="1"/>
    </xf>
    <xf numFmtId="3" fontId="42" fillId="0" borderId="103" xfId="173" applyNumberFormat="1" applyFont="1" applyFill="1" applyBorder="1"/>
    <xf numFmtId="3" fontId="0" fillId="0" borderId="19" xfId="0" applyNumberFormat="1" applyFont="1" applyFill="1" applyBorder="1"/>
    <xf numFmtId="3" fontId="11" fillId="0" borderId="25" xfId="173" applyNumberFormat="1" applyFill="1" applyBorder="1"/>
    <xf numFmtId="3" fontId="50" fillId="0" borderId="78" xfId="173" applyNumberFormat="1" applyFont="1" applyFill="1" applyBorder="1"/>
    <xf numFmtId="3" fontId="50" fillId="0" borderId="29" xfId="173" applyNumberFormat="1" applyFont="1" applyFill="1" applyBorder="1"/>
    <xf numFmtId="3" fontId="41" fillId="0" borderId="10" xfId="173" applyNumberFormat="1" applyFont="1" applyFill="1" applyBorder="1"/>
    <xf numFmtId="3" fontId="41" fillId="0" borderId="0" xfId="173" applyNumberFormat="1" applyFont="1" applyFill="1" applyBorder="1"/>
    <xf numFmtId="0" fontId="37" fillId="0" borderId="0" xfId="205" applyFont="1" applyFill="1" applyBorder="1" applyAlignment="1">
      <alignment wrapText="1"/>
    </xf>
    <xf numFmtId="3" fontId="38" fillId="0" borderId="0" xfId="205" applyNumberFormat="1" applyFont="1" applyFill="1" applyBorder="1"/>
    <xf numFmtId="0" fontId="38" fillId="0" borderId="0" xfId="205" applyFont="1" applyFill="1"/>
    <xf numFmtId="0" fontId="37" fillId="0" borderId="121" xfId="205" applyFont="1" applyFill="1" applyBorder="1" applyAlignment="1">
      <alignment horizontal="center"/>
    </xf>
    <xf numFmtId="3" fontId="37" fillId="0" borderId="122" xfId="205" applyNumberFormat="1" applyFont="1" applyFill="1" applyBorder="1" applyAlignment="1">
      <alignment horizontal="center"/>
    </xf>
    <xf numFmtId="3" fontId="37" fillId="0" borderId="30" xfId="205" applyNumberFormat="1" applyFont="1" applyFill="1" applyBorder="1" applyAlignment="1">
      <alignment horizontal="center"/>
    </xf>
    <xf numFmtId="0" fontId="38" fillId="0" borderId="32" xfId="205" applyFont="1" applyFill="1" applyBorder="1" applyAlignment="1">
      <alignment wrapText="1"/>
    </xf>
    <xf numFmtId="3" fontId="38" fillId="0" borderId="24" xfId="205" applyNumberFormat="1" applyFont="1" applyFill="1" applyBorder="1"/>
    <xf numFmtId="3" fontId="38" fillId="0" borderId="31" xfId="205" applyNumberFormat="1" applyFont="1" applyFill="1" applyBorder="1"/>
    <xf numFmtId="0" fontId="37" fillId="0" borderId="123" xfId="205" applyFont="1" applyFill="1" applyBorder="1" applyAlignment="1">
      <alignment wrapText="1"/>
    </xf>
    <xf numFmtId="3" fontId="37" fillId="0" borderId="124" xfId="205" applyNumberFormat="1" applyFont="1" applyFill="1" applyBorder="1"/>
    <xf numFmtId="3" fontId="37" fillId="0" borderId="125" xfId="205" applyNumberFormat="1" applyFont="1" applyFill="1" applyBorder="1"/>
    <xf numFmtId="0" fontId="37" fillId="0" borderId="0" xfId="205" applyFont="1" applyFill="1"/>
    <xf numFmtId="3" fontId="37" fillId="0" borderId="0" xfId="205" applyNumberFormat="1" applyFont="1" applyFill="1" applyBorder="1"/>
    <xf numFmtId="0" fontId="37" fillId="0" borderId="0" xfId="205" applyFont="1" applyFill="1" applyBorder="1" applyAlignment="1">
      <alignment horizontal="left" wrapText="1"/>
    </xf>
    <xf numFmtId="3" fontId="38" fillId="0" borderId="0" xfId="205" applyNumberFormat="1" applyFont="1" applyFill="1"/>
    <xf numFmtId="3" fontId="38" fillId="0" borderId="122" xfId="205" applyNumberFormat="1" applyFont="1" applyFill="1" applyBorder="1"/>
    <xf numFmtId="3" fontId="38" fillId="0" borderId="30" xfId="205" applyNumberFormat="1" applyFont="1" applyFill="1" applyBorder="1"/>
    <xf numFmtId="0" fontId="38" fillId="0" borderId="70" xfId="205" applyFont="1" applyFill="1" applyBorder="1" applyAlignment="1">
      <alignment wrapText="1"/>
    </xf>
    <xf numFmtId="3" fontId="38" fillId="0" borderId="73" xfId="205" applyNumberFormat="1" applyFont="1" applyFill="1" applyBorder="1"/>
    <xf numFmtId="0" fontId="37" fillId="0" borderId="24" xfId="205" applyFont="1" applyFill="1" applyBorder="1" applyAlignment="1">
      <alignment wrapText="1"/>
    </xf>
    <xf numFmtId="3" fontId="37" fillId="0" borderId="24" xfId="205" applyNumberFormat="1" applyFont="1" applyFill="1" applyBorder="1"/>
    <xf numFmtId="3" fontId="37" fillId="0" borderId="24" xfId="205" applyNumberFormat="1" applyFont="1" applyFill="1" applyBorder="1" applyAlignment="1"/>
    <xf numFmtId="3" fontId="37" fillId="0" borderId="0" xfId="205" applyNumberFormat="1" applyFont="1" applyFill="1"/>
    <xf numFmtId="0" fontId="39" fillId="0" borderId="0" xfId="205" applyFont="1" applyFill="1"/>
    <xf numFmtId="3" fontId="39" fillId="0" borderId="0" xfId="205" applyNumberFormat="1" applyFont="1" applyFill="1"/>
    <xf numFmtId="3" fontId="42" fillId="0" borderId="29" xfId="173" applyNumberFormat="1" applyFont="1" applyFill="1" applyBorder="1"/>
    <xf numFmtId="0" fontId="37" fillId="0" borderId="0" xfId="205" applyFont="1" applyFill="1" applyAlignment="1">
      <alignment horizontal="center"/>
    </xf>
    <xf numFmtId="0" fontId="11" fillId="0" borderId="0" xfId="195" applyFont="1" applyFill="1"/>
    <xf numFmtId="3" fontId="12" fillId="0" borderId="93" xfId="195" applyNumberFormat="1" applyFont="1" applyFill="1" applyBorder="1" applyAlignment="1"/>
    <xf numFmtId="3" fontId="13" fillId="0" borderId="94" xfId="195" applyNumberFormat="1" applyFont="1" applyFill="1" applyBorder="1" applyAlignment="1">
      <alignment horizontal="center"/>
    </xf>
    <xf numFmtId="3" fontId="11" fillId="0" borderId="69" xfId="195" applyNumberFormat="1" applyFont="1" applyFill="1" applyBorder="1" applyAlignment="1"/>
    <xf numFmtId="0" fontId="38" fillId="0" borderId="58" xfId="206" applyFont="1" applyFill="1" applyBorder="1" applyAlignment="1">
      <alignment wrapText="1"/>
    </xf>
    <xf numFmtId="0" fontId="38" fillId="0" borderId="58" xfId="196" applyFont="1" applyFill="1" applyBorder="1" applyAlignment="1">
      <alignment wrapText="1"/>
    </xf>
    <xf numFmtId="0" fontId="38" fillId="0" borderId="36" xfId="196" applyFont="1" applyFill="1" applyBorder="1"/>
    <xf numFmtId="3" fontId="37" fillId="0" borderId="33" xfId="195" applyNumberFormat="1" applyFont="1" applyFill="1" applyBorder="1" applyAlignment="1">
      <alignment horizontal="center" vertical="center" wrapText="1"/>
    </xf>
    <xf numFmtId="0" fontId="0" fillId="0" borderId="31" xfId="194" applyFont="1" applyFill="1" applyBorder="1" applyAlignment="1">
      <alignment wrapText="1"/>
    </xf>
    <xf numFmtId="3" fontId="0" fillId="0" borderId="20" xfId="0" applyNumberFormat="1" applyFont="1" applyFill="1" applyBorder="1"/>
    <xf numFmtId="0" fontId="41" fillId="0" borderId="13" xfId="171" applyFont="1" applyFill="1" applyBorder="1"/>
    <xf numFmtId="0" fontId="41" fillId="0" borderId="40" xfId="171" applyFont="1" applyFill="1" applyBorder="1"/>
    <xf numFmtId="3" fontId="44" fillId="0" borderId="10" xfId="171" applyNumberFormat="1" applyFont="1" applyFill="1" applyBorder="1"/>
    <xf numFmtId="4" fontId="44" fillId="0" borderId="10" xfId="171" applyNumberFormat="1" applyFont="1" applyFill="1" applyBorder="1"/>
    <xf numFmtId="0" fontId="12" fillId="0" borderId="0" xfId="171" applyFont="1" applyFill="1"/>
    <xf numFmtId="3" fontId="11" fillId="0" borderId="20" xfId="174" applyNumberFormat="1" applyFont="1" applyFill="1" applyBorder="1"/>
    <xf numFmtId="3" fontId="37" fillId="0" borderId="77" xfId="172" applyNumberFormat="1" applyFont="1" applyFill="1" applyBorder="1"/>
    <xf numFmtId="3" fontId="37" fillId="0" borderId="73" xfId="172" applyNumberFormat="1" applyFont="1" applyFill="1" applyBorder="1"/>
    <xf numFmtId="3" fontId="37" fillId="0" borderId="39" xfId="172" applyNumberFormat="1" applyFont="1" applyFill="1" applyBorder="1"/>
    <xf numFmtId="3" fontId="37" fillId="0" borderId="81" xfId="172" applyNumberFormat="1" applyFont="1" applyFill="1" applyBorder="1"/>
    <xf numFmtId="3" fontId="42" fillId="0" borderId="11" xfId="171" applyNumberFormat="1" applyFont="1" applyFill="1" applyBorder="1"/>
    <xf numFmtId="3" fontId="42" fillId="0" borderId="11" xfId="174" applyNumberFormat="1" applyFont="1" applyFill="1" applyBorder="1" applyAlignment="1">
      <alignment horizontal="center"/>
    </xf>
    <xf numFmtId="0" fontId="39" fillId="0" borderId="85" xfId="195" applyFont="1" applyFill="1" applyBorder="1" applyAlignment="1">
      <alignment horizontal="right"/>
    </xf>
    <xf numFmtId="0" fontId="32" fillId="0" borderId="56" xfId="195" applyFont="1" applyFill="1" applyBorder="1" applyAlignment="1">
      <alignment wrapText="1"/>
    </xf>
    <xf numFmtId="3" fontId="32" fillId="0" borderId="94" xfId="195" applyNumberFormat="1" applyFont="1" applyFill="1" applyBorder="1" applyAlignment="1">
      <alignment wrapText="1"/>
    </xf>
    <xf numFmtId="3" fontId="32" fillId="0" borderId="31" xfId="195" applyNumberFormat="1" applyFont="1" applyFill="1" applyBorder="1" applyAlignment="1"/>
    <xf numFmtId="3" fontId="38" fillId="0" borderId="31" xfId="195" applyNumberFormat="1" applyFont="1" applyFill="1" applyBorder="1" applyAlignment="1"/>
    <xf numFmtId="3" fontId="32" fillId="0" borderId="31" xfId="195" applyNumberFormat="1" applyFont="1" applyFill="1" applyBorder="1" applyAlignment="1">
      <alignment horizontal="center"/>
    </xf>
    <xf numFmtId="0" fontId="32" fillId="0" borderId="0" xfId="157" applyFont="1" applyFill="1"/>
    <xf numFmtId="3" fontId="32" fillId="0" borderId="94" xfId="195" applyNumberFormat="1" applyFont="1" applyFill="1" applyBorder="1" applyAlignment="1">
      <alignment horizontal="center"/>
    </xf>
    <xf numFmtId="3" fontId="32" fillId="0" borderId="94" xfId="195" applyNumberFormat="1" applyFont="1" applyFill="1" applyBorder="1" applyAlignment="1"/>
    <xf numFmtId="0" fontId="37" fillId="0" borderId="85" xfId="195" applyFont="1" applyFill="1" applyBorder="1" applyAlignment="1">
      <alignment horizontal="right"/>
    </xf>
    <xf numFmtId="0" fontId="32" fillId="0" borderId="56" xfId="157" applyFont="1" applyFill="1" applyBorder="1" applyAlignment="1">
      <alignment wrapText="1"/>
    </xf>
    <xf numFmtId="3" fontId="32" fillId="0" borderId="94" xfId="157" applyNumberFormat="1" applyFont="1" applyFill="1" applyBorder="1" applyAlignment="1">
      <alignment wrapText="1"/>
    </xf>
    <xf numFmtId="0" fontId="38" fillId="0" borderId="0" xfId="157" applyFont="1" applyFill="1"/>
    <xf numFmtId="3" fontId="32" fillId="0" borderId="56" xfId="195" applyNumberFormat="1" applyFont="1" applyFill="1" applyBorder="1" applyAlignment="1">
      <alignment horizontal="center"/>
    </xf>
    <xf numFmtId="0" fontId="32" fillId="0" borderId="56" xfId="157" applyFont="1" applyFill="1" applyBorder="1" applyAlignment="1">
      <alignment horizontal="left" wrapText="1"/>
    </xf>
    <xf numFmtId="3" fontId="32" fillId="0" borderId="94" xfId="157" applyNumberFormat="1" applyFont="1" applyFill="1" applyBorder="1" applyAlignment="1">
      <alignment horizontal="right" wrapText="1"/>
    </xf>
    <xf numFmtId="3" fontId="37" fillId="0" borderId="10" xfId="196" applyNumberFormat="1" applyFont="1" applyFill="1" applyBorder="1" applyAlignment="1">
      <alignment horizontal="center" vertical="center" wrapText="1"/>
    </xf>
    <xf numFmtId="3" fontId="37" fillId="0" borderId="11" xfId="195" applyNumberFormat="1" applyFont="1" applyFill="1" applyBorder="1" applyAlignment="1">
      <alignment wrapText="1"/>
    </xf>
    <xf numFmtId="3" fontId="38" fillId="0" borderId="36" xfId="196" applyNumberFormat="1" applyFont="1" applyFill="1" applyBorder="1" applyAlignment="1">
      <alignment wrapText="1"/>
    </xf>
    <xf numFmtId="3" fontId="37" fillId="0" borderId="36" xfId="196" applyNumberFormat="1" applyFont="1" applyFill="1" applyBorder="1" applyAlignment="1">
      <alignment wrapText="1"/>
    </xf>
    <xf numFmtId="3" fontId="37" fillId="0" borderId="11" xfId="196" applyNumberFormat="1" applyFont="1" applyFill="1" applyBorder="1" applyAlignment="1"/>
    <xf numFmtId="3" fontId="38" fillId="0" borderId="11" xfId="196" applyNumberFormat="1" applyFont="1" applyFill="1" applyBorder="1" applyAlignment="1">
      <alignment wrapText="1"/>
    </xf>
    <xf numFmtId="3" fontId="32" fillId="0" borderId="11" xfId="196" applyNumberFormat="1" applyFont="1" applyFill="1" applyBorder="1" applyAlignment="1">
      <alignment wrapText="1"/>
    </xf>
    <xf numFmtId="3" fontId="39" fillId="0" borderId="11" xfId="196" applyNumberFormat="1" applyFont="1" applyFill="1" applyBorder="1" applyAlignment="1"/>
    <xf numFmtId="3" fontId="38" fillId="0" borderId="36" xfId="196" applyNumberFormat="1" applyFont="1" applyFill="1" applyBorder="1"/>
    <xf numFmtId="3" fontId="37" fillId="0" borderId="15" xfId="196" applyNumberFormat="1" applyFont="1" applyFill="1" applyBorder="1" applyAlignment="1">
      <alignment wrapText="1"/>
    </xf>
    <xf numFmtId="3" fontId="32" fillId="0" borderId="56" xfId="197" applyNumberFormat="1" applyFont="1" applyFill="1" applyBorder="1" applyAlignment="1"/>
    <xf numFmtId="3" fontId="0" fillId="0" borderId="62" xfId="0" applyNumberFormat="1" applyFont="1" applyFill="1" applyBorder="1"/>
    <xf numFmtId="3" fontId="0" fillId="0" borderId="63" xfId="0" applyNumberFormat="1" applyFont="1" applyFill="1" applyBorder="1"/>
    <xf numFmtId="3" fontId="0" fillId="0" borderId="23" xfId="0" applyNumberFormat="1" applyFont="1" applyFill="1" applyBorder="1"/>
    <xf numFmtId="3" fontId="0" fillId="0" borderId="64" xfId="0" applyNumberFormat="1" applyFont="1" applyFill="1" applyBorder="1"/>
    <xf numFmtId="3" fontId="0" fillId="0" borderId="59" xfId="0" applyNumberFormat="1" applyFont="1" applyFill="1" applyBorder="1"/>
    <xf numFmtId="3" fontId="0" fillId="0" borderId="0" xfId="0" applyNumberFormat="1" applyFont="1" applyFill="1"/>
    <xf numFmtId="0" fontId="37" fillId="0" borderId="10" xfId="251" applyFont="1" applyFill="1" applyBorder="1" applyAlignment="1">
      <alignment horizontal="center" wrapText="1"/>
    </xf>
    <xf numFmtId="3" fontId="37" fillId="0" borderId="10" xfId="252" applyNumberFormat="1" applyFont="1" applyFill="1" applyBorder="1" applyAlignment="1">
      <alignment horizontal="center" wrapText="1"/>
    </xf>
    <xf numFmtId="0" fontId="38" fillId="0" borderId="0" xfId="252" applyFont="1" applyFill="1"/>
    <xf numFmtId="0" fontId="37" fillId="0" borderId="10" xfId="253" applyFont="1" applyFill="1" applyBorder="1" applyAlignment="1">
      <alignment horizontal="center" wrapText="1"/>
    </xf>
    <xf numFmtId="3" fontId="37" fillId="0" borderId="10" xfId="253" applyNumberFormat="1" applyFont="1" applyFill="1" applyBorder="1" applyAlignment="1">
      <alignment horizontal="center"/>
    </xf>
    <xf numFmtId="3" fontId="37" fillId="0" borderId="11" xfId="254" applyNumberFormat="1" applyFont="1" applyFill="1" applyBorder="1" applyAlignment="1">
      <alignment wrapText="1"/>
    </xf>
    <xf numFmtId="0" fontId="38" fillId="0" borderId="11" xfId="254" applyFont="1" applyFill="1" applyBorder="1"/>
    <xf numFmtId="3" fontId="38" fillId="0" borderId="11" xfId="252" applyNumberFormat="1" applyFont="1" applyFill="1" applyBorder="1"/>
    <xf numFmtId="3" fontId="37" fillId="0" borderId="11" xfId="252" applyNumberFormat="1" applyFont="1" applyFill="1" applyBorder="1"/>
    <xf numFmtId="3" fontId="38" fillId="0" borderId="21" xfId="252" applyNumberFormat="1" applyFont="1" applyFill="1" applyBorder="1"/>
    <xf numFmtId="3" fontId="37" fillId="0" borderId="13" xfId="254" applyNumberFormat="1" applyFont="1" applyFill="1" applyBorder="1" applyAlignment="1">
      <alignment wrapText="1"/>
    </xf>
    <xf numFmtId="3" fontId="37" fillId="0" borderId="14" xfId="252" applyNumberFormat="1" applyFont="1" applyFill="1" applyBorder="1"/>
    <xf numFmtId="3" fontId="37" fillId="0" borderId="83" xfId="254" applyNumberFormat="1" applyFont="1" applyFill="1" applyBorder="1" applyAlignment="1">
      <alignment wrapText="1"/>
    </xf>
    <xf numFmtId="3" fontId="37" fillId="0" borderId="48" xfId="252" applyNumberFormat="1" applyFont="1" applyFill="1" applyBorder="1"/>
    <xf numFmtId="3" fontId="38" fillId="0" borderId="11" xfId="254" applyNumberFormat="1" applyFont="1" applyFill="1" applyBorder="1" applyAlignment="1">
      <alignment wrapText="1"/>
    </xf>
    <xf numFmtId="0" fontId="37" fillId="0" borderId="11" xfId="196" applyFont="1" applyFill="1" applyBorder="1"/>
    <xf numFmtId="0" fontId="38" fillId="0" borderId="83" xfId="196" applyFont="1" applyFill="1" applyBorder="1" applyAlignment="1">
      <alignment wrapText="1"/>
    </xf>
    <xf numFmtId="3" fontId="38" fillId="0" borderId="48" xfId="252" applyNumberFormat="1" applyFont="1" applyFill="1" applyBorder="1"/>
    <xf numFmtId="0" fontId="37" fillId="0" borderId="15" xfId="196" applyFont="1" applyFill="1" applyBorder="1"/>
    <xf numFmtId="3" fontId="37" fillId="0" borderId="15" xfId="252" applyNumberFormat="1" applyFont="1" applyFill="1" applyBorder="1"/>
    <xf numFmtId="3" fontId="37" fillId="0" borderId="0" xfId="252" applyNumberFormat="1" applyFont="1" applyFill="1"/>
    <xf numFmtId="3" fontId="12" fillId="0" borderId="62" xfId="0" applyNumberFormat="1" applyFont="1" applyFill="1" applyBorder="1"/>
    <xf numFmtId="0" fontId="37" fillId="0" borderId="0" xfId="252" applyFont="1" applyFill="1" applyAlignment="1">
      <alignment horizontal="right"/>
    </xf>
    <xf numFmtId="0" fontId="32" fillId="0" borderId="0" xfId="252" applyFont="1" applyFill="1" applyAlignment="1">
      <alignment horizontal="right"/>
    </xf>
    <xf numFmtId="0" fontId="13" fillId="0" borderId="31" xfId="194" applyFont="1" applyFill="1" applyBorder="1" applyAlignment="1">
      <alignment wrapText="1"/>
    </xf>
    <xf numFmtId="3" fontId="12" fillId="0" borderId="85" xfId="0" applyNumberFormat="1" applyFont="1" applyFill="1" applyBorder="1"/>
    <xf numFmtId="3" fontId="37" fillId="0" borderId="0" xfId="205" applyNumberFormat="1" applyFont="1" applyFill="1" applyAlignment="1">
      <alignment horizontal="right"/>
    </xf>
    <xf numFmtId="3" fontId="32" fillId="0" borderId="0" xfId="205" applyNumberFormat="1" applyFont="1" applyFill="1" applyAlignment="1">
      <alignment horizontal="right"/>
    </xf>
    <xf numFmtId="3" fontId="12" fillId="0" borderId="75" xfId="0" applyNumberFormat="1" applyFont="1" applyFill="1" applyBorder="1"/>
    <xf numFmtId="0" fontId="38" fillId="0" borderId="0" xfId="252" applyFont="1" applyFill="1" applyAlignment="1">
      <alignment horizontal="right"/>
    </xf>
    <xf numFmtId="3" fontId="42" fillId="0" borderId="0" xfId="171" applyNumberFormat="1" applyFont="1" applyFill="1"/>
    <xf numFmtId="3" fontId="41" fillId="0" borderId="10" xfId="171" applyNumberFormat="1" applyFont="1" applyFill="1" applyBorder="1" applyAlignment="1">
      <alignment horizontal="centerContinuous" wrapText="1"/>
    </xf>
    <xf numFmtId="3" fontId="41" fillId="0" borderId="87" xfId="171" applyNumberFormat="1" applyFont="1" applyFill="1" applyBorder="1" applyAlignment="1">
      <alignment horizontal="centerContinuous" wrapText="1"/>
    </xf>
    <xf numFmtId="3" fontId="42" fillId="0" borderId="52" xfId="171" applyNumberFormat="1" applyFont="1" applyFill="1" applyBorder="1"/>
    <xf numFmtId="3" fontId="43" fillId="0" borderId="11" xfId="171" applyNumberFormat="1" applyFont="1" applyFill="1" applyBorder="1"/>
    <xf numFmtId="3" fontId="43" fillId="0" borderId="12" xfId="171" applyNumberFormat="1" applyFont="1" applyFill="1" applyBorder="1"/>
    <xf numFmtId="3" fontId="13" fillId="0" borderId="15" xfId="171" applyNumberFormat="1" applyFont="1" applyFill="1" applyBorder="1"/>
    <xf numFmtId="3" fontId="12" fillId="0" borderId="10" xfId="171" applyNumberFormat="1" applyFont="1" applyFill="1" applyBorder="1"/>
    <xf numFmtId="0" fontId="42" fillId="0" borderId="0" xfId="172" applyFont="1" applyFill="1"/>
    <xf numFmtId="0" fontId="41" fillId="0" borderId="10" xfId="174" applyFont="1" applyFill="1" applyBorder="1" applyAlignment="1">
      <alignment horizontal="center" wrapText="1"/>
    </xf>
    <xf numFmtId="0" fontId="41" fillId="0" borderId="35" xfId="174" applyFont="1" applyFill="1" applyBorder="1" applyAlignment="1">
      <alignment horizontal="center" wrapText="1"/>
    </xf>
    <xf numFmtId="0" fontId="43" fillId="0" borderId="11" xfId="174" applyFont="1" applyFill="1" applyBorder="1" applyAlignment="1">
      <alignment wrapText="1"/>
    </xf>
    <xf numFmtId="0" fontId="45" fillId="0" borderId="0" xfId="172" applyFont="1" applyFill="1"/>
    <xf numFmtId="0" fontId="41" fillId="0" borderId="11" xfId="174" applyFont="1" applyFill="1" applyBorder="1" applyAlignment="1">
      <alignment wrapText="1"/>
    </xf>
    <xf numFmtId="0" fontId="42" fillId="0" borderId="38" xfId="174" applyFont="1" applyFill="1" applyBorder="1" applyAlignment="1">
      <alignment wrapText="1"/>
    </xf>
    <xf numFmtId="0" fontId="46" fillId="0" borderId="0" xfId="172" applyFont="1" applyFill="1"/>
    <xf numFmtId="0" fontId="41" fillId="0" borderId="38" xfId="174" applyFont="1" applyFill="1" applyBorder="1" applyAlignment="1">
      <alignment wrapText="1"/>
    </xf>
    <xf numFmtId="0" fontId="47" fillId="0" borderId="0" xfId="172" applyFont="1" applyFill="1"/>
    <xf numFmtId="0" fontId="42" fillId="0" borderId="36" xfId="174" applyFont="1" applyFill="1" applyBorder="1" applyAlignment="1">
      <alignment wrapText="1"/>
    </xf>
    <xf numFmtId="0" fontId="41" fillId="0" borderId="11" xfId="174" applyFont="1" applyFill="1" applyBorder="1" applyAlignment="1">
      <alignment horizontal="left" wrapText="1"/>
    </xf>
    <xf numFmtId="0" fontId="41" fillId="0" borderId="36" xfId="174" applyFont="1" applyFill="1" applyBorder="1" applyAlignment="1">
      <alignment wrapText="1"/>
    </xf>
    <xf numFmtId="0" fontId="41" fillId="0" borderId="10" xfId="174" applyFont="1" applyFill="1" applyBorder="1" applyAlignment="1">
      <alignment wrapText="1"/>
    </xf>
    <xf numFmtId="0" fontId="41" fillId="0" borderId="40" xfId="174" applyFont="1" applyFill="1" applyBorder="1" applyAlignment="1">
      <alignment wrapText="1"/>
    </xf>
    <xf numFmtId="0" fontId="37" fillId="0" borderId="43" xfId="172" applyFont="1" applyFill="1" applyBorder="1" applyAlignment="1">
      <alignment wrapText="1"/>
    </xf>
    <xf numFmtId="3" fontId="37" fillId="0" borderId="16" xfId="172" applyNumberFormat="1" applyFont="1" applyFill="1" applyBorder="1"/>
    <xf numFmtId="3" fontId="37" fillId="0" borderId="17" xfId="172" applyNumberFormat="1" applyFont="1" applyFill="1" applyBorder="1"/>
    <xf numFmtId="3" fontId="37" fillId="0" borderId="97" xfId="172" applyNumberFormat="1" applyFont="1" applyFill="1" applyBorder="1"/>
    <xf numFmtId="3" fontId="37" fillId="0" borderId="18" xfId="172" applyNumberFormat="1" applyFont="1" applyFill="1" applyBorder="1"/>
    <xf numFmtId="3" fontId="37" fillId="0" borderId="86" xfId="172" applyNumberFormat="1" applyFont="1" applyFill="1" applyBorder="1"/>
    <xf numFmtId="3" fontId="37" fillId="0" borderId="112" xfId="172" applyNumberFormat="1" applyFont="1" applyFill="1" applyBorder="1"/>
    <xf numFmtId="3" fontId="37" fillId="0" borderId="110" xfId="172" applyNumberFormat="1" applyFont="1" applyFill="1" applyBorder="1"/>
    <xf numFmtId="3" fontId="37" fillId="0" borderId="104" xfId="172" applyNumberFormat="1" applyFont="1" applyFill="1" applyBorder="1"/>
    <xf numFmtId="3" fontId="32" fillId="0" borderId="11" xfId="172" applyNumberFormat="1" applyFont="1" applyFill="1" applyBorder="1" applyAlignment="1">
      <alignment wrapText="1"/>
    </xf>
    <xf numFmtId="3" fontId="38" fillId="0" borderId="12" xfId="172" applyNumberFormat="1" applyFont="1" applyFill="1" applyBorder="1"/>
    <xf numFmtId="0" fontId="37" fillId="0" borderId="11" xfId="172" applyFont="1" applyFill="1" applyBorder="1" applyAlignment="1">
      <alignment wrapText="1"/>
    </xf>
    <xf numFmtId="3" fontId="37" fillId="0" borderId="12" xfId="172" applyNumberFormat="1" applyFont="1" applyFill="1" applyBorder="1"/>
    <xf numFmtId="3" fontId="38" fillId="0" borderId="12" xfId="172" applyNumberFormat="1" applyFont="1" applyFill="1" applyBorder="1" applyAlignment="1">
      <alignment wrapText="1"/>
    </xf>
    <xf numFmtId="3" fontId="38" fillId="0" borderId="38" xfId="172" applyNumberFormat="1" applyFont="1" applyFill="1" applyBorder="1" applyAlignment="1">
      <alignment wrapText="1"/>
    </xf>
    <xf numFmtId="3" fontId="32" fillId="0" borderId="38" xfId="172" applyNumberFormat="1" applyFont="1" applyFill="1" applyBorder="1" applyAlignment="1">
      <alignment wrapText="1"/>
    </xf>
    <xf numFmtId="3" fontId="37" fillId="0" borderId="15" xfId="172" applyNumberFormat="1" applyFont="1" applyFill="1" applyBorder="1"/>
    <xf numFmtId="3" fontId="37" fillId="0" borderId="27" xfId="172" applyNumberFormat="1" applyFont="1" applyFill="1" applyBorder="1"/>
    <xf numFmtId="3" fontId="37" fillId="0" borderId="28" xfId="172" applyNumberFormat="1" applyFont="1" applyFill="1" applyBorder="1"/>
    <xf numFmtId="3" fontId="37" fillId="0" borderId="98" xfId="172" applyNumberFormat="1" applyFont="1" applyFill="1" applyBorder="1"/>
    <xf numFmtId="3" fontId="37" fillId="0" borderId="99" xfId="172" applyNumberFormat="1" applyFont="1" applyFill="1" applyBorder="1"/>
    <xf numFmtId="3" fontId="37" fillId="0" borderId="29" xfId="172" applyNumberFormat="1" applyFont="1" applyFill="1" applyBorder="1"/>
    <xf numFmtId="3" fontId="37" fillId="0" borderId="113" xfId="172" applyNumberFormat="1" applyFont="1" applyFill="1" applyBorder="1"/>
    <xf numFmtId="3" fontId="37" fillId="0" borderId="111" xfId="172" applyNumberFormat="1" applyFont="1" applyFill="1" applyBorder="1"/>
    <xf numFmtId="3" fontId="38" fillId="0" borderId="0" xfId="172" applyNumberFormat="1" applyFont="1" applyFill="1"/>
    <xf numFmtId="3" fontId="38" fillId="0" borderId="0" xfId="172" applyNumberFormat="1" applyFont="1" applyFill="1" applyAlignment="1"/>
    <xf numFmtId="3" fontId="38" fillId="0" borderId="0" xfId="172" applyNumberFormat="1" applyFont="1" applyFill="1" applyBorder="1"/>
    <xf numFmtId="0" fontId="38" fillId="0" borderId="0" xfId="172" applyFont="1" applyFill="1"/>
    <xf numFmtId="3" fontId="38" fillId="0" borderId="0" xfId="174" applyNumberFormat="1" applyFont="1" applyFill="1" applyBorder="1" applyAlignment="1">
      <alignment wrapText="1"/>
    </xf>
    <xf numFmtId="0" fontId="32" fillId="0" borderId="0" xfId="172" applyFont="1" applyFill="1" applyBorder="1"/>
    <xf numFmtId="0" fontId="38" fillId="0" borderId="0" xfId="172" applyFont="1" applyFill="1" applyBorder="1"/>
    <xf numFmtId="0" fontId="39" fillId="0" borderId="0" xfId="172" applyFont="1" applyFill="1" applyBorder="1"/>
    <xf numFmtId="0" fontId="42" fillId="0" borderId="0" xfId="172" applyFont="1" applyFill="1" applyBorder="1"/>
    <xf numFmtId="0" fontId="12" fillId="0" borderId="0" xfId="171" applyFont="1" applyFill="1" applyAlignment="1"/>
    <xf numFmtId="0" fontId="41" fillId="0" borderId="10" xfId="171" applyFont="1" applyFill="1" applyBorder="1" applyAlignment="1">
      <alignment horizontal="centerContinuous"/>
    </xf>
    <xf numFmtId="0" fontId="41" fillId="0" borderId="35" xfId="171" applyFont="1" applyFill="1" applyBorder="1" applyAlignment="1">
      <alignment horizontal="centerContinuous"/>
    </xf>
    <xf numFmtId="0" fontId="42" fillId="0" borderId="0" xfId="171" applyFont="1" applyFill="1" applyAlignment="1">
      <alignment horizontal="centerContinuous"/>
    </xf>
    <xf numFmtId="0" fontId="41" fillId="0" borderId="79" xfId="171" applyFont="1" applyFill="1" applyBorder="1" applyAlignment="1">
      <alignment horizontal="center" wrapText="1"/>
    </xf>
    <xf numFmtId="0" fontId="41" fillId="0" borderId="44" xfId="171" applyFont="1" applyFill="1" applyBorder="1" applyAlignment="1">
      <alignment horizontal="centerContinuous" wrapText="1"/>
    </xf>
    <xf numFmtId="3" fontId="41" fillId="0" borderId="44" xfId="171" applyNumberFormat="1" applyFont="1" applyFill="1" applyBorder="1" applyAlignment="1">
      <alignment horizontal="centerContinuous" wrapText="1"/>
    </xf>
    <xf numFmtId="3" fontId="41" fillId="0" borderId="79" xfId="171" applyNumberFormat="1" applyFont="1" applyFill="1" applyBorder="1" applyAlignment="1">
      <alignment horizontal="centerContinuous" wrapText="1"/>
    </xf>
    <xf numFmtId="0" fontId="42" fillId="0" borderId="0" xfId="171" applyFont="1" applyFill="1" applyAlignment="1">
      <alignment horizontal="centerContinuous" wrapText="1"/>
    </xf>
    <xf numFmtId="0" fontId="41" fillId="0" borderId="46" xfId="171" applyFont="1" applyFill="1" applyBorder="1" applyAlignment="1">
      <alignment horizontal="centerContinuous" wrapText="1"/>
    </xf>
    <xf numFmtId="0" fontId="41" fillId="0" borderId="47" xfId="171" applyFont="1" applyFill="1" applyBorder="1" applyAlignment="1">
      <alignment horizontal="centerContinuous" wrapText="1"/>
    </xf>
    <xf numFmtId="3" fontId="41" fillId="0" borderId="47" xfId="171" applyNumberFormat="1" applyFont="1" applyFill="1" applyBorder="1" applyAlignment="1">
      <alignment horizontal="centerContinuous" wrapText="1"/>
    </xf>
    <xf numFmtId="3" fontId="41" fillId="0" borderId="48" xfId="171" applyNumberFormat="1" applyFont="1" applyFill="1" applyBorder="1" applyAlignment="1">
      <alignment horizontal="centerContinuous" wrapText="1"/>
    </xf>
    <xf numFmtId="3" fontId="41" fillId="0" borderId="105" xfId="171" applyNumberFormat="1" applyFont="1" applyFill="1" applyBorder="1" applyAlignment="1">
      <alignment horizontal="centerContinuous" wrapText="1"/>
    </xf>
    <xf numFmtId="3" fontId="41" fillId="0" borderId="106" xfId="171" applyNumberFormat="1" applyFont="1" applyFill="1" applyBorder="1" applyAlignment="1">
      <alignment horizontal="centerContinuous" wrapText="1"/>
    </xf>
    <xf numFmtId="0" fontId="42" fillId="0" borderId="49" xfId="171" applyFont="1" applyFill="1" applyBorder="1"/>
    <xf numFmtId="3" fontId="42" fillId="0" borderId="49" xfId="171" applyNumberFormat="1" applyFont="1" applyFill="1" applyBorder="1"/>
    <xf numFmtId="3" fontId="42" fillId="0" borderId="50" xfId="171" applyNumberFormat="1" applyFont="1" applyFill="1" applyBorder="1"/>
    <xf numFmtId="3" fontId="42" fillId="0" borderId="51" xfId="171" applyNumberFormat="1" applyFont="1" applyFill="1" applyBorder="1"/>
    <xf numFmtId="3" fontId="42" fillId="0" borderId="107" xfId="171" applyNumberFormat="1" applyFont="1" applyFill="1" applyBorder="1"/>
    <xf numFmtId="3" fontId="42" fillId="0" borderId="87" xfId="171" applyNumberFormat="1" applyFont="1" applyFill="1" applyBorder="1"/>
    <xf numFmtId="3" fontId="12" fillId="0" borderId="53" xfId="171" applyNumberFormat="1" applyFont="1" applyFill="1" applyBorder="1"/>
    <xf numFmtId="3" fontId="12" fillId="0" borderId="54" xfId="171" applyNumberFormat="1" applyFont="1" applyFill="1" applyBorder="1"/>
    <xf numFmtId="3" fontId="12" fillId="0" borderId="55" xfId="171" applyNumberFormat="1" applyFont="1" applyFill="1" applyBorder="1"/>
    <xf numFmtId="3" fontId="12" fillId="0" borderId="45" xfId="171" applyNumberFormat="1" applyFont="1" applyFill="1" applyBorder="1"/>
    <xf numFmtId="0" fontId="42" fillId="0" borderId="11" xfId="171" applyFont="1" applyFill="1" applyBorder="1" applyAlignment="1">
      <alignment wrapText="1"/>
    </xf>
    <xf numFmtId="3" fontId="12" fillId="0" borderId="12" xfId="171" applyNumberFormat="1" applyFont="1" applyFill="1" applyBorder="1"/>
    <xf numFmtId="3" fontId="12" fillId="0" borderId="56" xfId="171" applyNumberFormat="1" applyFont="1" applyFill="1" applyBorder="1"/>
    <xf numFmtId="3" fontId="12" fillId="0" borderId="57" xfId="171" applyNumberFormat="1" applyFont="1" applyFill="1" applyBorder="1"/>
    <xf numFmtId="3" fontId="42" fillId="0" borderId="58" xfId="171" applyNumberFormat="1" applyFont="1" applyFill="1" applyBorder="1"/>
    <xf numFmtId="3" fontId="12" fillId="0" borderId="58" xfId="171" applyNumberFormat="1" applyFont="1" applyFill="1" applyBorder="1"/>
    <xf numFmtId="3" fontId="12" fillId="0" borderId="59" xfId="171" applyNumberFormat="1" applyFont="1" applyFill="1" applyBorder="1"/>
    <xf numFmtId="3" fontId="12" fillId="0" borderId="48" xfId="171" applyNumberFormat="1" applyFont="1" applyFill="1" applyBorder="1"/>
    <xf numFmtId="0" fontId="12" fillId="0" borderId="11" xfId="171" applyFont="1" applyFill="1" applyBorder="1" applyAlignment="1">
      <alignment wrapText="1"/>
    </xf>
    <xf numFmtId="0" fontId="12" fillId="0" borderId="11" xfId="171" applyFont="1" applyFill="1" applyBorder="1"/>
    <xf numFmtId="0" fontId="12" fillId="0" borderId="12" xfId="171" applyFont="1" applyFill="1" applyBorder="1"/>
    <xf numFmtId="3" fontId="43" fillId="0" borderId="56" xfId="171" applyNumberFormat="1" applyFont="1" applyFill="1" applyBorder="1"/>
    <xf numFmtId="3" fontId="43" fillId="0" borderId="21" xfId="171" applyNumberFormat="1" applyFont="1" applyFill="1" applyBorder="1"/>
    <xf numFmtId="0" fontId="13" fillId="0" borderId="15" xfId="171" applyFont="1" applyFill="1" applyBorder="1"/>
    <xf numFmtId="0" fontId="41" fillId="0" borderId="10" xfId="171" applyFont="1" applyFill="1" applyBorder="1"/>
    <xf numFmtId="3" fontId="11" fillId="0" borderId="36" xfId="171" applyNumberFormat="1" applyFont="1" applyFill="1" applyBorder="1"/>
    <xf numFmtId="3" fontId="11" fillId="0" borderId="83" xfId="171" applyNumberFormat="1" applyFont="1" applyFill="1" applyBorder="1"/>
    <xf numFmtId="3" fontId="11" fillId="0" borderId="15" xfId="171" applyNumberFormat="1" applyFont="1" applyFill="1" applyBorder="1"/>
    <xf numFmtId="0" fontId="12" fillId="0" borderId="13" xfId="171" applyFont="1" applyFill="1" applyBorder="1"/>
    <xf numFmtId="0" fontId="12" fillId="0" borderId="40" xfId="171" applyFont="1" applyFill="1" applyBorder="1"/>
    <xf numFmtId="0" fontId="41" fillId="0" borderId="42" xfId="174" applyFont="1" applyFill="1" applyBorder="1" applyAlignment="1">
      <alignment wrapText="1"/>
    </xf>
    <xf numFmtId="0" fontId="41" fillId="0" borderId="0" xfId="174" applyFont="1" applyFill="1" applyBorder="1" applyAlignment="1">
      <alignment wrapText="1"/>
    </xf>
    <xf numFmtId="3" fontId="32" fillId="0" borderId="24" xfId="172" applyNumberFormat="1" applyFont="1" applyFill="1" applyBorder="1" applyAlignment="1">
      <alignment wrapText="1"/>
    </xf>
    <xf numFmtId="3" fontId="32" fillId="0" borderId="65" xfId="172" applyNumberFormat="1" applyFont="1" applyFill="1" applyBorder="1"/>
    <xf numFmtId="3" fontId="37" fillId="0" borderId="24" xfId="172" applyNumberFormat="1" applyFont="1" applyFill="1" applyBorder="1" applyAlignment="1">
      <alignment wrapText="1"/>
    </xf>
    <xf numFmtId="3" fontId="38" fillId="0" borderId="65" xfId="172" applyNumberFormat="1" applyFont="1" applyFill="1" applyBorder="1" applyAlignment="1">
      <alignment wrapText="1"/>
    </xf>
    <xf numFmtId="3" fontId="38" fillId="0" borderId="73" xfId="172" applyNumberFormat="1" applyFont="1" applyFill="1" applyBorder="1" applyAlignment="1">
      <alignment wrapText="1"/>
    </xf>
    <xf numFmtId="3" fontId="38" fillId="0" borderId="74" xfId="172" applyNumberFormat="1" applyFont="1" applyFill="1" applyBorder="1" applyAlignment="1">
      <alignment wrapText="1"/>
    </xf>
    <xf numFmtId="0" fontId="41" fillId="0" borderId="10" xfId="171" applyFont="1" applyFill="1" applyBorder="1" applyAlignment="1">
      <alignment horizontal="centerContinuous" wrapText="1"/>
    </xf>
    <xf numFmtId="0" fontId="41" fillId="0" borderId="80" xfId="171" applyFont="1" applyFill="1" applyBorder="1" applyAlignment="1">
      <alignment horizontal="centerContinuous" wrapText="1"/>
    </xf>
    <xf numFmtId="3" fontId="12" fillId="0" borderId="36" xfId="171" applyNumberFormat="1" applyFont="1" applyFill="1" applyBorder="1"/>
    <xf numFmtId="3" fontId="50" fillId="0" borderId="0" xfId="173" applyNumberFormat="1" applyFont="1" applyFill="1"/>
    <xf numFmtId="3" fontId="49" fillId="0" borderId="60" xfId="0" applyNumberFormat="1" applyFont="1" applyFill="1" applyBorder="1" applyAlignment="1">
      <alignment horizontal="center" vertical="center" wrapText="1"/>
    </xf>
    <xf numFmtId="3" fontId="49" fillId="0" borderId="61" xfId="0" applyNumberFormat="1" applyFont="1" applyFill="1" applyBorder="1" applyAlignment="1">
      <alignment horizontal="center" vertical="center" wrapText="1"/>
    </xf>
    <xf numFmtId="3" fontId="49" fillId="0" borderId="68" xfId="0" applyNumberFormat="1" applyFont="1" applyFill="1" applyBorder="1" applyAlignment="1">
      <alignment horizontal="center" vertical="center" wrapText="1"/>
    </xf>
    <xf numFmtId="3" fontId="12" fillId="0" borderId="33" xfId="0" applyNumberFormat="1" applyFont="1" applyFill="1" applyBorder="1" applyAlignment="1">
      <alignment horizontal="center" vertical="center"/>
    </xf>
    <xf numFmtId="3" fontId="12" fillId="0" borderId="60" xfId="0" applyNumberFormat="1" applyFont="1" applyFill="1" applyBorder="1" applyAlignment="1">
      <alignment horizontal="center" vertical="center"/>
    </xf>
    <xf numFmtId="3" fontId="12" fillId="0" borderId="61" xfId="0" applyNumberFormat="1" applyFont="1" applyFill="1" applyBorder="1" applyAlignment="1">
      <alignment horizontal="center" vertical="center"/>
    </xf>
    <xf numFmtId="3" fontId="12" fillId="0" borderId="68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Alignment="1">
      <alignment horizontal="center" vertical="center"/>
    </xf>
    <xf numFmtId="3" fontId="12" fillId="0" borderId="30" xfId="0" applyNumberFormat="1" applyFont="1" applyFill="1" applyBorder="1" applyAlignment="1">
      <alignment wrapText="1"/>
    </xf>
    <xf numFmtId="3" fontId="12" fillId="0" borderId="63" xfId="0" applyNumberFormat="1" applyFont="1" applyFill="1" applyBorder="1"/>
    <xf numFmtId="3" fontId="12" fillId="0" borderId="19" xfId="0" applyNumberFormat="1" applyFont="1" applyFill="1" applyBorder="1"/>
    <xf numFmtId="3" fontId="12" fillId="0" borderId="91" xfId="0" applyNumberFormat="1" applyFont="1" applyFill="1" applyBorder="1"/>
    <xf numFmtId="3" fontId="12" fillId="0" borderId="0" xfId="0" applyNumberFormat="1" applyFont="1" applyFill="1"/>
    <xf numFmtId="3" fontId="44" fillId="0" borderId="62" xfId="0" applyNumberFormat="1" applyFont="1" applyFill="1" applyBorder="1"/>
    <xf numFmtId="3" fontId="44" fillId="0" borderId="31" xfId="0" applyNumberFormat="1" applyFont="1" applyFill="1" applyBorder="1" applyAlignment="1">
      <alignment wrapText="1"/>
    </xf>
    <xf numFmtId="3" fontId="44" fillId="0" borderId="63" xfId="0" applyNumberFormat="1" applyFont="1" applyFill="1" applyBorder="1"/>
    <xf numFmtId="3" fontId="44" fillId="0" borderId="24" xfId="0" applyNumberFormat="1" applyFont="1" applyFill="1" applyBorder="1"/>
    <xf numFmtId="3" fontId="44" fillId="0" borderId="19" xfId="0" applyNumberFormat="1" applyFont="1" applyFill="1" applyBorder="1"/>
    <xf numFmtId="3" fontId="44" fillId="0" borderId="59" xfId="0" applyNumberFormat="1" applyFont="1" applyFill="1" applyBorder="1"/>
    <xf numFmtId="3" fontId="44" fillId="0" borderId="0" xfId="0" applyNumberFormat="1" applyFont="1" applyFill="1"/>
    <xf numFmtId="3" fontId="12" fillId="0" borderId="69" xfId="0" applyNumberFormat="1" applyFont="1" applyFill="1" applyBorder="1" applyAlignment="1">
      <alignment wrapText="1"/>
    </xf>
    <xf numFmtId="3" fontId="44" fillId="0" borderId="69" xfId="0" applyNumberFormat="1" applyFont="1" applyFill="1" applyBorder="1" applyAlignment="1">
      <alignment wrapText="1"/>
    </xf>
    <xf numFmtId="3" fontId="13" fillId="0" borderId="62" xfId="0" applyNumberFormat="1" applyFont="1" applyFill="1" applyBorder="1"/>
    <xf numFmtId="3" fontId="13" fillId="0" borderId="63" xfId="0" applyNumberFormat="1" applyFont="1" applyFill="1" applyBorder="1"/>
    <xf numFmtId="3" fontId="13" fillId="0" borderId="19" xfId="0" applyNumberFormat="1" applyFont="1" applyFill="1" applyBorder="1"/>
    <xf numFmtId="3" fontId="13" fillId="0" borderId="59" xfId="0" applyNumberFormat="1" applyFont="1" applyFill="1" applyBorder="1"/>
    <xf numFmtId="3" fontId="13" fillId="0" borderId="56" xfId="0" applyNumberFormat="1" applyFont="1" applyFill="1" applyBorder="1"/>
    <xf numFmtId="3" fontId="13" fillId="0" borderId="0" xfId="0" applyNumberFormat="1" applyFont="1" applyFill="1"/>
    <xf numFmtId="3" fontId="0" fillId="0" borderId="69" xfId="0" applyNumberFormat="1" applyFont="1" applyFill="1" applyBorder="1" applyAlignment="1">
      <alignment wrapText="1"/>
    </xf>
    <xf numFmtId="0" fontId="12" fillId="0" borderId="31" xfId="0" applyFont="1" applyFill="1" applyBorder="1" applyAlignment="1">
      <alignment wrapText="1"/>
    </xf>
    <xf numFmtId="3" fontId="12" fillId="0" borderId="31" xfId="0" applyNumberFormat="1" applyFont="1" applyFill="1" applyBorder="1" applyAlignment="1">
      <alignment wrapText="1"/>
    </xf>
    <xf numFmtId="3" fontId="12" fillId="0" borderId="34" xfId="0" applyNumberFormat="1" applyFont="1" applyFill="1" applyBorder="1"/>
    <xf numFmtId="3" fontId="12" fillId="0" borderId="20" xfId="0" applyNumberFormat="1" applyFont="1" applyFill="1" applyBorder="1"/>
    <xf numFmtId="0" fontId="13" fillId="0" borderId="69" xfId="0" applyFont="1" applyFill="1" applyBorder="1" applyAlignment="1">
      <alignment wrapText="1"/>
    </xf>
    <xf numFmtId="0" fontId="12" fillId="0" borderId="69" xfId="0" applyFont="1" applyFill="1" applyBorder="1" applyAlignment="1">
      <alignment wrapText="1"/>
    </xf>
    <xf numFmtId="0" fontId="12" fillId="0" borderId="31" xfId="194" applyFont="1" applyFill="1" applyBorder="1" applyAlignment="1">
      <alignment wrapText="1"/>
    </xf>
    <xf numFmtId="3" fontId="12" fillId="0" borderId="66" xfId="0" applyNumberFormat="1" applyFont="1" applyFill="1" applyBorder="1"/>
    <xf numFmtId="3" fontId="12" fillId="0" borderId="67" xfId="0" applyNumberFormat="1" applyFont="1" applyFill="1" applyBorder="1" applyAlignment="1">
      <alignment wrapText="1"/>
    </xf>
    <xf numFmtId="3" fontId="12" fillId="0" borderId="33" xfId="0" applyNumberFormat="1" applyFont="1" applyFill="1" applyBorder="1"/>
    <xf numFmtId="3" fontId="0" fillId="0" borderId="32" xfId="0" applyNumberFormat="1" applyFont="1" applyFill="1" applyBorder="1"/>
    <xf numFmtId="3" fontId="0" fillId="0" borderId="24" xfId="0" applyNumberFormat="1" applyFont="1" applyFill="1" applyBorder="1"/>
    <xf numFmtId="3" fontId="0" fillId="0" borderId="126" xfId="0" applyNumberFormat="1" applyFont="1" applyFill="1" applyBorder="1"/>
    <xf numFmtId="3" fontId="12" fillId="0" borderId="65" xfId="0" applyNumberFormat="1" applyFont="1" applyFill="1" applyBorder="1"/>
    <xf numFmtId="3" fontId="0" fillId="0" borderId="31" xfId="0" applyNumberFormat="1" applyFont="1" applyFill="1" applyBorder="1" applyAlignment="1">
      <alignment wrapText="1"/>
    </xf>
    <xf numFmtId="3" fontId="12" fillId="0" borderId="70" xfId="0" applyNumberFormat="1" applyFont="1" applyFill="1" applyBorder="1"/>
    <xf numFmtId="3" fontId="12" fillId="0" borderId="71" xfId="0" applyNumberFormat="1" applyFont="1" applyFill="1" applyBorder="1" applyAlignment="1">
      <alignment wrapText="1"/>
    </xf>
    <xf numFmtId="3" fontId="12" fillId="0" borderId="72" xfId="0" applyNumberFormat="1" applyFont="1" applyFill="1" applyBorder="1"/>
    <xf numFmtId="3" fontId="12" fillId="0" borderId="74" xfId="0" applyNumberFormat="1" applyFont="1" applyFill="1" applyBorder="1"/>
    <xf numFmtId="3" fontId="12" fillId="0" borderId="102" xfId="0" applyNumberFormat="1" applyFont="1" applyFill="1" applyBorder="1"/>
    <xf numFmtId="3" fontId="12" fillId="0" borderId="76" xfId="0" applyNumberFormat="1" applyFont="1" applyFill="1" applyBorder="1" applyAlignment="1">
      <alignment wrapText="1"/>
    </xf>
    <xf numFmtId="3" fontId="12" fillId="0" borderId="76" xfId="0" applyNumberFormat="1" applyFont="1" applyFill="1" applyBorder="1"/>
    <xf numFmtId="0" fontId="11" fillId="0" borderId="0" xfId="195" applyFont="1" applyFill="1" applyAlignment="1">
      <alignment horizontal="center"/>
    </xf>
    <xf numFmtId="0" fontId="12" fillId="0" borderId="88" xfId="195" applyFont="1" applyFill="1" applyBorder="1" applyAlignment="1">
      <alignment horizontal="center"/>
    </xf>
    <xf numFmtId="3" fontId="12" fillId="0" borderId="89" xfId="195" applyNumberFormat="1" applyFont="1" applyFill="1" applyBorder="1" applyAlignment="1">
      <alignment horizontal="center" wrapText="1"/>
    </xf>
    <xf numFmtId="0" fontId="12" fillId="0" borderId="84" xfId="195" applyFont="1" applyFill="1" applyBorder="1" applyAlignment="1">
      <alignment horizontal="right"/>
    </xf>
    <xf numFmtId="3" fontId="12" fillId="0" borderId="91" xfId="195" applyNumberFormat="1" applyFont="1" applyFill="1" applyBorder="1" applyAlignment="1">
      <alignment wrapText="1"/>
    </xf>
    <xf numFmtId="3" fontId="12" fillId="0" borderId="93" xfId="195" applyNumberFormat="1" applyFont="1" applyFill="1" applyBorder="1" applyAlignment="1">
      <alignment horizontal="center"/>
    </xf>
    <xf numFmtId="3" fontId="12" fillId="0" borderId="56" xfId="195" applyNumberFormat="1" applyFont="1" applyFill="1" applyBorder="1" applyAlignment="1">
      <alignment wrapText="1"/>
    </xf>
    <xf numFmtId="0" fontId="11" fillId="0" borderId="56" xfId="157" applyFont="1" applyFill="1" applyBorder="1" applyAlignment="1">
      <alignment wrapText="1"/>
    </xf>
    <xf numFmtId="3" fontId="11" fillId="0" borderId="94" xfId="195" applyNumberFormat="1" applyFont="1" applyFill="1" applyBorder="1" applyAlignment="1">
      <alignment horizontal="center"/>
    </xf>
    <xf numFmtId="0" fontId="12" fillId="0" borderId="56" xfId="195" applyFont="1" applyFill="1" applyBorder="1" applyAlignment="1">
      <alignment horizontal="right"/>
    </xf>
    <xf numFmtId="0" fontId="12" fillId="0" borderId="33" xfId="195" applyFont="1" applyFill="1" applyBorder="1" applyAlignment="1">
      <alignment wrapText="1"/>
    </xf>
    <xf numFmtId="3" fontId="11" fillId="0" borderId="69" xfId="195" applyNumberFormat="1" applyFont="1" applyFill="1" applyBorder="1" applyAlignment="1">
      <alignment horizontal="center"/>
    </xf>
    <xf numFmtId="0" fontId="12" fillId="0" borderId="75" xfId="195" applyFont="1" applyFill="1" applyBorder="1" applyAlignment="1">
      <alignment horizontal="right"/>
    </xf>
    <xf numFmtId="3" fontId="13" fillId="0" borderId="95" xfId="195" applyNumberFormat="1" applyFont="1" applyFill="1" applyBorder="1" applyAlignment="1">
      <alignment horizontal="center"/>
    </xf>
    <xf numFmtId="0" fontId="12" fillId="0" borderId="90" xfId="195" applyFont="1" applyFill="1" applyBorder="1" applyAlignment="1">
      <alignment horizontal="right"/>
    </xf>
    <xf numFmtId="3" fontId="11" fillId="0" borderId="0" xfId="195" applyNumberFormat="1" applyFont="1" applyFill="1"/>
    <xf numFmtId="3" fontId="11" fillId="0" borderId="0" xfId="195" applyNumberFormat="1" applyFont="1" applyFill="1" applyAlignment="1">
      <alignment horizontal="center"/>
    </xf>
    <xf numFmtId="3" fontId="38" fillId="0" borderId="0" xfId="252" applyNumberFormat="1" applyFont="1" applyFill="1"/>
    <xf numFmtId="3" fontId="44" fillId="0" borderId="23" xfId="0" applyNumberFormat="1" applyFont="1" applyFill="1" applyBorder="1"/>
    <xf numFmtId="3" fontId="44" fillId="0" borderId="12" xfId="171" applyNumberFormat="1" applyFont="1" applyFill="1" applyBorder="1"/>
    <xf numFmtId="3" fontId="13" fillId="0" borderId="94" xfId="195" applyNumberFormat="1" applyFont="1" applyFill="1" applyBorder="1"/>
    <xf numFmtId="3" fontId="13" fillId="0" borderId="69" xfId="0" applyNumberFormat="1" applyFont="1" applyFill="1" applyBorder="1" applyAlignment="1">
      <alignment wrapText="1"/>
    </xf>
    <xf numFmtId="3" fontId="12" fillId="0" borderId="126" xfId="0" applyNumberFormat="1" applyFont="1" applyFill="1" applyBorder="1"/>
    <xf numFmtId="3" fontId="0" fillId="0" borderId="31" xfId="0" applyNumberFormat="1" applyFont="1" applyFill="1" applyBorder="1"/>
    <xf numFmtId="0" fontId="12" fillId="0" borderId="31" xfId="194" applyFont="1" applyFill="1" applyBorder="1" applyAlignment="1">
      <alignment horizontal="left" vertical="top" wrapText="1"/>
    </xf>
    <xf numFmtId="0" fontId="38" fillId="0" borderId="121" xfId="205" applyFont="1" applyFill="1" applyBorder="1" applyAlignment="1">
      <alignment horizontal="left" wrapText="1"/>
    </xf>
    <xf numFmtId="165" fontId="38" fillId="0" borderId="0" xfId="258" applyNumberFormat="1" applyFont="1" applyFill="1"/>
    <xf numFmtId="0" fontId="13" fillId="0" borderId="65" xfId="194" applyFont="1" applyFill="1" applyBorder="1" applyAlignment="1">
      <alignment wrapText="1"/>
    </xf>
    <xf numFmtId="3" fontId="13" fillId="0" borderId="31" xfId="0" applyNumberFormat="1" applyFont="1" applyFill="1" applyBorder="1" applyAlignment="1">
      <alignment wrapText="1"/>
    </xf>
    <xf numFmtId="3" fontId="13" fillId="0" borderId="118" xfId="0" applyNumberFormat="1" applyFont="1" applyFill="1" applyBorder="1" applyAlignment="1">
      <alignment wrapText="1"/>
    </xf>
    <xf numFmtId="3" fontId="12" fillId="0" borderId="93" xfId="195" applyNumberFormat="1" applyFont="1" applyFill="1" applyBorder="1"/>
    <xf numFmtId="3" fontId="32" fillId="0" borderId="31" xfId="195" applyNumberFormat="1" applyFont="1" applyFill="1" applyBorder="1"/>
    <xf numFmtId="3" fontId="32" fillId="0" borderId="94" xfId="195" applyNumberFormat="1" applyFont="1" applyFill="1" applyBorder="1"/>
    <xf numFmtId="3" fontId="13" fillId="0" borderId="31" xfId="195" applyNumberFormat="1" applyFont="1" applyFill="1" applyBorder="1"/>
    <xf numFmtId="3" fontId="13" fillId="0" borderId="95" xfId="195" applyNumberFormat="1" applyFont="1" applyFill="1" applyBorder="1"/>
    <xf numFmtId="3" fontId="37" fillId="0" borderId="17" xfId="172" applyNumberFormat="1" applyFont="1" applyFill="1" applyBorder="1" applyAlignment="1">
      <alignment wrapText="1"/>
    </xf>
    <xf numFmtId="3" fontId="0" fillId="0" borderId="33" xfId="0" applyNumberFormat="1" applyFont="1" applyFill="1" applyBorder="1" applyAlignment="1">
      <alignment wrapText="1"/>
    </xf>
    <xf numFmtId="3" fontId="0" fillId="0" borderId="0" xfId="0" applyNumberFormat="1" applyFont="1" applyFill="1" applyAlignment="1">
      <alignment wrapText="1"/>
    </xf>
    <xf numFmtId="0" fontId="0" fillId="0" borderId="39" xfId="199" applyFont="1" applyFill="1" applyBorder="1" applyAlignment="1">
      <alignment wrapText="1"/>
    </xf>
    <xf numFmtId="0" fontId="0" fillId="0" borderId="69" xfId="0" applyFont="1" applyFill="1" applyBorder="1" applyAlignment="1">
      <alignment wrapText="1"/>
    </xf>
    <xf numFmtId="3" fontId="0" fillId="0" borderId="85" xfId="0" applyNumberFormat="1" applyFont="1" applyFill="1" applyBorder="1"/>
    <xf numFmtId="0" fontId="0" fillId="0" borderId="31" xfId="157" applyFont="1" applyFill="1" applyBorder="1" applyAlignment="1">
      <alignment wrapText="1"/>
    </xf>
    <xf numFmtId="3" fontId="0" fillId="0" borderId="70" xfId="0" applyNumberFormat="1" applyFont="1" applyFill="1" applyBorder="1"/>
    <xf numFmtId="3" fontId="0" fillId="0" borderId="72" xfId="0" applyNumberFormat="1" applyFont="1" applyFill="1" applyBorder="1"/>
    <xf numFmtId="3" fontId="0" fillId="0" borderId="73" xfId="0" applyNumberFormat="1" applyFont="1" applyFill="1" applyBorder="1"/>
    <xf numFmtId="3" fontId="0" fillId="0" borderId="74" xfId="0" applyNumberFormat="1" applyFont="1" applyFill="1" applyBorder="1"/>
    <xf numFmtId="0" fontId="43" fillId="0" borderId="36" xfId="174" applyFont="1" applyFill="1" applyBorder="1" applyAlignment="1">
      <alignment wrapText="1"/>
    </xf>
    <xf numFmtId="3" fontId="44" fillId="0" borderId="36" xfId="174" applyNumberFormat="1" applyFont="1" applyFill="1" applyBorder="1"/>
    <xf numFmtId="0" fontId="43" fillId="0" borderId="127" xfId="174" applyFont="1" applyFill="1" applyBorder="1" applyAlignment="1">
      <alignment wrapText="1"/>
    </xf>
    <xf numFmtId="3" fontId="44" fillId="0" borderId="127" xfId="174" applyNumberFormat="1" applyFont="1" applyFill="1" applyBorder="1"/>
    <xf numFmtId="3" fontId="12" fillId="0" borderId="123" xfId="0" applyNumberFormat="1" applyFont="1" applyFill="1" applyBorder="1"/>
    <xf numFmtId="3" fontId="0" fillId="0" borderId="128" xfId="0" applyNumberFormat="1" applyFont="1" applyFill="1" applyBorder="1"/>
    <xf numFmtId="3" fontId="0" fillId="0" borderId="124" xfId="0" applyNumberFormat="1" applyFont="1" applyFill="1" applyBorder="1"/>
    <xf numFmtId="3" fontId="0" fillId="0" borderId="130" xfId="0" applyNumberFormat="1" applyFont="1" applyFill="1" applyBorder="1"/>
    <xf numFmtId="3" fontId="12" fillId="0" borderId="90" xfId="0" applyNumberFormat="1" applyFont="1" applyFill="1" applyBorder="1"/>
    <xf numFmtId="3" fontId="0" fillId="0" borderId="129" xfId="0" applyNumberFormat="1" applyFont="1" applyFill="1" applyBorder="1"/>
    <xf numFmtId="3" fontId="0" fillId="0" borderId="90" xfId="0" applyNumberFormat="1" applyFont="1" applyFill="1" applyBorder="1"/>
    <xf numFmtId="0" fontId="13" fillId="0" borderId="69" xfId="194" applyFont="1" applyFill="1" applyBorder="1" applyAlignment="1">
      <alignment wrapText="1"/>
    </xf>
    <xf numFmtId="0" fontId="12" fillId="0" borderId="125" xfId="194" applyFont="1" applyFill="1" applyBorder="1" applyAlignment="1">
      <alignment wrapText="1"/>
    </xf>
    <xf numFmtId="0" fontId="38" fillId="0" borderId="127" xfId="196" applyFont="1" applyFill="1" applyBorder="1" applyAlignment="1">
      <alignment wrapText="1"/>
    </xf>
    <xf numFmtId="3" fontId="38" fillId="0" borderId="127" xfId="196" applyNumberFormat="1" applyFont="1" applyFill="1" applyBorder="1" applyAlignment="1">
      <alignment wrapText="1"/>
    </xf>
    <xf numFmtId="0" fontId="38" fillId="0" borderId="46" xfId="196" applyFont="1" applyFill="1" applyBorder="1" applyAlignment="1">
      <alignment wrapText="1"/>
    </xf>
    <xf numFmtId="3" fontId="38" fillId="0" borderId="46" xfId="196" applyNumberFormat="1" applyFont="1" applyFill="1" applyBorder="1" applyAlignment="1">
      <alignment wrapText="1"/>
    </xf>
    <xf numFmtId="0" fontId="0" fillId="0" borderId="31" xfId="0" applyFont="1" applyFill="1" applyBorder="1" applyAlignment="1">
      <alignment vertical="top" wrapText="1"/>
    </xf>
    <xf numFmtId="3" fontId="0" fillId="0" borderId="131" xfId="0" applyNumberFormat="1" applyFont="1" applyFill="1" applyBorder="1"/>
    <xf numFmtId="0" fontId="13" fillId="0" borderId="118" xfId="0" applyFont="1" applyFill="1" applyBorder="1" applyAlignment="1">
      <alignment wrapText="1"/>
    </xf>
    <xf numFmtId="0" fontId="0" fillId="0" borderId="118" xfId="0" applyFont="1" applyFill="1" applyBorder="1" applyAlignment="1">
      <alignment wrapText="1"/>
    </xf>
    <xf numFmtId="3" fontId="32" fillId="0" borderId="72" xfId="172" applyNumberFormat="1" applyFont="1" applyFill="1" applyBorder="1" applyAlignment="1">
      <alignment wrapText="1"/>
    </xf>
    <xf numFmtId="3" fontId="32" fillId="0" borderId="77" xfId="172" applyNumberFormat="1" applyFont="1" applyFill="1" applyBorder="1" applyAlignment="1">
      <alignment wrapText="1"/>
    </xf>
    <xf numFmtId="3" fontId="32" fillId="0" borderId="22" xfId="172" applyNumberFormat="1" applyFont="1" applyFill="1" applyBorder="1" applyAlignment="1">
      <alignment wrapText="1"/>
    </xf>
    <xf numFmtId="0" fontId="38" fillId="0" borderId="0" xfId="252" applyFont="1" applyFill="1" applyAlignment="1">
      <alignment horizontal="left"/>
    </xf>
    <xf numFmtId="3" fontId="63" fillId="0" borderId="21" xfId="252" applyNumberFormat="1" applyFont="1" applyFill="1" applyBorder="1"/>
    <xf numFmtId="0" fontId="64" fillId="0" borderId="70" xfId="264" applyFont="1" applyFill="1" applyBorder="1"/>
    <xf numFmtId="0" fontId="64" fillId="0" borderId="73" xfId="264" applyFont="1" applyFill="1" applyBorder="1" applyAlignment="1">
      <alignment wrapText="1"/>
    </xf>
    <xf numFmtId="0" fontId="64" fillId="0" borderId="132" xfId="264" applyFont="1" applyFill="1" applyBorder="1" applyAlignment="1">
      <alignment wrapText="1"/>
    </xf>
    <xf numFmtId="3" fontId="64" fillId="0" borderId="72" xfId="264" applyNumberFormat="1" applyFont="1" applyFill="1" applyBorder="1"/>
    <xf numFmtId="3" fontId="64" fillId="0" borderId="31" xfId="264" applyNumberFormat="1" applyFont="1" applyFill="1" applyBorder="1"/>
    <xf numFmtId="3" fontId="64" fillId="0" borderId="0" xfId="264" applyNumberFormat="1" applyFont="1" applyFill="1"/>
    <xf numFmtId="0" fontId="64" fillId="0" borderId="0" xfId="264" applyFont="1" applyFill="1"/>
    <xf numFmtId="3" fontId="12" fillId="0" borderId="10" xfId="174" applyNumberFormat="1" applyFont="1" applyFill="1" applyBorder="1" applyAlignment="1">
      <alignment horizontal="center"/>
    </xf>
    <xf numFmtId="3" fontId="12" fillId="0" borderId="35" xfId="174" applyNumberFormat="1" applyFont="1" applyFill="1" applyBorder="1" applyAlignment="1">
      <alignment horizontal="center" wrapText="1"/>
    </xf>
    <xf numFmtId="3" fontId="12" fillId="0" borderId="35" xfId="174" applyNumberFormat="1" applyFont="1" applyFill="1" applyBorder="1" applyAlignment="1">
      <alignment horizontal="center"/>
    </xf>
    <xf numFmtId="3" fontId="12" fillId="0" borderId="10" xfId="174" applyNumberFormat="1" applyFont="1" applyFill="1" applyBorder="1" applyAlignment="1">
      <alignment horizontal="center" wrapText="1"/>
    </xf>
    <xf numFmtId="3" fontId="41" fillId="0" borderId="10" xfId="171" applyNumberFormat="1" applyFont="1" applyFill="1" applyBorder="1" applyAlignment="1">
      <alignment horizontal="center" wrapText="1"/>
    </xf>
    <xf numFmtId="3" fontId="41" fillId="0" borderId="35" xfId="171" applyNumberFormat="1" applyFont="1" applyFill="1" applyBorder="1" applyAlignment="1">
      <alignment horizontal="center" wrapText="1"/>
    </xf>
    <xf numFmtId="3" fontId="41" fillId="0" borderId="14" xfId="171" applyNumberFormat="1" applyFont="1" applyFill="1" applyBorder="1" applyAlignment="1">
      <alignment horizontal="center" wrapText="1"/>
    </xf>
    <xf numFmtId="3" fontId="12" fillId="0" borderId="0" xfId="0" applyNumberFormat="1" applyFont="1" applyFill="1" applyAlignment="1">
      <alignment horizontal="center"/>
    </xf>
    <xf numFmtId="0" fontId="37" fillId="0" borderId="108" xfId="195" applyFont="1" applyFill="1" applyBorder="1" applyAlignment="1">
      <alignment horizontal="center" wrapText="1"/>
    </xf>
    <xf numFmtId="0" fontId="37" fillId="0" borderId="93" xfId="195" applyFont="1" applyFill="1" applyBorder="1" applyAlignment="1">
      <alignment horizontal="center" wrapText="1"/>
    </xf>
    <xf numFmtId="0" fontId="11" fillId="0" borderId="11" xfId="174" applyFont="1" applyFill="1" applyBorder="1" applyAlignment="1">
      <alignment wrapText="1"/>
    </xf>
    <xf numFmtId="0" fontId="12" fillId="0" borderId="11" xfId="174" applyFont="1" applyFill="1" applyBorder="1" applyAlignment="1">
      <alignment wrapText="1"/>
    </xf>
    <xf numFmtId="3" fontId="11" fillId="0" borderId="36" xfId="174" applyNumberFormat="1" applyFont="1" applyFill="1" applyBorder="1"/>
    <xf numFmtId="3" fontId="11" fillId="0" borderId="19" xfId="174" applyNumberFormat="1" applyFont="1" applyFill="1" applyBorder="1"/>
    <xf numFmtId="3" fontId="11" fillId="0" borderId="37" xfId="174" applyNumberFormat="1" applyFont="1" applyFill="1" applyBorder="1"/>
    <xf numFmtId="0" fontId="11" fillId="0" borderId="83" xfId="171" applyFont="1" applyFill="1" applyBorder="1" applyAlignment="1">
      <alignment wrapText="1"/>
    </xf>
    <xf numFmtId="0" fontId="11" fillId="0" borderId="83" xfId="171" applyFont="1" applyFill="1" applyBorder="1"/>
    <xf numFmtId="0" fontId="11" fillId="0" borderId="38" xfId="171" applyFont="1" applyFill="1" applyBorder="1" applyAlignment="1">
      <alignment wrapText="1"/>
    </xf>
    <xf numFmtId="0" fontId="11" fillId="0" borderId="38" xfId="171" applyFont="1" applyFill="1" applyBorder="1"/>
    <xf numFmtId="3" fontId="11" fillId="0" borderId="38" xfId="171" applyNumberFormat="1" applyFont="1" applyFill="1" applyBorder="1"/>
    <xf numFmtId="0" fontId="11" fillId="0" borderId="15" xfId="171" applyFont="1" applyFill="1" applyBorder="1" applyAlignment="1">
      <alignment wrapText="1"/>
    </xf>
    <xf numFmtId="0" fontId="11" fillId="0" borderId="15" xfId="171" applyFont="1" applyFill="1" applyBorder="1"/>
    <xf numFmtId="0" fontId="11" fillId="0" borderId="0" xfId="0" applyFont="1" applyFill="1"/>
    <xf numFmtId="3" fontId="36" fillId="0" borderId="0" xfId="172" applyNumberFormat="1" applyFont="1" applyFill="1"/>
    <xf numFmtId="0" fontId="11" fillId="0" borderId="11" xfId="171" applyFont="1" applyFill="1" applyBorder="1" applyAlignment="1">
      <alignment wrapText="1"/>
    </xf>
    <xf numFmtId="0" fontId="11" fillId="0" borderId="11" xfId="171" applyFont="1" applyFill="1" applyBorder="1"/>
    <xf numFmtId="3" fontId="11" fillId="0" borderId="11" xfId="171" applyNumberFormat="1" applyFont="1" applyFill="1" applyBorder="1"/>
    <xf numFmtId="0" fontId="11" fillId="0" borderId="0" xfId="171" applyFont="1" applyFill="1"/>
    <xf numFmtId="0" fontId="12" fillId="0" borderId="87" xfId="171" applyFont="1" applyFill="1" applyBorder="1" applyAlignment="1">
      <alignment horizontal="center"/>
    </xf>
    <xf numFmtId="0" fontId="12" fillId="0" borderId="43" xfId="171" applyFont="1" applyFill="1" applyBorder="1" applyAlignment="1">
      <alignment horizontal="left" wrapText="1"/>
    </xf>
    <xf numFmtId="0" fontId="12" fillId="0" borderId="86" xfId="171" applyFont="1" applyFill="1" applyBorder="1" applyAlignment="1">
      <alignment horizontal="left" wrapText="1"/>
    </xf>
    <xf numFmtId="3" fontId="12" fillId="0" borderId="43" xfId="176" applyNumberFormat="1" applyFont="1" applyFill="1" applyBorder="1" applyAlignment="1">
      <alignment horizontal="right" wrapText="1"/>
    </xf>
    <xf numFmtId="0" fontId="12" fillId="0" borderId="36" xfId="171" applyFont="1" applyFill="1" applyBorder="1" applyAlignment="1">
      <alignment horizontal="left"/>
    </xf>
    <xf numFmtId="0" fontId="12" fillId="0" borderId="11" xfId="171" applyFont="1" applyFill="1" applyBorder="1" applyAlignment="1">
      <alignment horizontal="left" wrapText="1"/>
    </xf>
    <xf numFmtId="0" fontId="12" fillId="0" borderId="11" xfId="171" applyFont="1" applyFill="1" applyBorder="1" applyAlignment="1">
      <alignment horizontal="left"/>
    </xf>
    <xf numFmtId="0" fontId="12" fillId="0" borderId="0" xfId="0" applyFont="1" applyFill="1"/>
    <xf numFmtId="3" fontId="12" fillId="0" borderId="38" xfId="171" applyNumberFormat="1" applyFont="1" applyFill="1" applyBorder="1"/>
    <xf numFmtId="0" fontId="12" fillId="0" borderId="15" xfId="171" applyFont="1" applyFill="1" applyBorder="1"/>
    <xf numFmtId="3" fontId="12" fillId="0" borderId="15" xfId="171" applyNumberFormat="1" applyFont="1" applyFill="1" applyBorder="1"/>
    <xf numFmtId="3" fontId="11" fillId="0" borderId="0" xfId="171" applyNumberFormat="1" applyFont="1" applyFill="1"/>
    <xf numFmtId="0" fontId="12" fillId="0" borderId="87" xfId="171" applyFont="1" applyFill="1" applyBorder="1" applyAlignment="1">
      <alignment wrapText="1"/>
    </xf>
    <xf numFmtId="3" fontId="12" fillId="0" borderId="10" xfId="171" applyNumberFormat="1" applyFont="1" applyFill="1" applyBorder="1" applyAlignment="1">
      <alignment horizontal="center"/>
    </xf>
    <xf numFmtId="0" fontId="11" fillId="0" borderId="36" xfId="171" applyFont="1" applyFill="1" applyBorder="1"/>
    <xf numFmtId="3" fontId="58" fillId="0" borderId="60" xfId="200" applyNumberFormat="1" applyFont="1" applyFill="1" applyBorder="1" applyAlignment="1">
      <alignment horizontal="center" vertical="center" wrapText="1"/>
    </xf>
    <xf numFmtId="3" fontId="58" fillId="0" borderId="114" xfId="200" applyNumberFormat="1" applyFont="1" applyFill="1" applyBorder="1" applyAlignment="1">
      <alignment horizontal="center" vertical="center" wrapText="1"/>
    </xf>
    <xf numFmtId="3" fontId="58" fillId="0" borderId="88" xfId="200" applyNumberFormat="1" applyFont="1" applyFill="1" applyBorder="1" applyAlignment="1">
      <alignment horizontal="center" vertical="center" wrapText="1"/>
    </xf>
    <xf numFmtId="3" fontId="58" fillId="0" borderId="41" xfId="200" applyNumberFormat="1" applyFont="1" applyFill="1" applyBorder="1" applyAlignment="1">
      <alignment horizontal="center" vertical="center" wrapText="1"/>
    </xf>
    <xf numFmtId="3" fontId="56" fillId="0" borderId="41" xfId="200" applyNumberFormat="1" applyFont="1" applyFill="1" applyBorder="1" applyAlignment="1">
      <alignment horizontal="center" vertical="center" wrapText="1"/>
    </xf>
    <xf numFmtId="3" fontId="59" fillId="0" borderId="41" xfId="200" applyNumberFormat="1" applyFont="1" applyFill="1" applyBorder="1" applyAlignment="1">
      <alignment horizontal="center" vertical="center" wrapText="1"/>
    </xf>
    <xf numFmtId="3" fontId="58" fillId="0" borderId="40" xfId="200" applyNumberFormat="1" applyFont="1" applyFill="1" applyBorder="1" applyAlignment="1">
      <alignment horizontal="center" vertical="center" wrapText="1"/>
    </xf>
    <xf numFmtId="3" fontId="42" fillId="0" borderId="10" xfId="200" applyNumberFormat="1" applyFont="1" applyFill="1" applyBorder="1" applyAlignment="1">
      <alignment horizontal="right"/>
    </xf>
    <xf numFmtId="3" fontId="57" fillId="0" borderId="14" xfId="199" applyNumberFormat="1" applyFont="1" applyFill="1" applyBorder="1" applyAlignment="1">
      <alignment horizontal="center" wrapText="1"/>
    </xf>
    <xf numFmtId="3" fontId="56" fillId="0" borderId="41" xfId="200" applyNumberFormat="1" applyFont="1" applyFill="1" applyBorder="1" applyAlignment="1">
      <alignment horizontal="center"/>
    </xf>
    <xf numFmtId="3" fontId="56" fillId="0" borderId="10" xfId="200" applyNumberFormat="1" applyFont="1" applyFill="1" applyBorder="1" applyAlignment="1">
      <alignment horizontal="center"/>
    </xf>
    <xf numFmtId="3" fontId="42" fillId="0" borderId="36" xfId="200" applyNumberFormat="1" applyFont="1" applyFill="1" applyBorder="1" applyAlignment="1">
      <alignment horizontal="right"/>
    </xf>
    <xf numFmtId="3" fontId="50" fillId="0" borderId="36" xfId="200" applyNumberFormat="1" applyFont="1" applyFill="1" applyBorder="1" applyAlignment="1">
      <alignment horizontal="right"/>
    </xf>
    <xf numFmtId="3" fontId="13" fillId="0" borderId="39" xfId="199" applyNumberFormat="1" applyFont="1" applyFill="1" applyBorder="1" applyAlignment="1">
      <alignment wrapText="1"/>
    </xf>
    <xf numFmtId="3" fontId="55" fillId="0" borderId="39" xfId="199" applyNumberFormat="1" applyFont="1" applyFill="1" applyBorder="1" applyAlignment="1">
      <alignment wrapText="1"/>
    </xf>
    <xf numFmtId="3" fontId="11" fillId="0" borderId="39" xfId="199" applyNumberFormat="1" applyFont="1" applyFill="1" applyBorder="1" applyAlignment="1">
      <alignment wrapText="1"/>
    </xf>
    <xf numFmtId="3" fontId="54" fillId="0" borderId="14" xfId="199" applyNumberFormat="1" applyFont="1" applyFill="1" applyBorder="1" applyAlignment="1">
      <alignment wrapText="1"/>
    </xf>
    <xf numFmtId="3" fontId="50" fillId="0" borderId="11" xfId="200" applyNumberFormat="1" applyFont="1" applyFill="1" applyBorder="1" applyAlignment="1">
      <alignment horizontal="right"/>
    </xf>
    <xf numFmtId="3" fontId="13" fillId="0" borderId="21" xfId="199" applyNumberFormat="1" applyFont="1" applyFill="1" applyBorder="1" applyAlignment="1">
      <alignment wrapText="1"/>
    </xf>
    <xf numFmtId="3" fontId="55" fillId="0" borderId="21" xfId="199" applyNumberFormat="1" applyFont="1" applyFill="1" applyBorder="1" applyAlignment="1">
      <alignment wrapText="1"/>
    </xf>
    <xf numFmtId="3" fontId="11" fillId="0" borderId="21" xfId="199" applyNumberFormat="1" applyFont="1" applyFill="1" applyBorder="1" applyAlignment="1">
      <alignment wrapText="1"/>
    </xf>
    <xf numFmtId="3" fontId="42" fillId="0" borderId="127" xfId="200" applyNumberFormat="1" applyFont="1" applyFill="1" applyBorder="1" applyAlignment="1">
      <alignment horizontal="right"/>
    </xf>
    <xf numFmtId="3" fontId="50" fillId="0" borderId="49" xfId="200" applyNumberFormat="1" applyFont="1" applyFill="1" applyBorder="1" applyAlignment="1">
      <alignment horizontal="right"/>
    </xf>
    <xf numFmtId="3" fontId="13" fillId="0" borderId="135" xfId="199" applyNumberFormat="1" applyFont="1" applyFill="1" applyBorder="1" applyAlignment="1">
      <alignment wrapText="1"/>
    </xf>
    <xf numFmtId="3" fontId="55" fillId="0" borderId="135" xfId="199" applyNumberFormat="1" applyFont="1" applyFill="1" applyBorder="1" applyAlignment="1">
      <alignment wrapText="1"/>
    </xf>
    <xf numFmtId="3" fontId="50" fillId="0" borderId="127" xfId="200" applyNumberFormat="1" applyFont="1" applyFill="1" applyBorder="1" applyAlignment="1">
      <alignment horizontal="right"/>
    </xf>
    <xf numFmtId="3" fontId="11" fillId="0" borderId="134" xfId="199" applyNumberFormat="1" applyFont="1" applyFill="1" applyBorder="1" applyAlignment="1">
      <alignment wrapText="1"/>
    </xf>
    <xf numFmtId="3" fontId="11" fillId="0" borderId="135" xfId="199" applyNumberFormat="1" applyFont="1" applyFill="1" applyBorder="1" applyAlignment="1">
      <alignment wrapText="1"/>
    </xf>
    <xf numFmtId="3" fontId="42" fillId="0" borderId="11" xfId="200" applyNumberFormat="1" applyFont="1" applyFill="1" applyBorder="1" applyAlignment="1">
      <alignment horizontal="right"/>
    </xf>
    <xf numFmtId="3" fontId="13" fillId="0" borderId="134" xfId="199" applyNumberFormat="1" applyFont="1" applyFill="1" applyBorder="1" applyAlignment="1">
      <alignment wrapText="1"/>
    </xf>
    <xf numFmtId="3" fontId="55" fillId="0" borderId="38" xfId="199" applyNumberFormat="1" applyFont="1" applyFill="1" applyBorder="1" applyAlignment="1">
      <alignment wrapText="1"/>
    </xf>
    <xf numFmtId="3" fontId="11" fillId="0" borderId="38" xfId="199" applyNumberFormat="1" applyFont="1" applyFill="1" applyBorder="1" applyAlignment="1">
      <alignment wrapText="1"/>
    </xf>
    <xf numFmtId="3" fontId="13" fillId="0" borderId="38" xfId="199" applyNumberFormat="1" applyFont="1" applyFill="1" applyBorder="1" applyAlignment="1">
      <alignment wrapText="1"/>
    </xf>
    <xf numFmtId="3" fontId="11" fillId="0" borderId="11" xfId="199" applyNumberFormat="1" applyFont="1" applyFill="1" applyBorder="1" applyAlignment="1">
      <alignment wrapText="1"/>
    </xf>
    <xf numFmtId="3" fontId="13" fillId="0" borderId="11" xfId="199" applyNumberFormat="1" applyFont="1" applyFill="1" applyBorder="1" applyAlignment="1">
      <alignment wrapText="1"/>
    </xf>
    <xf numFmtId="3" fontId="55" fillId="0" borderId="11" xfId="199" applyNumberFormat="1" applyFont="1" applyFill="1" applyBorder="1" applyAlignment="1">
      <alignment wrapText="1"/>
    </xf>
    <xf numFmtId="3" fontId="42" fillId="0" borderId="43" xfId="200" applyNumberFormat="1" applyFont="1" applyFill="1" applyBorder="1" applyAlignment="1">
      <alignment horizontal="right"/>
    </xf>
    <xf numFmtId="3" fontId="54" fillId="0" borderId="104" xfId="199" applyNumberFormat="1" applyFont="1" applyFill="1" applyBorder="1" applyAlignment="1">
      <alignment wrapText="1"/>
    </xf>
    <xf numFmtId="3" fontId="42" fillId="0" borderId="83" xfId="200" applyNumberFormat="1" applyFont="1" applyFill="1" applyBorder="1" applyAlignment="1">
      <alignment horizontal="right"/>
    </xf>
    <xf numFmtId="3" fontId="50" fillId="0" borderId="136" xfId="200" applyNumberFormat="1" applyFont="1" applyFill="1" applyBorder="1" applyAlignment="1">
      <alignment horizontal="right"/>
    </xf>
    <xf numFmtId="3" fontId="55" fillId="0" borderId="134" xfId="199" applyNumberFormat="1" applyFont="1" applyFill="1" applyBorder="1" applyAlignment="1">
      <alignment wrapText="1"/>
    </xf>
    <xf numFmtId="3" fontId="50" fillId="0" borderId="107" xfId="200" applyNumberFormat="1" applyFont="1" applyFill="1" applyBorder="1" applyAlignment="1">
      <alignment horizontal="right"/>
    </xf>
    <xf numFmtId="3" fontId="50" fillId="0" borderId="83" xfId="200" applyNumberFormat="1" applyFont="1" applyFill="1" applyBorder="1" applyAlignment="1">
      <alignment horizontal="right"/>
    </xf>
    <xf numFmtId="3" fontId="11" fillId="0" borderId="48" xfId="199" applyNumberFormat="1" applyFont="1" applyFill="1" applyBorder="1" applyAlignment="1">
      <alignment wrapText="1"/>
    </xf>
    <xf numFmtId="3" fontId="13" fillId="0" borderId="48" xfId="199" applyNumberFormat="1" applyFont="1" applyFill="1" applyBorder="1" applyAlignment="1">
      <alignment wrapText="1"/>
    </xf>
    <xf numFmtId="3" fontId="55" fillId="0" borderId="48" xfId="199" applyNumberFormat="1" applyFont="1" applyFill="1" applyBorder="1" applyAlignment="1">
      <alignment wrapText="1"/>
    </xf>
    <xf numFmtId="3" fontId="41" fillId="0" borderId="11" xfId="200" applyNumberFormat="1" applyFont="1" applyFill="1" applyBorder="1" applyAlignment="1">
      <alignment horizontal="right"/>
    </xf>
    <xf numFmtId="3" fontId="44" fillId="0" borderId="104" xfId="199" applyNumberFormat="1" applyFont="1" applyFill="1" applyBorder="1" applyAlignment="1">
      <alignment wrapText="1"/>
    </xf>
    <xf numFmtId="3" fontId="41" fillId="0" borderId="36" xfId="200" applyNumberFormat="1" applyFont="1" applyFill="1" applyBorder="1" applyAlignment="1">
      <alignment horizontal="right"/>
    </xf>
    <xf numFmtId="3" fontId="12" fillId="0" borderId="39" xfId="199" applyNumberFormat="1" applyFont="1" applyFill="1" applyBorder="1" applyAlignment="1">
      <alignment wrapText="1"/>
    </xf>
    <xf numFmtId="3" fontId="54" fillId="0" borderId="39" xfId="199" applyNumberFormat="1" applyFont="1" applyFill="1" applyBorder="1" applyAlignment="1">
      <alignment wrapText="1"/>
    </xf>
    <xf numFmtId="3" fontId="44" fillId="0" borderId="39" xfId="199" applyNumberFormat="1" applyFont="1" applyFill="1" applyBorder="1" applyAlignment="1">
      <alignment wrapText="1"/>
    </xf>
    <xf numFmtId="3" fontId="68" fillId="0" borderId="0" xfId="265" applyNumberFormat="1" applyFont="1" applyFill="1"/>
    <xf numFmtId="3" fontId="53" fillId="0" borderId="21" xfId="199" applyNumberFormat="1" applyFont="1" applyFill="1" applyBorder="1" applyAlignment="1">
      <alignment wrapText="1"/>
    </xf>
    <xf numFmtId="3" fontId="53" fillId="0" borderId="39" xfId="199" applyNumberFormat="1" applyFont="1" applyFill="1" applyBorder="1" applyAlignment="1">
      <alignment wrapText="1"/>
    </xf>
    <xf numFmtId="3" fontId="69" fillId="0" borderId="0" xfId="265" applyNumberFormat="1" applyFont="1" applyFill="1"/>
    <xf numFmtId="3" fontId="53" fillId="0" borderId="37" xfId="199" applyNumberFormat="1" applyFont="1" applyFill="1" applyBorder="1" applyAlignment="1">
      <alignment wrapText="1"/>
    </xf>
    <xf numFmtId="3" fontId="53" fillId="0" borderId="134" xfId="199" applyNumberFormat="1" applyFont="1" applyFill="1" applyBorder="1" applyAlignment="1">
      <alignment wrapText="1"/>
    </xf>
    <xf numFmtId="3" fontId="53" fillId="0" borderId="43" xfId="199" applyNumberFormat="1" applyFont="1" applyFill="1" applyBorder="1" applyAlignment="1">
      <alignment wrapText="1"/>
    </xf>
    <xf numFmtId="3" fontId="53" fillId="0" borderId="38" xfId="199" applyNumberFormat="1" applyFont="1" applyFill="1" applyBorder="1" applyAlignment="1">
      <alignment wrapText="1"/>
    </xf>
    <xf numFmtId="3" fontId="53" fillId="0" borderId="104" xfId="199" applyNumberFormat="1" applyFont="1" applyFill="1" applyBorder="1" applyAlignment="1">
      <alignment wrapText="1"/>
    </xf>
    <xf numFmtId="3" fontId="53" fillId="0" borderId="48" xfId="199" applyNumberFormat="1" applyFont="1" applyFill="1" applyBorder="1" applyAlignment="1">
      <alignment wrapText="1"/>
    </xf>
    <xf numFmtId="3" fontId="70" fillId="0" borderId="0" xfId="265" applyNumberFormat="1" applyFont="1" applyFill="1"/>
    <xf numFmtId="3" fontId="68" fillId="0" borderId="0" xfId="265" applyNumberFormat="1" applyFont="1" applyFill="1" applyAlignment="1">
      <alignment horizontal="right"/>
    </xf>
    <xf numFmtId="3" fontId="11" fillId="0" borderId="0" xfId="196" applyNumberFormat="1" applyFont="1" applyFill="1"/>
    <xf numFmtId="0" fontId="34" fillId="0" borderId="10" xfId="200" applyFont="1" applyFill="1" applyBorder="1" applyAlignment="1">
      <alignment horizontal="center"/>
    </xf>
    <xf numFmtId="0" fontId="58" fillId="0" borderId="14" xfId="199" applyFont="1" applyFill="1" applyBorder="1" applyAlignment="1">
      <alignment horizontal="center" vertical="center" wrapText="1"/>
    </xf>
    <xf numFmtId="3" fontId="58" fillId="0" borderId="14" xfId="200" applyNumberFormat="1" applyFont="1" applyFill="1" applyBorder="1" applyAlignment="1">
      <alignment horizontal="center" vertical="center" wrapText="1"/>
    </xf>
    <xf numFmtId="3" fontId="58" fillId="0" borderId="10" xfId="200" applyNumberFormat="1" applyFont="1" applyFill="1" applyBorder="1" applyAlignment="1">
      <alignment horizontal="center" vertical="center" wrapText="1"/>
    </xf>
    <xf numFmtId="3" fontId="58" fillId="0" borderId="35" xfId="200" applyNumberFormat="1" applyFont="1" applyFill="1" applyBorder="1" applyAlignment="1">
      <alignment horizontal="center" vertical="center" wrapText="1"/>
    </xf>
    <xf numFmtId="3" fontId="58" fillId="0" borderId="80" xfId="200" applyNumberFormat="1" applyFont="1" applyFill="1" applyBorder="1" applyAlignment="1">
      <alignment horizontal="center" vertical="center" wrapText="1"/>
    </xf>
    <xf numFmtId="0" fontId="58" fillId="0" borderId="10" xfId="200" applyFont="1" applyFill="1" applyBorder="1" applyAlignment="1">
      <alignment horizontal="center" vertical="center" wrapText="1"/>
    </xf>
    <xf numFmtId="0" fontId="61" fillId="0" borderId="10" xfId="200" applyFont="1" applyFill="1" applyBorder="1" applyAlignment="1">
      <alignment horizontal="center"/>
    </xf>
    <xf numFmtId="0" fontId="42" fillId="0" borderId="36" xfId="200" applyFont="1" applyFill="1" applyBorder="1"/>
    <xf numFmtId="0" fontId="13" fillId="0" borderId="36" xfId="200" applyFont="1" applyFill="1" applyBorder="1"/>
    <xf numFmtId="0" fontId="13" fillId="0" borderId="39" xfId="199" applyFont="1" applyFill="1" applyBorder="1" applyAlignment="1">
      <alignment wrapText="1"/>
    </xf>
    <xf numFmtId="3" fontId="13" fillId="0" borderId="34" xfId="200" applyNumberFormat="1" applyFont="1" applyFill="1" applyBorder="1"/>
    <xf numFmtId="3" fontId="13" fillId="0" borderId="24" xfId="200" applyNumberFormat="1" applyFont="1" applyFill="1" applyBorder="1"/>
    <xf numFmtId="3" fontId="13" fillId="0" borderId="65" xfId="200" applyNumberFormat="1" applyFont="1" applyFill="1" applyBorder="1"/>
    <xf numFmtId="3" fontId="13" fillId="0" borderId="11" xfId="200" applyNumberFormat="1" applyFont="1" applyFill="1" applyBorder="1"/>
    <xf numFmtId="3" fontId="13" fillId="0" borderId="81" xfId="200" applyNumberFormat="1" applyFont="1" applyFill="1" applyBorder="1"/>
    <xf numFmtId="3" fontId="13" fillId="0" borderId="74" xfId="200" applyNumberFormat="1" applyFont="1" applyFill="1" applyBorder="1"/>
    <xf numFmtId="3" fontId="13" fillId="0" borderId="38" xfId="200" applyNumberFormat="1" applyFont="1" applyFill="1" applyBorder="1"/>
    <xf numFmtId="0" fontId="13" fillId="0" borderId="0" xfId="196" applyFont="1" applyFill="1"/>
    <xf numFmtId="0" fontId="42" fillId="0" borderId="10" xfId="200" applyFont="1" applyFill="1" applyBorder="1"/>
    <xf numFmtId="3" fontId="13" fillId="0" borderId="20" xfId="200" applyNumberFormat="1" applyFont="1" applyFill="1" applyBorder="1"/>
    <xf numFmtId="3" fontId="11" fillId="0" borderId="11" xfId="200" applyNumberFormat="1" applyFont="1" applyFill="1" applyBorder="1"/>
    <xf numFmtId="3" fontId="11" fillId="0" borderId="38" xfId="200" applyNumberFormat="1" applyFont="1" applyFill="1" applyBorder="1"/>
    <xf numFmtId="3" fontId="13" fillId="0" borderId="63" xfId="200" applyNumberFormat="1" applyFont="1" applyFill="1" applyBorder="1"/>
    <xf numFmtId="3" fontId="13" fillId="0" borderId="23" xfId="200" applyNumberFormat="1" applyFont="1" applyFill="1" applyBorder="1"/>
    <xf numFmtId="3" fontId="13" fillId="0" borderId="36" xfId="200" applyNumberFormat="1" applyFont="1" applyFill="1" applyBorder="1"/>
    <xf numFmtId="3" fontId="11" fillId="0" borderId="36" xfId="200" applyNumberFormat="1" applyFont="1" applyFill="1" applyBorder="1"/>
    <xf numFmtId="0" fontId="11" fillId="0" borderId="36" xfId="200" applyFont="1" applyFill="1" applyBorder="1"/>
    <xf numFmtId="3" fontId="11" fillId="0" borderId="34" xfId="200" applyNumberFormat="1" applyFont="1" applyFill="1" applyBorder="1"/>
    <xf numFmtId="3" fontId="11" fillId="0" borderId="24" xfId="200" applyNumberFormat="1" applyFont="1" applyFill="1" applyBorder="1"/>
    <xf numFmtId="3" fontId="11" fillId="0" borderId="65" xfId="200" applyNumberFormat="1" applyFont="1" applyFill="1" applyBorder="1"/>
    <xf numFmtId="3" fontId="11" fillId="0" borderId="81" xfId="200" applyNumberFormat="1" applyFont="1" applyFill="1" applyBorder="1"/>
    <xf numFmtId="3" fontId="11" fillId="0" borderId="74" xfId="200" applyNumberFormat="1" applyFont="1" applyFill="1" applyBorder="1"/>
    <xf numFmtId="3" fontId="11" fillId="0" borderId="20" xfId="200" applyNumberFormat="1" applyFont="1" applyFill="1" applyBorder="1"/>
    <xf numFmtId="0" fontId="42" fillId="0" borderId="43" xfId="200" applyFont="1" applyFill="1" applyBorder="1"/>
    <xf numFmtId="0" fontId="13" fillId="0" borderId="127" xfId="200" applyFont="1" applyFill="1" applyBorder="1"/>
    <xf numFmtId="0" fontId="13" fillId="0" borderId="134" xfId="199" applyFont="1" applyFill="1" applyBorder="1" applyAlignment="1">
      <alignment wrapText="1"/>
    </xf>
    <xf numFmtId="3" fontId="13" fillId="0" borderId="128" xfId="200" applyNumberFormat="1" applyFont="1" applyFill="1" applyBorder="1"/>
    <xf numFmtId="3" fontId="13" fillId="0" borderId="124" xfId="200" applyNumberFormat="1" applyFont="1" applyFill="1" applyBorder="1"/>
    <xf numFmtId="3" fontId="13" fillId="0" borderId="129" xfId="200" applyNumberFormat="1" applyFont="1" applyFill="1" applyBorder="1"/>
    <xf numFmtId="3" fontId="13" fillId="0" borderId="127" xfId="200" applyNumberFormat="1" applyFont="1" applyFill="1" applyBorder="1"/>
    <xf numFmtId="3" fontId="13" fillId="0" borderId="130" xfId="200" applyNumberFormat="1" applyFont="1" applyFill="1" applyBorder="1"/>
    <xf numFmtId="0" fontId="13" fillId="0" borderId="49" xfId="200" applyFont="1" applyFill="1" applyBorder="1"/>
    <xf numFmtId="0" fontId="13" fillId="0" borderId="135" xfId="199" applyFont="1" applyFill="1" applyBorder="1" applyAlignment="1">
      <alignment wrapText="1"/>
    </xf>
    <xf numFmtId="3" fontId="13" fillId="0" borderId="138" xfId="200" applyNumberFormat="1" applyFont="1" applyFill="1" applyBorder="1"/>
    <xf numFmtId="3" fontId="13" fillId="0" borderId="122" xfId="200" applyNumberFormat="1" applyFont="1" applyFill="1" applyBorder="1"/>
    <xf numFmtId="3" fontId="13" fillId="0" borderId="133" xfId="200" applyNumberFormat="1" applyFont="1" applyFill="1" applyBorder="1"/>
    <xf numFmtId="3" fontId="13" fillId="0" borderId="49" xfId="200" applyNumberFormat="1" applyFont="1" applyFill="1" applyBorder="1"/>
    <xf numFmtId="3" fontId="13" fillId="0" borderId="108" xfId="200" applyNumberFormat="1" applyFont="1" applyFill="1" applyBorder="1"/>
    <xf numFmtId="0" fontId="42" fillId="0" borderId="127" xfId="200" applyFont="1" applyFill="1" applyBorder="1"/>
    <xf numFmtId="0" fontId="42" fillId="0" borderId="49" xfId="200" applyFont="1" applyFill="1" applyBorder="1"/>
    <xf numFmtId="0" fontId="42" fillId="0" borderId="11" xfId="200" applyFont="1" applyFill="1" applyBorder="1"/>
    <xf numFmtId="0" fontId="13" fillId="0" borderId="11" xfId="200" applyFont="1" applyFill="1" applyBorder="1"/>
    <xf numFmtId="3" fontId="11" fillId="0" borderId="63" xfId="200" applyNumberFormat="1" applyFont="1" applyFill="1" applyBorder="1"/>
    <xf numFmtId="3" fontId="11" fillId="0" borderId="23" xfId="200" applyNumberFormat="1" applyFont="1" applyFill="1" applyBorder="1"/>
    <xf numFmtId="3" fontId="11" fillId="0" borderId="64" xfId="200" applyNumberFormat="1" applyFont="1" applyFill="1" applyBorder="1"/>
    <xf numFmtId="3" fontId="11" fillId="0" borderId="19" xfId="200" applyNumberFormat="1" applyFont="1" applyFill="1" applyBorder="1"/>
    <xf numFmtId="3" fontId="13" fillId="0" borderId="19" xfId="200" applyNumberFormat="1" applyFont="1" applyFill="1" applyBorder="1"/>
    <xf numFmtId="3" fontId="13" fillId="0" borderId="64" xfId="200" applyNumberFormat="1" applyFont="1" applyFill="1" applyBorder="1"/>
    <xf numFmtId="0" fontId="13" fillId="0" borderId="21" xfId="199" applyFont="1" applyFill="1" applyBorder="1" applyAlignment="1">
      <alignment wrapText="1"/>
    </xf>
    <xf numFmtId="0" fontId="13" fillId="0" borderId="11" xfId="199" applyFont="1" applyFill="1" applyBorder="1" applyAlignment="1">
      <alignment wrapText="1"/>
    </xf>
    <xf numFmtId="0" fontId="13" fillId="0" borderId="15" xfId="200" applyFont="1" applyFill="1" applyBorder="1"/>
    <xf numFmtId="3" fontId="11" fillId="0" borderId="111" xfId="200" applyNumberFormat="1" applyFont="1" applyFill="1" applyBorder="1"/>
    <xf numFmtId="3" fontId="11" fillId="0" borderId="28" xfId="200" applyNumberFormat="1" applyFont="1" applyFill="1" applyBorder="1"/>
    <xf numFmtId="3" fontId="11" fillId="0" borderId="139" xfId="200" applyNumberFormat="1" applyFont="1" applyFill="1" applyBorder="1"/>
    <xf numFmtId="3" fontId="11" fillId="0" borderId="15" xfId="200" applyNumberFormat="1" applyFont="1" applyFill="1" applyBorder="1"/>
    <xf numFmtId="3" fontId="11" fillId="0" borderId="99" xfId="200" applyNumberFormat="1" applyFont="1" applyFill="1" applyBorder="1"/>
    <xf numFmtId="3" fontId="11" fillId="0" borderId="128" xfId="200" applyNumberFormat="1" applyFont="1" applyFill="1" applyBorder="1"/>
    <xf numFmtId="3" fontId="11" fillId="0" borderId="124" xfId="200" applyNumberFormat="1" applyFont="1" applyFill="1" applyBorder="1"/>
    <xf numFmtId="3" fontId="11" fillId="0" borderId="129" xfId="200" applyNumberFormat="1" applyFont="1" applyFill="1" applyBorder="1"/>
    <xf numFmtId="3" fontId="11" fillId="0" borderId="127" xfId="200" applyNumberFormat="1" applyFont="1" applyFill="1" applyBorder="1"/>
    <xf numFmtId="3" fontId="11" fillId="0" borderId="138" xfId="200" applyNumberFormat="1" applyFont="1" applyFill="1" applyBorder="1"/>
    <xf numFmtId="3" fontId="11" fillId="0" borderId="122" xfId="200" applyNumberFormat="1" applyFont="1" applyFill="1" applyBorder="1"/>
    <xf numFmtId="3" fontId="11" fillId="0" borderId="133" xfId="200" applyNumberFormat="1" applyFont="1" applyFill="1" applyBorder="1"/>
    <xf numFmtId="3" fontId="11" fillId="0" borderId="49" xfId="200" applyNumberFormat="1" applyFont="1" applyFill="1" applyBorder="1"/>
    <xf numFmtId="3" fontId="11" fillId="0" borderId="108" xfId="200" applyNumberFormat="1" applyFont="1" applyFill="1" applyBorder="1"/>
    <xf numFmtId="3" fontId="13" fillId="0" borderId="116" xfId="200" applyNumberFormat="1" applyFont="1" applyFill="1" applyBorder="1"/>
    <xf numFmtId="3" fontId="13" fillId="0" borderId="25" xfId="200" applyNumberFormat="1" applyFont="1" applyFill="1" applyBorder="1"/>
    <xf numFmtId="3" fontId="13" fillId="0" borderId="21" xfId="200" applyNumberFormat="1" applyFont="1" applyFill="1" applyBorder="1"/>
    <xf numFmtId="3" fontId="13" fillId="0" borderId="26" xfId="200" applyNumberFormat="1" applyFont="1" applyFill="1" applyBorder="1"/>
    <xf numFmtId="3" fontId="11" fillId="0" borderId="26" xfId="200" applyNumberFormat="1" applyFont="1" applyFill="1" applyBorder="1"/>
    <xf numFmtId="3" fontId="11" fillId="0" borderId="21" xfId="200" applyNumberFormat="1" applyFont="1" applyFill="1" applyBorder="1"/>
    <xf numFmtId="3" fontId="11" fillId="0" borderId="25" xfId="200" applyNumberFormat="1" applyFont="1" applyFill="1" applyBorder="1"/>
    <xf numFmtId="0" fontId="13" fillId="0" borderId="83" xfId="200" applyFont="1" applyFill="1" applyBorder="1"/>
    <xf numFmtId="3" fontId="13" fillId="0" borderId="117" xfId="200" applyNumberFormat="1" applyFont="1" applyFill="1" applyBorder="1"/>
    <xf numFmtId="3" fontId="13" fillId="0" borderId="115" xfId="200" applyNumberFormat="1" applyFont="1" applyFill="1" applyBorder="1"/>
    <xf numFmtId="3" fontId="13" fillId="0" borderId="73" xfId="200" applyNumberFormat="1" applyFont="1" applyFill="1" applyBorder="1"/>
    <xf numFmtId="0" fontId="11" fillId="0" borderId="11" xfId="200" applyFont="1" applyFill="1" applyBorder="1"/>
    <xf numFmtId="0" fontId="13" fillId="0" borderId="48" xfId="199" applyFont="1" applyFill="1" applyBorder="1" applyAlignment="1">
      <alignment wrapText="1"/>
    </xf>
    <xf numFmtId="3" fontId="13" fillId="0" borderId="83" xfId="200" applyNumberFormat="1" applyFont="1" applyFill="1" applyBorder="1"/>
    <xf numFmtId="0" fontId="11" fillId="0" borderId="39" xfId="199" applyFont="1" applyFill="1" applyBorder="1" applyAlignment="1">
      <alignment wrapText="1"/>
    </xf>
    <xf numFmtId="0" fontId="42" fillId="0" borderId="79" xfId="200" applyFont="1" applyFill="1" applyBorder="1"/>
    <xf numFmtId="0" fontId="44" fillId="0" borderId="104" xfId="199" applyFont="1" applyFill="1" applyBorder="1" applyAlignment="1">
      <alignment wrapText="1"/>
    </xf>
    <xf numFmtId="0" fontId="12" fillId="0" borderId="11" xfId="200" applyFont="1" applyFill="1" applyBorder="1"/>
    <xf numFmtId="0" fontId="12" fillId="0" borderId="39" xfId="199" applyFont="1" applyFill="1" applyBorder="1" applyAlignment="1">
      <alignment wrapText="1"/>
    </xf>
    <xf numFmtId="3" fontId="12" fillId="0" borderId="34" xfId="200" applyNumberFormat="1" applyFont="1" applyFill="1" applyBorder="1"/>
    <xf numFmtId="3" fontId="12" fillId="0" borderId="11" xfId="200" applyNumberFormat="1" applyFont="1" applyFill="1" applyBorder="1"/>
    <xf numFmtId="0" fontId="12" fillId="0" borderId="0" xfId="196" applyFont="1" applyFill="1"/>
    <xf numFmtId="3" fontId="44" fillId="0" borderId="21" xfId="199" applyNumberFormat="1" applyFont="1" applyFill="1" applyBorder="1" applyAlignment="1">
      <alignment wrapText="1"/>
    </xf>
    <xf numFmtId="3" fontId="12" fillId="0" borderId="65" xfId="200" applyNumberFormat="1" applyFont="1" applyFill="1" applyBorder="1"/>
    <xf numFmtId="3" fontId="12" fillId="0" borderId="20" xfId="200" applyNumberFormat="1" applyFont="1" applyFill="1" applyBorder="1"/>
    <xf numFmtId="0" fontId="12" fillId="0" borderId="127" xfId="200" applyFont="1" applyFill="1" applyBorder="1"/>
    <xf numFmtId="0" fontId="12" fillId="0" borderId="134" xfId="199" applyFont="1" applyFill="1" applyBorder="1" applyAlignment="1">
      <alignment wrapText="1"/>
    </xf>
    <xf numFmtId="3" fontId="12" fillId="0" borderId="128" xfId="200" applyNumberFormat="1" applyFont="1" applyFill="1" applyBorder="1"/>
    <xf numFmtId="3" fontId="12" fillId="0" borderId="127" xfId="200" applyNumberFormat="1" applyFont="1" applyFill="1" applyBorder="1"/>
    <xf numFmtId="0" fontId="12" fillId="0" borderId="49" xfId="200" applyFont="1" applyFill="1" applyBorder="1"/>
    <xf numFmtId="0" fontId="12" fillId="0" borderId="135" xfId="199" applyFont="1" applyFill="1" applyBorder="1" applyAlignment="1">
      <alignment wrapText="1"/>
    </xf>
    <xf numFmtId="3" fontId="12" fillId="0" borderId="138" xfId="200" applyNumberFormat="1" applyFont="1" applyFill="1" applyBorder="1"/>
    <xf numFmtId="3" fontId="12" fillId="0" borderId="49" xfId="200" applyNumberFormat="1" applyFont="1" applyFill="1" applyBorder="1"/>
    <xf numFmtId="0" fontId="44" fillId="0" borderId="39" xfId="199" applyFont="1" applyFill="1" applyBorder="1" applyAlignment="1">
      <alignment wrapText="1"/>
    </xf>
    <xf numFmtId="0" fontId="11" fillId="0" borderId="0" xfId="196" applyFont="1" applyFill="1"/>
    <xf numFmtId="0" fontId="49" fillId="0" borderId="14" xfId="199" applyFont="1" applyFill="1" applyBorder="1" applyAlignment="1">
      <alignment horizontal="center" wrapText="1"/>
    </xf>
    <xf numFmtId="3" fontId="49" fillId="0" borderId="10" xfId="200" applyNumberFormat="1" applyFont="1" applyFill="1" applyBorder="1" applyAlignment="1">
      <alignment horizontal="center"/>
    </xf>
    <xf numFmtId="3" fontId="49" fillId="0" borderId="35" xfId="200" applyNumberFormat="1" applyFont="1" applyFill="1" applyBorder="1" applyAlignment="1">
      <alignment horizontal="center"/>
    </xf>
    <xf numFmtId="3" fontId="71" fillId="0" borderId="10" xfId="200" applyNumberFormat="1" applyFont="1" applyFill="1" applyBorder="1" applyAlignment="1">
      <alignment horizontal="center"/>
    </xf>
    <xf numFmtId="3" fontId="49" fillId="0" borderId="14" xfId="200" applyNumberFormat="1" applyFont="1" applyFill="1" applyBorder="1" applyAlignment="1">
      <alignment horizontal="center"/>
    </xf>
    <xf numFmtId="0" fontId="72" fillId="0" borderId="0" xfId="196" applyFont="1" applyFill="1" applyAlignment="1">
      <alignment horizontal="center"/>
    </xf>
    <xf numFmtId="0" fontId="11" fillId="0" borderId="21" xfId="199" applyFont="1" applyFill="1" applyBorder="1" applyAlignment="1">
      <alignment wrapText="1"/>
    </xf>
    <xf numFmtId="0" fontId="12" fillId="0" borderId="14" xfId="199" applyFont="1" applyFill="1" applyBorder="1" applyAlignment="1">
      <alignment wrapText="1"/>
    </xf>
    <xf numFmtId="3" fontId="12" fillId="0" borderId="10" xfId="200" applyNumberFormat="1" applyFont="1" applyFill="1" applyBorder="1"/>
    <xf numFmtId="0" fontId="11" fillId="0" borderId="37" xfId="199" applyFont="1" applyFill="1" applyBorder="1" applyAlignment="1">
      <alignment wrapText="1"/>
    </xf>
    <xf numFmtId="0" fontId="11" fillId="0" borderId="104" xfId="199" applyFont="1" applyFill="1" applyBorder="1" applyAlignment="1">
      <alignment wrapText="1"/>
    </xf>
    <xf numFmtId="3" fontId="11" fillId="0" borderId="110" xfId="200" applyNumberFormat="1" applyFont="1" applyFill="1" applyBorder="1"/>
    <xf numFmtId="3" fontId="11" fillId="0" borderId="17" xfId="200" applyNumberFormat="1" applyFont="1" applyFill="1" applyBorder="1"/>
    <xf numFmtId="3" fontId="11" fillId="0" borderId="97" xfId="200" applyNumberFormat="1" applyFont="1" applyFill="1" applyBorder="1"/>
    <xf numFmtId="3" fontId="11" fillId="0" borderId="43" xfId="200" applyNumberFormat="1" applyFont="1" applyFill="1" applyBorder="1"/>
    <xf numFmtId="3" fontId="11" fillId="0" borderId="86" xfId="200" applyNumberFormat="1" applyFont="1" applyFill="1" applyBorder="1"/>
    <xf numFmtId="0" fontId="11" fillId="0" borderId="98" xfId="199" applyFont="1" applyFill="1" applyBorder="1" applyAlignment="1">
      <alignment wrapText="1"/>
    </xf>
    <xf numFmtId="0" fontId="11" fillId="0" borderId="134" xfId="199" applyFont="1" applyFill="1" applyBorder="1" applyAlignment="1">
      <alignment wrapText="1"/>
    </xf>
    <xf numFmtId="0" fontId="11" fillId="0" borderId="135" xfId="199" applyFont="1" applyFill="1" applyBorder="1" applyAlignment="1">
      <alignment wrapText="1"/>
    </xf>
    <xf numFmtId="0" fontId="12" fillId="0" borderId="104" xfId="199" applyFont="1" applyFill="1" applyBorder="1" applyAlignment="1">
      <alignment wrapText="1"/>
    </xf>
    <xf numFmtId="3" fontId="12" fillId="0" borderId="86" xfId="200" applyNumberFormat="1" applyFont="1" applyFill="1" applyBorder="1"/>
    <xf numFmtId="3" fontId="12" fillId="0" borderId="17" xfId="200" applyNumberFormat="1" applyFont="1" applyFill="1" applyBorder="1"/>
    <xf numFmtId="3" fontId="12" fillId="0" borderId="97" xfId="200" applyNumberFormat="1" applyFont="1" applyFill="1" applyBorder="1"/>
    <xf numFmtId="3" fontId="12" fillId="0" borderId="43" xfId="200" applyNumberFormat="1" applyFont="1" applyFill="1" applyBorder="1"/>
    <xf numFmtId="3" fontId="12" fillId="0" borderId="110" xfId="200" applyNumberFormat="1" applyFont="1" applyFill="1" applyBorder="1"/>
    <xf numFmtId="3" fontId="11" fillId="0" borderId="130" xfId="200" applyNumberFormat="1" applyFont="1" applyFill="1" applyBorder="1"/>
    <xf numFmtId="3" fontId="11" fillId="0" borderId="72" xfId="200" applyNumberFormat="1" applyFont="1" applyFill="1" applyBorder="1"/>
    <xf numFmtId="3" fontId="11" fillId="0" borderId="73" xfId="200" applyNumberFormat="1" applyFont="1" applyFill="1" applyBorder="1"/>
    <xf numFmtId="0" fontId="12" fillId="0" borderId="10" xfId="199" applyFont="1" applyFill="1" applyBorder="1" applyAlignment="1">
      <alignment wrapText="1"/>
    </xf>
    <xf numFmtId="3" fontId="12" fillId="0" borderId="14" xfId="200" applyNumberFormat="1" applyFont="1" applyFill="1" applyBorder="1"/>
    <xf numFmtId="0" fontId="11" fillId="0" borderId="11" xfId="199" applyFont="1" applyFill="1" applyBorder="1" applyAlignment="1">
      <alignment wrapText="1"/>
    </xf>
    <xf numFmtId="0" fontId="11" fillId="0" borderId="44" xfId="199" applyFont="1" applyFill="1" applyBorder="1" applyAlignment="1">
      <alignment wrapText="1"/>
    </xf>
    <xf numFmtId="3" fontId="11" fillId="0" borderId="140" xfId="200" applyNumberFormat="1" applyFont="1" applyFill="1" applyBorder="1"/>
    <xf numFmtId="3" fontId="11" fillId="0" borderId="141" xfId="200" applyNumberFormat="1" applyFont="1" applyFill="1" applyBorder="1"/>
    <xf numFmtId="3" fontId="11" fillId="0" borderId="142" xfId="200" applyNumberFormat="1" applyFont="1" applyFill="1" applyBorder="1"/>
    <xf numFmtId="3" fontId="11" fillId="0" borderId="79" xfId="200" applyNumberFormat="1" applyFont="1" applyFill="1" applyBorder="1"/>
    <xf numFmtId="3" fontId="11" fillId="0" borderId="106" xfId="200" applyNumberFormat="1" applyFont="1" applyFill="1" applyBorder="1"/>
    <xf numFmtId="3" fontId="73" fillId="0" borderId="0" xfId="196" applyNumberFormat="1" applyFont="1" applyFill="1"/>
    <xf numFmtId="0" fontId="73" fillId="0" borderId="0" xfId="196" applyFont="1" applyFill="1"/>
    <xf numFmtId="0" fontId="58" fillId="0" borderId="35" xfId="199" applyFont="1" applyFill="1" applyBorder="1" applyAlignment="1">
      <alignment horizontal="center" vertical="center" wrapText="1"/>
    </xf>
    <xf numFmtId="3" fontId="37" fillId="0" borderId="10" xfId="266" applyNumberFormat="1" applyFont="1" applyFill="1" applyBorder="1" applyAlignment="1">
      <alignment horizontal="left"/>
    </xf>
    <xf numFmtId="2" fontId="37" fillId="0" borderId="40" xfId="266" applyNumberFormat="1" applyFont="1" applyFill="1" applyBorder="1" applyAlignment="1">
      <alignment horizontal="center"/>
    </xf>
    <xf numFmtId="2" fontId="37" fillId="0" borderId="83" xfId="266" applyNumberFormat="1" applyFont="1" applyFill="1" applyBorder="1" applyAlignment="1">
      <alignment horizontal="center"/>
    </xf>
    <xf numFmtId="2" fontId="37" fillId="0" borderId="10" xfId="266" applyNumberFormat="1" applyFont="1" applyFill="1" applyBorder="1" applyAlignment="1">
      <alignment horizontal="center"/>
    </xf>
    <xf numFmtId="2" fontId="65" fillId="0" borderId="40" xfId="266" applyNumberFormat="1" applyFont="1" applyFill="1" applyBorder="1" applyAlignment="1">
      <alignment horizontal="center"/>
    </xf>
    <xf numFmtId="3" fontId="38" fillId="0" borderId="36" xfId="266" applyNumberFormat="1" applyFont="1" applyFill="1" applyBorder="1" applyAlignment="1">
      <alignment horizontal="left"/>
    </xf>
    <xf numFmtId="4" fontId="38" fillId="0" borderId="22" xfId="267" applyNumberFormat="1" applyFont="1" applyFill="1" applyBorder="1" applyAlignment="1">
      <alignment horizontal="center"/>
    </xf>
    <xf numFmtId="4" fontId="38" fillId="0" borderId="21" xfId="267" applyNumberFormat="1" applyFont="1" applyFill="1" applyBorder="1" applyAlignment="1">
      <alignment horizontal="center"/>
    </xf>
    <xf numFmtId="4" fontId="38" fillId="0" borderId="20" xfId="267" applyNumberFormat="1" applyFont="1" applyFill="1" applyBorder="1" applyAlignment="1">
      <alignment horizontal="center"/>
    </xf>
    <xf numFmtId="4" fontId="38" fillId="0" borderId="91" xfId="267" applyNumberFormat="1" applyFont="1" applyFill="1" applyBorder="1" applyAlignment="1">
      <alignment horizontal="center"/>
    </xf>
    <xf numFmtId="3" fontId="38" fillId="0" borderId="11" xfId="266" applyNumberFormat="1" applyFont="1" applyFill="1" applyBorder="1" applyAlignment="1">
      <alignment horizontal="left" wrapText="1"/>
    </xf>
    <xf numFmtId="4" fontId="38" fillId="0" borderId="12" xfId="267" applyNumberFormat="1" applyFont="1" applyFill="1" applyBorder="1" applyAlignment="1">
      <alignment horizontal="center"/>
    </xf>
    <xf numFmtId="4" fontId="38" fillId="0" borderId="90" xfId="267" applyNumberFormat="1" applyFont="1" applyFill="1" applyBorder="1" applyAlignment="1">
      <alignment horizontal="center"/>
    </xf>
    <xf numFmtId="4" fontId="37" fillId="0" borderId="10" xfId="266" applyNumberFormat="1" applyFont="1" applyFill="1" applyBorder="1" applyAlignment="1">
      <alignment horizontal="center"/>
    </xf>
    <xf numFmtId="4" fontId="37" fillId="0" borderId="40" xfId="266" applyNumberFormat="1" applyFont="1" applyFill="1" applyBorder="1" applyAlignment="1">
      <alignment horizontal="center"/>
    </xf>
    <xf numFmtId="3" fontId="38" fillId="0" borderId="11" xfId="266" applyNumberFormat="1" applyFont="1" applyFill="1" applyBorder="1" applyAlignment="1">
      <alignment horizontal="left"/>
    </xf>
    <xf numFmtId="4" fontId="37" fillId="0" borderId="87" xfId="266" applyNumberFormat="1" applyFont="1" applyFill="1" applyBorder="1" applyAlignment="1">
      <alignment horizontal="center"/>
    </xf>
    <xf numFmtId="3" fontId="38" fillId="0" borderId="12" xfId="266" applyNumberFormat="1" applyFont="1" applyFill="1" applyBorder="1" applyAlignment="1">
      <alignment horizontal="left"/>
    </xf>
    <xf numFmtId="4" fontId="38" fillId="0" borderId="84" xfId="267" applyNumberFormat="1" applyFont="1" applyFill="1" applyBorder="1" applyAlignment="1">
      <alignment horizontal="center"/>
    </xf>
    <xf numFmtId="4" fontId="38" fillId="0" borderId="112" xfId="267" applyNumberFormat="1" applyFont="1" applyFill="1" applyBorder="1" applyAlignment="1">
      <alignment horizontal="center"/>
    </xf>
    <xf numFmtId="4" fontId="38" fillId="0" borderId="43" xfId="267" applyNumberFormat="1" applyFont="1" applyFill="1" applyBorder="1" applyAlignment="1">
      <alignment horizontal="center"/>
    </xf>
    <xf numFmtId="3" fontId="38" fillId="0" borderId="12" xfId="266" applyNumberFormat="1" applyFont="1" applyFill="1" applyBorder="1" applyAlignment="1">
      <alignment horizontal="left" wrapText="1"/>
    </xf>
    <xf numFmtId="4" fontId="38" fillId="0" borderId="56" xfId="267" applyNumberFormat="1" applyFont="1" applyFill="1" applyBorder="1" applyAlignment="1">
      <alignment horizontal="center"/>
    </xf>
    <xf numFmtId="4" fontId="38" fillId="0" borderId="85" xfId="267" applyNumberFormat="1" applyFont="1" applyFill="1" applyBorder="1" applyAlignment="1">
      <alignment horizontal="center"/>
    </xf>
    <xf numFmtId="4" fontId="38" fillId="0" borderId="11" xfId="267" applyNumberFormat="1" applyFont="1" applyFill="1" applyBorder="1" applyAlignment="1">
      <alignment horizontal="center"/>
    </xf>
    <xf numFmtId="3" fontId="38" fillId="0" borderId="12" xfId="266" applyNumberFormat="1" applyFont="1" applyFill="1" applyBorder="1"/>
    <xf numFmtId="4" fontId="38" fillId="0" borderId="119" xfId="267" applyNumberFormat="1" applyFont="1" applyFill="1" applyBorder="1" applyAlignment="1">
      <alignment horizontal="center"/>
    </xf>
    <xf numFmtId="4" fontId="38" fillId="0" borderId="113" xfId="267" applyNumberFormat="1" applyFont="1" applyFill="1" applyBorder="1" applyAlignment="1">
      <alignment horizontal="center"/>
    </xf>
    <xf numFmtId="4" fontId="38" fillId="0" borderId="15" xfId="267" applyNumberFormat="1" applyFont="1" applyFill="1" applyBorder="1" applyAlignment="1">
      <alignment horizontal="center"/>
    </xf>
    <xf numFmtId="4" fontId="38" fillId="0" borderId="104" xfId="267" applyNumberFormat="1" applyFont="1" applyFill="1" applyBorder="1" applyAlignment="1">
      <alignment horizontal="center"/>
    </xf>
    <xf numFmtId="4" fontId="38" fillId="0" borderId="98" xfId="267" applyNumberFormat="1" applyFont="1" applyFill="1" applyBorder="1" applyAlignment="1">
      <alignment horizontal="center"/>
    </xf>
    <xf numFmtId="4" fontId="37" fillId="0" borderId="10" xfId="266" applyNumberFormat="1" applyFont="1" applyFill="1" applyBorder="1" applyAlignment="1">
      <alignment horizontal="left"/>
    </xf>
    <xf numFmtId="3" fontId="38" fillId="0" borderId="22" xfId="266" applyNumberFormat="1" applyFont="1" applyFill="1" applyBorder="1" applyAlignment="1">
      <alignment horizontal="left"/>
    </xf>
    <xf numFmtId="2" fontId="38" fillId="0" borderId="11" xfId="266" applyNumberFormat="1" applyFont="1" applyFill="1" applyBorder="1" applyAlignment="1">
      <alignment horizontal="center"/>
    </xf>
    <xf numFmtId="3" fontId="38" fillId="0" borderId="0" xfId="266" applyNumberFormat="1" applyFont="1" applyFill="1" applyAlignment="1">
      <alignment horizontal="left"/>
    </xf>
    <xf numFmtId="0" fontId="68" fillId="0" borderId="68" xfId="265" applyFont="1" applyFill="1" applyBorder="1" applyAlignment="1">
      <alignment horizontal="center" wrapText="1"/>
    </xf>
    <xf numFmtId="0" fontId="68" fillId="0" borderId="10" xfId="265" applyFont="1" applyFill="1" applyBorder="1" applyAlignment="1">
      <alignment horizontal="center" wrapText="1"/>
    </xf>
    <xf numFmtId="0" fontId="74" fillId="0" borderId="10" xfId="265" applyFont="1" applyFill="1" applyBorder="1" applyAlignment="1">
      <alignment horizontal="center" wrapText="1"/>
    </xf>
    <xf numFmtId="0" fontId="68" fillId="0" borderId="0" xfId="265" applyFont="1" applyFill="1"/>
    <xf numFmtId="0" fontId="11" fillId="0" borderId="0" xfId="206" applyFont="1" applyFill="1"/>
    <xf numFmtId="0" fontId="38" fillId="0" borderId="56" xfId="157" applyFont="1" applyFill="1" applyBorder="1" applyAlignment="1">
      <alignment wrapText="1"/>
    </xf>
    <xf numFmtId="0" fontId="13" fillId="0" borderId="31" xfId="194" applyFont="1" applyFill="1" applyBorder="1" applyAlignment="1">
      <alignment horizontal="left" vertical="top" wrapText="1"/>
    </xf>
    <xf numFmtId="0" fontId="0" fillId="0" borderId="65" xfId="194" applyFont="1" applyFill="1" applyBorder="1" applyAlignment="1">
      <alignment wrapText="1"/>
    </xf>
    <xf numFmtId="3" fontId="0" fillId="0" borderId="72" xfId="263" applyNumberFormat="1" applyFont="1" applyFill="1" applyBorder="1"/>
    <xf numFmtId="3" fontId="0" fillId="0" borderId="34" xfId="0" applyNumberFormat="1" applyFont="1" applyFill="1" applyBorder="1" applyAlignment="1">
      <alignment horizontal="right" vertical="center" wrapText="1"/>
    </xf>
    <xf numFmtId="0" fontId="33" fillId="0" borderId="0" xfId="157" applyFont="1" applyFill="1"/>
    <xf numFmtId="3" fontId="33" fillId="0" borderId="0" xfId="157" applyNumberFormat="1" applyFont="1" applyFill="1"/>
    <xf numFmtId="0" fontId="11" fillId="0" borderId="59" xfId="195" applyFont="1" applyFill="1" applyBorder="1" applyAlignment="1">
      <alignment wrapText="1"/>
    </xf>
    <xf numFmtId="3" fontId="11" fillId="0" borderId="69" xfId="195" applyNumberFormat="1" applyFont="1" applyFill="1" applyBorder="1"/>
    <xf numFmtId="0" fontId="11" fillId="0" borderId="75" xfId="195" applyFont="1" applyFill="1" applyBorder="1" applyAlignment="1">
      <alignment wrapText="1"/>
    </xf>
    <xf numFmtId="0" fontId="38" fillId="0" borderId="0" xfId="206" applyFont="1" applyFill="1"/>
    <xf numFmtId="0" fontId="38" fillId="0" borderId="0" xfId="206" applyFont="1" applyFill="1" applyAlignment="1">
      <alignment wrapText="1"/>
    </xf>
    <xf numFmtId="3" fontId="38" fillId="0" borderId="0" xfId="206" applyNumberFormat="1" applyFont="1" applyFill="1"/>
    <xf numFmtId="0" fontId="37" fillId="0" borderId="33" xfId="206" applyFont="1" applyFill="1" applyBorder="1" applyAlignment="1">
      <alignment horizontal="center" vertical="center" wrapText="1"/>
    </xf>
    <xf numFmtId="0" fontId="37" fillId="0" borderId="33" xfId="206" applyFont="1" applyFill="1" applyBorder="1" applyAlignment="1">
      <alignment horizontal="center" vertical="center"/>
    </xf>
    <xf numFmtId="0" fontId="38" fillId="0" borderId="0" xfId="206" applyFont="1" applyFill="1" applyAlignment="1">
      <alignment horizontal="center"/>
    </xf>
    <xf numFmtId="0" fontId="11" fillId="0" borderId="31" xfId="0" applyFont="1" applyFill="1" applyBorder="1" applyAlignment="1">
      <alignment wrapText="1"/>
    </xf>
    <xf numFmtId="3" fontId="32" fillId="0" borderId="0" xfId="205" applyNumberFormat="1" applyFont="1" applyFill="1" applyAlignment="1">
      <alignment horizontal="center"/>
    </xf>
    <xf numFmtId="0" fontId="32" fillId="0" borderId="0" xfId="205" applyFont="1" applyFill="1" applyAlignment="1">
      <alignment horizontal="center"/>
    </xf>
    <xf numFmtId="0" fontId="64" fillId="0" borderId="0" xfId="264" applyFont="1" applyFill="1" applyAlignment="1">
      <alignment wrapText="1"/>
    </xf>
    <xf numFmtId="0" fontId="65" fillId="0" borderId="0" xfId="264" applyFont="1" applyFill="1" applyAlignment="1">
      <alignment horizontal="right"/>
    </xf>
    <xf numFmtId="0" fontId="66" fillId="0" borderId="0" xfId="264" applyFont="1" applyFill="1"/>
    <xf numFmtId="0" fontId="66" fillId="0" borderId="0" xfId="264" applyFont="1" applyFill="1" applyAlignment="1">
      <alignment horizontal="right"/>
    </xf>
    <xf numFmtId="0" fontId="65" fillId="0" borderId="0" xfId="264" applyFont="1" applyFill="1"/>
    <xf numFmtId="0" fontId="65" fillId="0" borderId="61" xfId="264" applyFont="1" applyFill="1" applyBorder="1" applyAlignment="1">
      <alignment horizontal="center" wrapText="1"/>
    </xf>
    <xf numFmtId="0" fontId="65" fillId="0" borderId="33" xfId="264" applyFont="1" applyFill="1" applyBorder="1" applyAlignment="1">
      <alignment horizontal="center" wrapText="1"/>
    </xf>
    <xf numFmtId="0" fontId="65" fillId="0" borderId="0" xfId="264" applyFont="1" applyFill="1" applyAlignment="1">
      <alignment wrapText="1"/>
    </xf>
    <xf numFmtId="0" fontId="64" fillId="0" borderId="94" xfId="264" applyFont="1" applyFill="1" applyBorder="1" applyAlignment="1">
      <alignment wrapText="1"/>
    </xf>
    <xf numFmtId="0" fontId="64" fillId="0" borderId="32" xfId="264" applyFont="1" applyFill="1" applyBorder="1"/>
    <xf numFmtId="0" fontId="64" fillId="0" borderId="24" xfId="264" applyFont="1" applyFill="1" applyBorder="1" applyAlignment="1">
      <alignment wrapText="1"/>
    </xf>
    <xf numFmtId="3" fontId="64" fillId="0" borderId="34" xfId="264" applyNumberFormat="1" applyFont="1" applyFill="1" applyBorder="1"/>
    <xf numFmtId="3" fontId="64" fillId="0" borderId="24" xfId="264" applyNumberFormat="1" applyFont="1" applyFill="1" applyBorder="1"/>
    <xf numFmtId="0" fontId="65" fillId="0" borderId="33" xfId="264" applyFont="1" applyFill="1" applyBorder="1"/>
    <xf numFmtId="0" fontId="65" fillId="0" borderId="33" xfId="264" applyFont="1" applyFill="1" applyBorder="1" applyAlignment="1">
      <alignment wrapText="1"/>
    </xf>
    <xf numFmtId="3" fontId="65" fillId="0" borderId="61" xfId="264" applyNumberFormat="1" applyFont="1" applyFill="1" applyBorder="1"/>
    <xf numFmtId="3" fontId="65" fillId="0" borderId="0" xfId="264" applyNumberFormat="1" applyFont="1" applyFill="1"/>
    <xf numFmtId="0" fontId="67" fillId="0" borderId="0" xfId="264" applyFont="1" applyFill="1" applyAlignment="1">
      <alignment wrapText="1"/>
    </xf>
    <xf numFmtId="3" fontId="38" fillId="0" borderId="0" xfId="266" applyNumberFormat="1" applyFont="1" applyFill="1" applyAlignment="1">
      <alignment horizontal="right"/>
    </xf>
    <xf numFmtId="3" fontId="37" fillId="0" borderId="10" xfId="266" applyNumberFormat="1" applyFont="1" applyFill="1" applyBorder="1" applyAlignment="1">
      <alignment horizontal="left" vertical="center" wrapText="1"/>
    </xf>
    <xf numFmtId="3" fontId="37" fillId="0" borderId="10" xfId="266" applyNumberFormat="1" applyFont="1" applyFill="1" applyBorder="1" applyAlignment="1">
      <alignment horizontal="center" vertical="center" wrapText="1"/>
    </xf>
    <xf numFmtId="0" fontId="38" fillId="0" borderId="36" xfId="199" applyFont="1" applyFill="1" applyBorder="1" applyAlignment="1">
      <alignment wrapText="1"/>
    </xf>
    <xf numFmtId="3" fontId="38" fillId="0" borderId="36" xfId="266" applyNumberFormat="1" applyFont="1" applyFill="1" applyBorder="1" applyAlignment="1">
      <alignment horizontal="right"/>
    </xf>
    <xf numFmtId="0" fontId="38" fillId="0" borderId="38" xfId="199" applyFont="1" applyFill="1" applyBorder="1"/>
    <xf numFmtId="0" fontId="37" fillId="0" borderId="87" xfId="199" applyFont="1" applyFill="1" applyBorder="1" applyAlignment="1">
      <alignment wrapText="1"/>
    </xf>
    <xf numFmtId="3" fontId="37" fillId="0" borderId="10" xfId="266" applyNumberFormat="1" applyFont="1" applyFill="1" applyBorder="1" applyAlignment="1">
      <alignment horizontal="right"/>
    </xf>
    <xf numFmtId="0" fontId="38" fillId="0" borderId="91" xfId="199" applyFont="1" applyFill="1" applyBorder="1" applyAlignment="1">
      <alignment wrapText="1"/>
    </xf>
    <xf numFmtId="0" fontId="38" fillId="0" borderId="56" xfId="199" applyFont="1" applyFill="1" applyBorder="1"/>
    <xf numFmtId="0" fontId="38" fillId="0" borderId="56" xfId="199" applyFont="1" applyFill="1" applyBorder="1" applyAlignment="1">
      <alignment wrapText="1"/>
    </xf>
    <xf numFmtId="0" fontId="38" fillId="0" borderId="90" xfId="199" applyFont="1" applyFill="1" applyBorder="1"/>
    <xf numFmtId="0" fontId="37" fillId="0" borderId="40" xfId="199" applyFont="1" applyFill="1" applyBorder="1" applyAlignment="1">
      <alignment wrapText="1"/>
    </xf>
    <xf numFmtId="0" fontId="38" fillId="0" borderId="11" xfId="199" applyFont="1" applyFill="1" applyBorder="1" applyAlignment="1">
      <alignment wrapText="1"/>
    </xf>
    <xf numFmtId="0" fontId="37" fillId="0" borderId="10" xfId="199" applyFont="1" applyFill="1" applyBorder="1" applyAlignment="1">
      <alignment wrapText="1"/>
    </xf>
    <xf numFmtId="3" fontId="37" fillId="0" borderId="79" xfId="266" applyNumberFormat="1" applyFont="1" applyFill="1" applyBorder="1" applyAlignment="1">
      <alignment horizontal="left"/>
    </xf>
    <xf numFmtId="3" fontId="37" fillId="0" borderId="79" xfId="266" applyNumberFormat="1" applyFont="1" applyFill="1" applyBorder="1" applyAlignment="1">
      <alignment horizontal="right"/>
    </xf>
    <xf numFmtId="0" fontId="37" fillId="0" borderId="121" xfId="262" applyFont="1" applyFill="1" applyBorder="1"/>
    <xf numFmtId="0" fontId="37" fillId="0" borderId="122" xfId="262" applyFont="1" applyFill="1" applyBorder="1" applyAlignment="1">
      <alignment horizontal="center" wrapText="1"/>
    </xf>
    <xf numFmtId="3" fontId="37" fillId="0" borderId="30" xfId="262" applyNumberFormat="1" applyFont="1" applyFill="1" applyBorder="1" applyAlignment="1">
      <alignment horizontal="center" wrapText="1"/>
    </xf>
    <xf numFmtId="0" fontId="38" fillId="0" borderId="0" xfId="262" applyFont="1" applyFill="1" applyAlignment="1">
      <alignment horizontal="center"/>
    </xf>
    <xf numFmtId="0" fontId="37" fillId="0" borderId="0" xfId="262" applyFont="1" applyFill="1"/>
    <xf numFmtId="0" fontId="38" fillId="0" borderId="0" xfId="262" applyFont="1" applyFill="1"/>
    <xf numFmtId="0" fontId="38" fillId="0" borderId="32" xfId="262" applyFont="1" applyFill="1" applyBorder="1"/>
    <xf numFmtId="0" fontId="38" fillId="0" borderId="24" xfId="262" applyFont="1" applyFill="1" applyBorder="1" applyAlignment="1">
      <alignment wrapText="1"/>
    </xf>
    <xf numFmtId="3" fontId="38" fillId="0" borderId="31" xfId="262" applyNumberFormat="1" applyFont="1" applyFill="1" applyBorder="1"/>
    <xf numFmtId="0" fontId="37" fillId="0" borderId="32" xfId="262" applyFont="1" applyFill="1" applyBorder="1"/>
    <xf numFmtId="0" fontId="37" fillId="0" borderId="24" xfId="262" applyFont="1" applyFill="1" applyBorder="1" applyAlignment="1">
      <alignment wrapText="1"/>
    </xf>
    <xf numFmtId="3" fontId="37" fillId="0" borderId="31" xfId="262" applyNumberFormat="1" applyFont="1" applyFill="1" applyBorder="1"/>
    <xf numFmtId="3" fontId="38" fillId="0" borderId="31" xfId="262" applyNumberFormat="1" applyFont="1" applyFill="1" applyBorder="1" applyAlignment="1">
      <alignment horizontal="right" wrapText="1"/>
    </xf>
    <xf numFmtId="0" fontId="32" fillId="0" borderId="24" xfId="262" applyFont="1" applyFill="1" applyBorder="1" applyAlignment="1">
      <alignment wrapText="1"/>
    </xf>
    <xf numFmtId="3" fontId="32" fillId="0" borderId="31" xfId="262" applyNumberFormat="1" applyFont="1" applyFill="1" applyBorder="1" applyAlignment="1">
      <alignment horizontal="right" wrapText="1"/>
    </xf>
    <xf numFmtId="0" fontId="32" fillId="0" borderId="0" xfId="262" applyFont="1" applyFill="1"/>
    <xf numFmtId="3" fontId="38" fillId="0" borderId="31" xfId="262" applyNumberFormat="1" applyFont="1" applyFill="1" applyBorder="1" applyAlignment="1">
      <alignment horizontal="right"/>
    </xf>
    <xf numFmtId="0" fontId="37" fillId="0" borderId="123" xfId="262" applyFont="1" applyFill="1" applyBorder="1"/>
    <xf numFmtId="0" fontId="37" fillId="0" borderId="124" xfId="262" applyFont="1" applyFill="1" applyBorder="1" applyAlignment="1">
      <alignment wrapText="1"/>
    </xf>
    <xf numFmtId="3" fontId="37" fillId="0" borderId="125" xfId="262" applyNumberFormat="1" applyFont="1" applyFill="1" applyBorder="1"/>
    <xf numFmtId="0" fontId="38" fillId="0" borderId="0" xfId="262" applyFont="1" applyFill="1" applyAlignment="1">
      <alignment wrapText="1"/>
    </xf>
    <xf numFmtId="3" fontId="38" fillId="0" borderId="0" xfId="262" applyNumberFormat="1" applyFont="1" applyFill="1" applyAlignment="1">
      <alignment horizontal="center"/>
    </xf>
    <xf numFmtId="3" fontId="38" fillId="0" borderId="0" xfId="262" applyNumberFormat="1" applyFont="1" applyFill="1"/>
    <xf numFmtId="0" fontId="11" fillId="0" borderId="127" xfId="199" applyFont="1" applyFill="1" applyBorder="1" applyAlignment="1">
      <alignment wrapText="1"/>
    </xf>
    <xf numFmtId="0" fontId="11" fillId="0" borderId="49" xfId="199" applyFont="1" applyFill="1" applyBorder="1" applyAlignment="1">
      <alignment wrapText="1"/>
    </xf>
    <xf numFmtId="0" fontId="42" fillId="0" borderId="13" xfId="200" applyFont="1" applyFill="1" applyBorder="1"/>
    <xf numFmtId="0" fontId="11" fillId="0" borderId="143" xfId="199" applyFont="1" applyFill="1" applyBorder="1" applyAlignment="1">
      <alignment wrapText="1"/>
    </xf>
    <xf numFmtId="3" fontId="11" fillId="0" borderId="144" xfId="200" applyNumberFormat="1" applyFont="1" applyFill="1" applyBorder="1"/>
    <xf numFmtId="3" fontId="11" fillId="0" borderId="145" xfId="200" applyNumberFormat="1" applyFont="1" applyFill="1" applyBorder="1"/>
    <xf numFmtId="3" fontId="11" fillId="0" borderId="146" xfId="200" applyNumberFormat="1" applyFont="1" applyFill="1" applyBorder="1"/>
    <xf numFmtId="3" fontId="13" fillId="0" borderId="145" xfId="200" applyNumberFormat="1" applyFont="1" applyFill="1" applyBorder="1"/>
    <xf numFmtId="3" fontId="11" fillId="0" borderId="13" xfId="200" applyNumberFormat="1" applyFont="1" applyFill="1" applyBorder="1"/>
    <xf numFmtId="3" fontId="11" fillId="0" borderId="147" xfId="200" applyNumberFormat="1" applyFont="1" applyFill="1" applyBorder="1"/>
    <xf numFmtId="3" fontId="13" fillId="0" borderId="146" xfId="200" applyNumberFormat="1" applyFont="1" applyFill="1" applyBorder="1"/>
    <xf numFmtId="3" fontId="13" fillId="0" borderId="13" xfId="200" applyNumberFormat="1" applyFont="1" applyFill="1" applyBorder="1"/>
    <xf numFmtId="3" fontId="13" fillId="0" borderId="28" xfId="200" applyNumberFormat="1" applyFont="1" applyFill="1" applyBorder="1"/>
    <xf numFmtId="3" fontId="13" fillId="0" borderId="139" xfId="200" applyNumberFormat="1" applyFont="1" applyFill="1" applyBorder="1"/>
    <xf numFmtId="3" fontId="13" fillId="0" borderId="15" xfId="200" applyNumberFormat="1" applyFont="1" applyFill="1" applyBorder="1"/>
    <xf numFmtId="0" fontId="13" fillId="0" borderId="148" xfId="200" applyFont="1" applyFill="1" applyBorder="1"/>
    <xf numFmtId="0" fontId="13" fillId="0" borderId="149" xfId="200" applyFont="1" applyFill="1" applyBorder="1"/>
    <xf numFmtId="0" fontId="13" fillId="0" borderId="150" xfId="200" applyFont="1" applyFill="1" applyBorder="1"/>
    <xf numFmtId="0" fontId="11" fillId="0" borderId="90" xfId="199" applyFont="1" applyFill="1" applyBorder="1" applyAlignment="1">
      <alignment wrapText="1"/>
    </xf>
    <xf numFmtId="3" fontId="11" fillId="0" borderId="90" xfId="200" applyNumberFormat="1" applyFont="1" applyFill="1" applyBorder="1"/>
    <xf numFmtId="3" fontId="11" fillId="0" borderId="148" xfId="200" applyNumberFormat="1" applyFont="1" applyFill="1" applyBorder="1"/>
    <xf numFmtId="0" fontId="13" fillId="0" borderId="151" xfId="200" applyFont="1" applyFill="1" applyBorder="1"/>
    <xf numFmtId="0" fontId="11" fillId="0" borderId="91" xfId="199" applyFont="1" applyFill="1" applyBorder="1" applyAlignment="1">
      <alignment wrapText="1"/>
    </xf>
    <xf numFmtId="3" fontId="11" fillId="0" borderId="91" xfId="200" applyNumberFormat="1" applyFont="1" applyFill="1" applyBorder="1"/>
    <xf numFmtId="3" fontId="11" fillId="0" borderId="149" xfId="200" applyNumberFormat="1" applyFont="1" applyFill="1" applyBorder="1"/>
    <xf numFmtId="0" fontId="42" fillId="0" borderId="46" xfId="200" applyFont="1" applyFill="1" applyBorder="1"/>
    <xf numFmtId="0" fontId="13" fillId="0" borderId="47" xfId="199" applyFont="1" applyFill="1" applyBorder="1" applyAlignment="1">
      <alignment wrapText="1"/>
    </xf>
    <xf numFmtId="3" fontId="11" fillId="0" borderId="152" xfId="200" applyNumberFormat="1" applyFont="1" applyFill="1" applyBorder="1"/>
    <xf numFmtId="3" fontId="11" fillId="0" borderId="153" xfId="200" applyNumberFormat="1" applyFont="1" applyFill="1" applyBorder="1"/>
    <xf numFmtId="3" fontId="11" fillId="0" borderId="154" xfId="200" applyNumberFormat="1" applyFont="1" applyFill="1" applyBorder="1"/>
    <xf numFmtId="3" fontId="11" fillId="0" borderId="46" xfId="200" applyNumberFormat="1" applyFont="1" applyFill="1" applyBorder="1"/>
    <xf numFmtId="3" fontId="11" fillId="0" borderId="68" xfId="200" applyNumberFormat="1" applyFont="1" applyFill="1" applyBorder="1"/>
    <xf numFmtId="3" fontId="50" fillId="0" borderId="46" xfId="200" applyNumberFormat="1" applyFont="1" applyFill="1" applyBorder="1" applyAlignment="1">
      <alignment horizontal="right"/>
    </xf>
    <xf numFmtId="3" fontId="13" fillId="0" borderId="47" xfId="199" applyNumberFormat="1" applyFont="1" applyFill="1" applyBorder="1" applyAlignment="1">
      <alignment wrapText="1"/>
    </xf>
    <xf numFmtId="3" fontId="55" fillId="0" borderId="47" xfId="199" applyNumberFormat="1" applyFont="1" applyFill="1" applyBorder="1" applyAlignment="1">
      <alignment wrapText="1"/>
    </xf>
    <xf numFmtId="3" fontId="11" fillId="0" borderId="47" xfId="199" applyNumberFormat="1" applyFont="1" applyFill="1" applyBorder="1" applyAlignment="1">
      <alignment wrapText="1"/>
    </xf>
    <xf numFmtId="3" fontId="50" fillId="0" borderId="15" xfId="200" applyNumberFormat="1" applyFont="1" applyFill="1" applyBorder="1" applyAlignment="1">
      <alignment horizontal="right"/>
    </xf>
    <xf numFmtId="3" fontId="11" fillId="0" borderId="98" xfId="199" applyNumberFormat="1" applyFont="1" applyFill="1" applyBorder="1" applyAlignment="1">
      <alignment wrapText="1"/>
    </xf>
    <xf numFmtId="3" fontId="50" fillId="0" borderId="155" xfId="200" applyNumberFormat="1" applyFont="1" applyFill="1" applyBorder="1" applyAlignment="1">
      <alignment horizontal="right"/>
    </xf>
    <xf numFmtId="3" fontId="13" fillId="0" borderId="61" xfId="199" applyNumberFormat="1" applyFont="1" applyFill="1" applyBorder="1" applyAlignment="1">
      <alignment wrapText="1"/>
    </xf>
    <xf numFmtId="3" fontId="11" fillId="0" borderId="61" xfId="199" applyNumberFormat="1" applyFont="1" applyFill="1" applyBorder="1" applyAlignment="1">
      <alignment wrapText="1"/>
    </xf>
    <xf numFmtId="3" fontId="11" fillId="0" borderId="137" xfId="199" applyNumberFormat="1" applyFont="1" applyFill="1" applyBorder="1" applyAlignment="1">
      <alignment wrapText="1"/>
    </xf>
    <xf numFmtId="3" fontId="12" fillId="0" borderId="35" xfId="174" applyNumberFormat="1" applyFont="1" applyFill="1" applyBorder="1" applyAlignment="1">
      <alignment horizontal="center"/>
    </xf>
    <xf numFmtId="3" fontId="12" fillId="0" borderId="80" xfId="174" applyNumberFormat="1" applyFont="1" applyFill="1" applyBorder="1" applyAlignment="1">
      <alignment horizontal="center"/>
    </xf>
    <xf numFmtId="3" fontId="12" fillId="0" borderId="14" xfId="174" applyNumberFormat="1" applyFont="1" applyFill="1" applyBorder="1" applyAlignment="1">
      <alignment horizontal="center"/>
    </xf>
    <xf numFmtId="3" fontId="12" fillId="0" borderId="35" xfId="174" applyNumberFormat="1" applyFont="1" applyFill="1" applyBorder="1" applyAlignment="1">
      <alignment horizontal="center" wrapText="1"/>
    </xf>
    <xf numFmtId="3" fontId="12" fillId="0" borderId="80" xfId="174" applyNumberFormat="1" applyFont="1" applyFill="1" applyBorder="1" applyAlignment="1">
      <alignment horizontal="center" wrapText="1"/>
    </xf>
    <xf numFmtId="3" fontId="12" fillId="0" borderId="14" xfId="174" applyNumberFormat="1" applyFont="1" applyFill="1" applyBorder="1" applyAlignment="1">
      <alignment horizontal="center" wrapText="1"/>
    </xf>
    <xf numFmtId="3" fontId="12" fillId="0" borderId="10" xfId="174" applyNumberFormat="1" applyFont="1" applyFill="1" applyBorder="1" applyAlignment="1">
      <alignment horizontal="center" wrapText="1"/>
    </xf>
    <xf numFmtId="3" fontId="12" fillId="0" borderId="10" xfId="174" applyNumberFormat="1" applyFont="1" applyFill="1" applyBorder="1" applyAlignment="1">
      <alignment horizontal="center"/>
    </xf>
    <xf numFmtId="0" fontId="37" fillId="0" borderId="0" xfId="172" applyFont="1" applyFill="1" applyAlignment="1">
      <alignment horizontal="center"/>
    </xf>
    <xf numFmtId="0" fontId="12" fillId="0" borderId="0" xfId="171" applyFont="1" applyFill="1" applyAlignment="1">
      <alignment horizontal="center"/>
    </xf>
    <xf numFmtId="3" fontId="41" fillId="0" borderId="35" xfId="171" applyNumberFormat="1" applyFont="1" applyFill="1" applyBorder="1" applyAlignment="1">
      <alignment horizontal="center" wrapText="1"/>
    </xf>
    <xf numFmtId="3" fontId="41" fillId="0" borderId="80" xfId="171" applyNumberFormat="1" applyFont="1" applyFill="1" applyBorder="1" applyAlignment="1">
      <alignment horizontal="center" wrapText="1"/>
    </xf>
    <xf numFmtId="3" fontId="41" fillId="0" borderId="14" xfId="171" applyNumberFormat="1" applyFont="1" applyFill="1" applyBorder="1" applyAlignment="1">
      <alignment horizontal="center" wrapText="1"/>
    </xf>
    <xf numFmtId="3" fontId="41" fillId="0" borderId="10" xfId="171" applyNumberFormat="1" applyFont="1" applyFill="1" applyBorder="1" applyAlignment="1">
      <alignment horizontal="center"/>
    </xf>
    <xf numFmtId="3" fontId="41" fillId="0" borderId="10" xfId="171" applyNumberFormat="1" applyFont="1" applyFill="1" applyBorder="1" applyAlignment="1">
      <alignment horizontal="center" wrapText="1"/>
    </xf>
    <xf numFmtId="0" fontId="41" fillId="0" borderId="87" xfId="174" applyFont="1" applyFill="1" applyBorder="1" applyAlignment="1">
      <alignment horizontal="center" wrapText="1"/>
    </xf>
    <xf numFmtId="0" fontId="41" fillId="0" borderId="40" xfId="174" applyFont="1" applyFill="1" applyBorder="1" applyAlignment="1">
      <alignment horizontal="center" wrapText="1"/>
    </xf>
    <xf numFmtId="0" fontId="41" fillId="0" borderId="87" xfId="171" applyFont="1" applyFill="1" applyBorder="1" applyAlignment="1">
      <alignment horizontal="center" wrapText="1"/>
    </xf>
    <xf numFmtId="0" fontId="41" fillId="0" borderId="40" xfId="171" applyFont="1" applyFill="1" applyBorder="1" applyAlignment="1">
      <alignment horizontal="center" wrapText="1"/>
    </xf>
    <xf numFmtId="3" fontId="41" fillId="0" borderId="35" xfId="171" applyNumberFormat="1" applyFont="1" applyFill="1" applyBorder="1" applyAlignment="1">
      <alignment horizontal="center"/>
    </xf>
    <xf numFmtId="3" fontId="41" fillId="0" borderId="80" xfId="171" applyNumberFormat="1" applyFont="1" applyFill="1" applyBorder="1" applyAlignment="1">
      <alignment horizontal="center"/>
    </xf>
    <xf numFmtId="3" fontId="41" fillId="0" borderId="14" xfId="171" applyNumberFormat="1" applyFont="1" applyFill="1" applyBorder="1" applyAlignment="1">
      <alignment horizontal="center"/>
    </xf>
    <xf numFmtId="3" fontId="58" fillId="0" borderId="88" xfId="200" applyNumberFormat="1" applyFont="1" applyFill="1" applyBorder="1" applyAlignment="1">
      <alignment horizontal="center" vertical="center" wrapText="1"/>
    </xf>
    <xf numFmtId="3" fontId="58" fillId="0" borderId="96" xfId="200" applyNumberFormat="1" applyFont="1" applyFill="1" applyBorder="1" applyAlignment="1">
      <alignment horizontal="center" vertical="center" wrapText="1"/>
    </xf>
    <xf numFmtId="3" fontId="68" fillId="0" borderId="88" xfId="265" applyNumberFormat="1" applyFont="1" applyFill="1" applyBorder="1" applyAlignment="1">
      <alignment horizontal="right"/>
    </xf>
    <xf numFmtId="3" fontId="68" fillId="0" borderId="101" xfId="265" applyNumberFormat="1" applyFont="1" applyFill="1" applyBorder="1" applyAlignment="1">
      <alignment horizontal="right"/>
    </xf>
    <xf numFmtId="3" fontId="68" fillId="0" borderId="96" xfId="265" applyNumberFormat="1" applyFont="1" applyFill="1" applyBorder="1" applyAlignment="1">
      <alignment horizontal="right"/>
    </xf>
    <xf numFmtId="3" fontId="60" fillId="0" borderId="60" xfId="200" applyNumberFormat="1" applyFont="1" applyFill="1" applyBorder="1" applyAlignment="1">
      <alignment horizontal="center"/>
    </xf>
    <xf numFmtId="3" fontId="60" fillId="0" borderId="61" xfId="200" applyNumberFormat="1" applyFont="1" applyFill="1" applyBorder="1" applyAlignment="1">
      <alignment horizontal="center"/>
    </xf>
    <xf numFmtId="3" fontId="58" fillId="0" borderId="100" xfId="200" applyNumberFormat="1" applyFont="1" applyFill="1" applyBorder="1" applyAlignment="1">
      <alignment horizontal="center" vertical="center" wrapText="1"/>
    </xf>
    <xf numFmtId="3" fontId="58" fillId="0" borderId="41" xfId="200" applyNumberFormat="1" applyFont="1" applyFill="1" applyBorder="1" applyAlignment="1">
      <alignment horizontal="center" vertical="center" wrapText="1"/>
    </xf>
    <xf numFmtId="3" fontId="56" fillId="0" borderId="35" xfId="200" applyNumberFormat="1" applyFont="1" applyFill="1" applyBorder="1" applyAlignment="1">
      <alignment horizontal="center"/>
    </xf>
    <xf numFmtId="3" fontId="56" fillId="0" borderId="14" xfId="200" applyNumberFormat="1" applyFont="1" applyFill="1" applyBorder="1" applyAlignment="1">
      <alignment horizontal="center"/>
    </xf>
    <xf numFmtId="0" fontId="12" fillId="0" borderId="0" xfId="196" applyFont="1" applyFill="1" applyAlignment="1">
      <alignment horizontal="center"/>
    </xf>
    <xf numFmtId="2" fontId="37" fillId="0" borderId="35" xfId="266" applyNumberFormat="1" applyFont="1" applyFill="1" applyBorder="1" applyAlignment="1">
      <alignment horizontal="center" wrapText="1"/>
    </xf>
    <xf numFmtId="0" fontId="68" fillId="0" borderId="80" xfId="265" applyFont="1" applyFill="1" applyBorder="1" applyAlignment="1">
      <alignment horizontal="center" wrapText="1"/>
    </xf>
    <xf numFmtId="0" fontId="68" fillId="0" borderId="14" xfId="265" applyFont="1" applyFill="1" applyBorder="1" applyAlignment="1">
      <alignment horizontal="center" wrapText="1"/>
    </xf>
    <xf numFmtId="0" fontId="68" fillId="0" borderId="35" xfId="265" applyFont="1" applyFill="1" applyBorder="1" applyAlignment="1">
      <alignment horizontal="center" wrapText="1"/>
    </xf>
    <xf numFmtId="3" fontId="12" fillId="0" borderId="0" xfId="0" applyNumberFormat="1" applyFont="1" applyFill="1" applyAlignment="1">
      <alignment horizontal="center"/>
    </xf>
    <xf numFmtId="0" fontId="62" fillId="0" borderId="0" xfId="157" applyFont="1" applyFill="1" applyAlignment="1">
      <alignment horizontal="center" wrapText="1"/>
    </xf>
    <xf numFmtId="0" fontId="37" fillId="0" borderId="0" xfId="196" applyFont="1" applyFill="1" applyAlignment="1">
      <alignment horizontal="center" wrapText="1"/>
    </xf>
    <xf numFmtId="0" fontId="37" fillId="0" borderId="84" xfId="195" applyFont="1" applyFill="1" applyBorder="1" applyAlignment="1">
      <alignment horizontal="center" wrapText="1"/>
    </xf>
    <xf numFmtId="0" fontId="37" fillId="0" borderId="108" xfId="195" applyFont="1" applyFill="1" applyBorder="1" applyAlignment="1">
      <alignment horizontal="center" wrapText="1"/>
    </xf>
    <xf numFmtId="0" fontId="37" fillId="0" borderId="93" xfId="195" applyFont="1" applyFill="1" applyBorder="1" applyAlignment="1">
      <alignment horizontal="center" wrapText="1"/>
    </xf>
    <xf numFmtId="0" fontId="37" fillId="0" borderId="85" xfId="196" applyFont="1" applyFill="1" applyBorder="1" applyAlignment="1">
      <alignment horizontal="center" wrapText="1"/>
    </xf>
    <xf numFmtId="0" fontId="37" fillId="0" borderId="20" xfId="196" applyFont="1" applyFill="1" applyBorder="1" applyAlignment="1">
      <alignment horizontal="center" wrapText="1"/>
    </xf>
    <xf numFmtId="0" fontId="37" fillId="0" borderId="33" xfId="196" applyFont="1" applyFill="1" applyBorder="1" applyAlignment="1">
      <alignment horizontal="center" wrapText="1"/>
    </xf>
    <xf numFmtId="0" fontId="37" fillId="0" borderId="0" xfId="206" applyFont="1" applyFill="1" applyAlignment="1">
      <alignment horizontal="center" wrapText="1"/>
    </xf>
    <xf numFmtId="0" fontId="37" fillId="0" borderId="0" xfId="196" applyFont="1" applyFill="1" applyAlignment="1">
      <alignment horizontal="center" vertical="center" wrapText="1"/>
    </xf>
    <xf numFmtId="3" fontId="12" fillId="24" borderId="10" xfId="173" applyNumberFormat="1" applyFont="1" applyFill="1" applyBorder="1" applyAlignment="1">
      <alignment horizontal="center" wrapText="1"/>
    </xf>
    <xf numFmtId="3" fontId="43" fillId="24" borderId="10" xfId="173" applyNumberFormat="1" applyFont="1" applyFill="1" applyBorder="1" applyAlignment="1">
      <alignment horizontal="center" wrapText="1"/>
    </xf>
    <xf numFmtId="3" fontId="12" fillId="0" borderId="0" xfId="173" applyNumberFormat="1" applyFont="1" applyFill="1" applyAlignment="1">
      <alignment horizontal="center" wrapText="1"/>
    </xf>
    <xf numFmtId="0" fontId="43" fillId="0" borderId="87" xfId="173" applyFont="1" applyFill="1" applyBorder="1" applyAlignment="1">
      <alignment horizontal="center" wrapText="1"/>
    </xf>
    <xf numFmtId="0" fontId="43" fillId="0" borderId="83" xfId="173" applyFont="1" applyFill="1" applyBorder="1" applyAlignment="1">
      <alignment horizontal="center" wrapText="1"/>
    </xf>
    <xf numFmtId="0" fontId="43" fillId="0" borderId="40" xfId="173" applyFont="1" applyFill="1" applyBorder="1" applyAlignment="1">
      <alignment horizontal="center" wrapText="1"/>
    </xf>
    <xf numFmtId="0" fontId="44" fillId="0" borderId="87" xfId="173" applyFont="1" applyFill="1" applyBorder="1" applyAlignment="1">
      <alignment horizontal="center" wrapText="1"/>
    </xf>
    <xf numFmtId="0" fontId="44" fillId="0" borderId="83" xfId="173" applyFont="1" applyFill="1" applyBorder="1" applyAlignment="1">
      <alignment horizontal="center" wrapText="1"/>
    </xf>
    <xf numFmtId="0" fontId="44" fillId="0" borderId="40" xfId="173" applyFont="1" applyFill="1" applyBorder="1" applyAlignment="1">
      <alignment horizontal="center" wrapText="1"/>
    </xf>
    <xf numFmtId="0" fontId="65" fillId="0" borderId="60" xfId="264" applyFont="1" applyFill="1" applyBorder="1" applyAlignment="1">
      <alignment horizontal="center"/>
    </xf>
    <xf numFmtId="0" fontId="65" fillId="0" borderId="68" xfId="264" applyFont="1" applyFill="1" applyBorder="1" applyAlignment="1">
      <alignment horizontal="center"/>
    </xf>
    <xf numFmtId="0" fontId="65" fillId="0" borderId="61" xfId="264" applyFont="1" applyFill="1" applyBorder="1" applyAlignment="1">
      <alignment horizontal="center"/>
    </xf>
    <xf numFmtId="0" fontId="65" fillId="0" borderId="88" xfId="264" applyFont="1" applyFill="1" applyBorder="1" applyAlignment="1">
      <alignment horizontal="center" vertical="center"/>
    </xf>
    <xf numFmtId="0" fontId="64" fillId="0" borderId="96" xfId="264" applyFont="1" applyFill="1" applyBorder="1" applyAlignment="1">
      <alignment vertical="center"/>
    </xf>
    <xf numFmtId="0" fontId="65" fillId="0" borderId="88" xfId="264" applyFont="1" applyFill="1" applyBorder="1" applyAlignment="1">
      <alignment horizontal="center" vertical="center" wrapText="1"/>
    </xf>
    <xf numFmtId="0" fontId="64" fillId="0" borderId="96" xfId="264" applyFont="1" applyFill="1" applyBorder="1" applyAlignment="1">
      <alignment vertical="center" wrapText="1"/>
    </xf>
    <xf numFmtId="0" fontId="65" fillId="0" borderId="96" xfId="264" applyFont="1" applyFill="1" applyBorder="1" applyAlignment="1">
      <alignment horizontal="center" vertical="center" wrapText="1"/>
    </xf>
    <xf numFmtId="0" fontId="64" fillId="0" borderId="0" xfId="264" applyFont="1" applyFill="1" applyAlignment="1">
      <alignment horizontal="left" wrapText="1"/>
    </xf>
    <xf numFmtId="3" fontId="37" fillId="0" borderId="0" xfId="266" applyNumberFormat="1" applyFont="1" applyFill="1" applyAlignment="1">
      <alignment horizontal="center" wrapText="1"/>
    </xf>
    <xf numFmtId="0" fontId="68" fillId="0" borderId="0" xfId="265" applyFont="1" applyFill="1" applyAlignment="1">
      <alignment wrapText="1"/>
    </xf>
    <xf numFmtId="0" fontId="37" fillId="0" borderId="85" xfId="262" applyFont="1" applyFill="1" applyBorder="1" applyAlignment="1">
      <alignment horizontal="left"/>
    </xf>
    <xf numFmtId="0" fontId="37" fillId="0" borderId="20" xfId="262" applyFont="1" applyFill="1" applyBorder="1" applyAlignment="1">
      <alignment horizontal="left"/>
    </xf>
    <xf numFmtId="0" fontId="37" fillId="0" borderId="94" xfId="262" applyFont="1" applyFill="1" applyBorder="1" applyAlignment="1">
      <alignment horizontal="left"/>
    </xf>
    <xf numFmtId="3" fontId="0" fillId="0" borderId="32" xfId="263" applyNumberFormat="1" applyFont="1" applyFill="1" applyBorder="1"/>
  </cellXfs>
  <cellStyles count="268">
    <cellStyle name="20% - 1. jelölőszín" xfId="1" builtinId="30" customBuiltin="1"/>
    <cellStyle name="20% - 1. jelölőszín 2" xfId="2" xr:uid="{00000000-0005-0000-0000-000003000000}"/>
    <cellStyle name="20% - 1. jelölőszín 3" xfId="3" xr:uid="{00000000-0005-0000-0000-000004000000}"/>
    <cellStyle name="20% - 1. jelölőszín 4" xfId="209" xr:uid="{00000000-0005-0000-0000-000005000000}"/>
    <cellStyle name="20% - 2. jelölőszín" xfId="4" builtinId="34" customBuiltin="1"/>
    <cellStyle name="20% - 2. jelölőszín 2" xfId="5" xr:uid="{00000000-0005-0000-0000-000007000000}"/>
    <cellStyle name="20% - 2. jelölőszín 3" xfId="6" xr:uid="{00000000-0005-0000-0000-000008000000}"/>
    <cellStyle name="20% - 2. jelölőszín 4" xfId="210" xr:uid="{00000000-0005-0000-0000-000009000000}"/>
    <cellStyle name="20% - 3. jelölőszín" xfId="7" builtinId="38" customBuiltin="1"/>
    <cellStyle name="20% - 3. jelölőszín 2" xfId="8" xr:uid="{00000000-0005-0000-0000-00000B000000}"/>
    <cellStyle name="20% - 3. jelölőszín 3" xfId="9" xr:uid="{00000000-0005-0000-0000-00000C000000}"/>
    <cellStyle name="20% - 3. jelölőszín 4" xfId="211" xr:uid="{00000000-0005-0000-0000-00000D000000}"/>
    <cellStyle name="20% - 4. jelölőszín" xfId="10" builtinId="42" customBuiltin="1"/>
    <cellStyle name="20% - 4. jelölőszín 2" xfId="11" xr:uid="{00000000-0005-0000-0000-00000F000000}"/>
    <cellStyle name="20% - 4. jelölőszín 3" xfId="12" xr:uid="{00000000-0005-0000-0000-000010000000}"/>
    <cellStyle name="20% - 4. jelölőszín 4" xfId="212" xr:uid="{00000000-0005-0000-0000-000011000000}"/>
    <cellStyle name="20% - 5. jelölőszín" xfId="13" builtinId="46" customBuiltin="1"/>
    <cellStyle name="20% - 5. jelölőszín 2" xfId="14" xr:uid="{00000000-0005-0000-0000-000013000000}"/>
    <cellStyle name="20% - 5. jelölőszín 3" xfId="15" xr:uid="{00000000-0005-0000-0000-000014000000}"/>
    <cellStyle name="20% - 5. jelölőszín 4" xfId="213" xr:uid="{00000000-0005-0000-0000-000015000000}"/>
    <cellStyle name="20% - 6. jelölőszín" xfId="16" builtinId="50" customBuiltin="1"/>
    <cellStyle name="20% - 6. jelölőszín 2" xfId="17" xr:uid="{00000000-0005-0000-0000-000017000000}"/>
    <cellStyle name="20% - 6. jelölőszín 3" xfId="18" xr:uid="{00000000-0005-0000-0000-000018000000}"/>
    <cellStyle name="20% - 6. jelölőszín 4" xfId="214" xr:uid="{00000000-0005-0000-0000-000019000000}"/>
    <cellStyle name="20% - Accent1" xfId="19" xr:uid="{00000000-0005-0000-0000-00001A000000}"/>
    <cellStyle name="20% - Accent2" xfId="20" xr:uid="{00000000-0005-0000-0000-00001B000000}"/>
    <cellStyle name="20% - Accent3" xfId="21" xr:uid="{00000000-0005-0000-0000-00001C000000}"/>
    <cellStyle name="20% - Accent4" xfId="22" xr:uid="{00000000-0005-0000-0000-00001D000000}"/>
    <cellStyle name="20% - Accent5" xfId="23" xr:uid="{00000000-0005-0000-0000-00001E000000}"/>
    <cellStyle name="20% - Accent6" xfId="24" xr:uid="{00000000-0005-0000-0000-00001F000000}"/>
    <cellStyle name="40% - 1. jelölőszín" xfId="25" builtinId="31" customBuiltin="1"/>
    <cellStyle name="40% - 1. jelölőszín 2" xfId="26" xr:uid="{00000000-0005-0000-0000-000023000000}"/>
    <cellStyle name="40% - 1. jelölőszín 3" xfId="27" xr:uid="{00000000-0005-0000-0000-000024000000}"/>
    <cellStyle name="40% - 1. jelölőszín 4" xfId="215" xr:uid="{00000000-0005-0000-0000-000025000000}"/>
    <cellStyle name="40% - 2. jelölőszín" xfId="28" builtinId="35" customBuiltin="1"/>
    <cellStyle name="40% - 2. jelölőszín 2" xfId="29" xr:uid="{00000000-0005-0000-0000-000027000000}"/>
    <cellStyle name="40% - 2. jelölőszín 3" xfId="30" xr:uid="{00000000-0005-0000-0000-000028000000}"/>
    <cellStyle name="40% - 2. jelölőszín 4" xfId="216" xr:uid="{00000000-0005-0000-0000-000029000000}"/>
    <cellStyle name="40% - 3. jelölőszín" xfId="31" builtinId="39" customBuiltin="1"/>
    <cellStyle name="40% - 3. jelölőszín 2" xfId="32" xr:uid="{00000000-0005-0000-0000-00002B000000}"/>
    <cellStyle name="40% - 3. jelölőszín 3" xfId="33" xr:uid="{00000000-0005-0000-0000-00002C000000}"/>
    <cellStyle name="40% - 3. jelölőszín 4" xfId="217" xr:uid="{00000000-0005-0000-0000-00002D000000}"/>
    <cellStyle name="40% - 4. jelölőszín" xfId="34" builtinId="43" customBuiltin="1"/>
    <cellStyle name="40% - 4. jelölőszín 2" xfId="35" xr:uid="{00000000-0005-0000-0000-00002F000000}"/>
    <cellStyle name="40% - 4. jelölőszín 3" xfId="36" xr:uid="{00000000-0005-0000-0000-000030000000}"/>
    <cellStyle name="40% - 4. jelölőszín 4" xfId="218" xr:uid="{00000000-0005-0000-0000-000031000000}"/>
    <cellStyle name="40% - 5. jelölőszín" xfId="37" builtinId="47" customBuiltin="1"/>
    <cellStyle name="40% - 5. jelölőszín 2" xfId="38" xr:uid="{00000000-0005-0000-0000-000033000000}"/>
    <cellStyle name="40% - 5. jelölőszín 3" xfId="39" xr:uid="{00000000-0005-0000-0000-000034000000}"/>
    <cellStyle name="40% - 5. jelölőszín 4" xfId="219" xr:uid="{00000000-0005-0000-0000-000035000000}"/>
    <cellStyle name="40% - 6. jelölőszín" xfId="40" builtinId="51" customBuiltin="1"/>
    <cellStyle name="40% - 6. jelölőszín 2" xfId="41" xr:uid="{00000000-0005-0000-0000-000037000000}"/>
    <cellStyle name="40% - 6. jelölőszín 3" xfId="42" xr:uid="{00000000-0005-0000-0000-000038000000}"/>
    <cellStyle name="40% - 6. jelölőszín 4" xfId="220" xr:uid="{00000000-0005-0000-0000-000039000000}"/>
    <cellStyle name="40% - Accent1" xfId="43" xr:uid="{00000000-0005-0000-0000-00003A000000}"/>
    <cellStyle name="40% - Accent2" xfId="44" xr:uid="{00000000-0005-0000-0000-00003B000000}"/>
    <cellStyle name="40% - Accent3" xfId="45" xr:uid="{00000000-0005-0000-0000-00003C000000}"/>
    <cellStyle name="40% - Accent4" xfId="46" xr:uid="{00000000-0005-0000-0000-00003D000000}"/>
    <cellStyle name="40% - Accent5" xfId="47" xr:uid="{00000000-0005-0000-0000-00003E000000}"/>
    <cellStyle name="40% - Accent6" xfId="48" xr:uid="{00000000-0005-0000-0000-00003F000000}"/>
    <cellStyle name="60% - 1. jelölőszín" xfId="49" builtinId="32" customBuiltin="1"/>
    <cellStyle name="60% - 1. jelölőszín 2" xfId="50" xr:uid="{00000000-0005-0000-0000-000043000000}"/>
    <cellStyle name="60% - 1. jelölőszín 3" xfId="51" xr:uid="{00000000-0005-0000-0000-000044000000}"/>
    <cellStyle name="60% - 1. jelölőszín 4" xfId="221" xr:uid="{00000000-0005-0000-0000-000045000000}"/>
    <cellStyle name="60% - 2. jelölőszín" xfId="52" builtinId="36" customBuiltin="1"/>
    <cellStyle name="60% - 2. jelölőszín 2" xfId="53" xr:uid="{00000000-0005-0000-0000-000047000000}"/>
    <cellStyle name="60% - 2. jelölőszín 3" xfId="54" xr:uid="{00000000-0005-0000-0000-000048000000}"/>
    <cellStyle name="60% - 2. jelölőszín 4" xfId="222" xr:uid="{00000000-0005-0000-0000-000049000000}"/>
    <cellStyle name="60% - 3. jelölőszín" xfId="55" builtinId="40" customBuiltin="1"/>
    <cellStyle name="60% - 3. jelölőszín 2" xfId="56" xr:uid="{00000000-0005-0000-0000-00004B000000}"/>
    <cellStyle name="60% - 3. jelölőszín 3" xfId="57" xr:uid="{00000000-0005-0000-0000-00004C000000}"/>
    <cellStyle name="60% - 3. jelölőszín 4" xfId="223" xr:uid="{00000000-0005-0000-0000-00004D000000}"/>
    <cellStyle name="60% - 4. jelölőszín" xfId="58" builtinId="44" customBuiltin="1"/>
    <cellStyle name="60% - 4. jelölőszín 2" xfId="59" xr:uid="{00000000-0005-0000-0000-00004F000000}"/>
    <cellStyle name="60% - 4. jelölőszín 3" xfId="60" xr:uid="{00000000-0005-0000-0000-000050000000}"/>
    <cellStyle name="60% - 4. jelölőszín 4" xfId="224" xr:uid="{00000000-0005-0000-0000-000051000000}"/>
    <cellStyle name="60% - 5. jelölőszín" xfId="61" builtinId="48" customBuiltin="1"/>
    <cellStyle name="60% - 5. jelölőszín 2" xfId="62" xr:uid="{00000000-0005-0000-0000-000053000000}"/>
    <cellStyle name="60% - 5. jelölőszín 3" xfId="63" xr:uid="{00000000-0005-0000-0000-000054000000}"/>
    <cellStyle name="60% - 5. jelölőszín 4" xfId="225" xr:uid="{00000000-0005-0000-0000-000055000000}"/>
    <cellStyle name="60% - 6. jelölőszín" xfId="64" builtinId="52" customBuiltin="1"/>
    <cellStyle name="60% - 6. jelölőszín 2" xfId="65" xr:uid="{00000000-0005-0000-0000-000057000000}"/>
    <cellStyle name="60% - 6. jelölőszín 3" xfId="66" xr:uid="{00000000-0005-0000-0000-000058000000}"/>
    <cellStyle name="60% - 6. jelölőszín 4" xfId="226" xr:uid="{00000000-0005-0000-0000-000059000000}"/>
    <cellStyle name="60% - Accent1" xfId="67" xr:uid="{00000000-0005-0000-0000-00005A000000}"/>
    <cellStyle name="60% - Accent2" xfId="68" xr:uid="{00000000-0005-0000-0000-00005B000000}"/>
    <cellStyle name="60% - Accent3" xfId="69" xr:uid="{00000000-0005-0000-0000-00005C000000}"/>
    <cellStyle name="60% - Accent4" xfId="70" xr:uid="{00000000-0005-0000-0000-00005D000000}"/>
    <cellStyle name="60% - Accent5" xfId="71" xr:uid="{00000000-0005-0000-0000-00005E000000}"/>
    <cellStyle name="60% - Accent6" xfId="72" xr:uid="{00000000-0005-0000-0000-00005F000000}"/>
    <cellStyle name="Accent1" xfId="73" xr:uid="{00000000-0005-0000-0000-000060000000}"/>
    <cellStyle name="Accent2" xfId="74" xr:uid="{00000000-0005-0000-0000-000061000000}"/>
    <cellStyle name="Accent3" xfId="75" xr:uid="{00000000-0005-0000-0000-000062000000}"/>
    <cellStyle name="Accent4" xfId="76" xr:uid="{00000000-0005-0000-0000-000063000000}"/>
    <cellStyle name="Accent5" xfId="77" xr:uid="{00000000-0005-0000-0000-000064000000}"/>
    <cellStyle name="Accent6" xfId="78" xr:uid="{00000000-0005-0000-0000-000065000000}"/>
    <cellStyle name="Bad" xfId="79" xr:uid="{00000000-0005-0000-0000-000066000000}"/>
    <cellStyle name="Bevitel" xfId="80" builtinId="20" customBuiltin="1"/>
    <cellStyle name="Bevitel 2" xfId="81" xr:uid="{00000000-0005-0000-0000-000068000000}"/>
    <cellStyle name="Bevitel 3" xfId="82" xr:uid="{00000000-0005-0000-0000-000069000000}"/>
    <cellStyle name="Bevitel 4" xfId="227" xr:uid="{00000000-0005-0000-0000-00006A000000}"/>
    <cellStyle name="Calculation" xfId="83" xr:uid="{00000000-0005-0000-0000-00006B000000}"/>
    <cellStyle name="Check Cell" xfId="84" xr:uid="{00000000-0005-0000-0000-00006C000000}"/>
    <cellStyle name="Cím" xfId="85" builtinId="15" customBuiltin="1"/>
    <cellStyle name="Cím 2" xfId="86" xr:uid="{00000000-0005-0000-0000-00006E000000}"/>
    <cellStyle name="Cím 3" xfId="87" xr:uid="{00000000-0005-0000-0000-00006F000000}"/>
    <cellStyle name="Cím 4" xfId="228" xr:uid="{00000000-0005-0000-0000-000070000000}"/>
    <cellStyle name="Címsor 1" xfId="88" builtinId="16" customBuiltin="1"/>
    <cellStyle name="Címsor 1 2" xfId="89" xr:uid="{00000000-0005-0000-0000-000072000000}"/>
    <cellStyle name="Címsor 1 3" xfId="90" xr:uid="{00000000-0005-0000-0000-000073000000}"/>
    <cellStyle name="Címsor 1 4" xfId="229" xr:uid="{00000000-0005-0000-0000-000074000000}"/>
    <cellStyle name="Címsor 2" xfId="91" builtinId="17" customBuiltin="1"/>
    <cellStyle name="Címsor 2 2" xfId="92" xr:uid="{00000000-0005-0000-0000-000076000000}"/>
    <cellStyle name="Címsor 2 3" xfId="93" xr:uid="{00000000-0005-0000-0000-000077000000}"/>
    <cellStyle name="Címsor 2 4" xfId="230" xr:uid="{00000000-0005-0000-0000-000078000000}"/>
    <cellStyle name="Címsor 3" xfId="94" builtinId="18" customBuiltin="1"/>
    <cellStyle name="Címsor 3 2" xfId="95" xr:uid="{00000000-0005-0000-0000-00007A000000}"/>
    <cellStyle name="Címsor 3 3" xfId="96" xr:uid="{00000000-0005-0000-0000-00007B000000}"/>
    <cellStyle name="Címsor 3 4" xfId="231" xr:uid="{00000000-0005-0000-0000-00007C000000}"/>
    <cellStyle name="Címsor 4" xfId="97" builtinId="19" customBuiltin="1"/>
    <cellStyle name="Címsor 4 2" xfId="98" xr:uid="{00000000-0005-0000-0000-00007E000000}"/>
    <cellStyle name="Címsor 4 3" xfId="99" xr:uid="{00000000-0005-0000-0000-00007F000000}"/>
    <cellStyle name="Címsor 4 4" xfId="232" xr:uid="{00000000-0005-0000-0000-000080000000}"/>
    <cellStyle name="Ellenőrzőcella" xfId="100" builtinId="23" customBuiltin="1"/>
    <cellStyle name="Ellenőrzőcella 2" xfId="101" xr:uid="{00000000-0005-0000-0000-000082000000}"/>
    <cellStyle name="Ellenőrzőcella 3" xfId="102" xr:uid="{00000000-0005-0000-0000-000083000000}"/>
    <cellStyle name="Ellenőrzőcella 4" xfId="233" xr:uid="{00000000-0005-0000-0000-000084000000}"/>
    <cellStyle name="Explanatory Text" xfId="103" xr:uid="{00000000-0005-0000-0000-000085000000}"/>
    <cellStyle name="Ezres" xfId="258" builtinId="3"/>
    <cellStyle name="Ezres 2" xfId="104" xr:uid="{00000000-0005-0000-0000-000087000000}"/>
    <cellStyle name="Ezres 2 2" xfId="197" xr:uid="{00000000-0005-0000-0000-000088000000}"/>
    <cellStyle name="Ezres 3" xfId="105" xr:uid="{00000000-0005-0000-0000-000089000000}"/>
    <cellStyle name="Ezres 3 2" xfId="201" xr:uid="{00000000-0005-0000-0000-00008A000000}"/>
    <cellStyle name="Figyelmeztetés" xfId="106" builtinId="11" customBuiltin="1"/>
    <cellStyle name="Figyelmeztetés 2" xfId="107" xr:uid="{00000000-0005-0000-0000-00008C000000}"/>
    <cellStyle name="Figyelmeztetés 3" xfId="108" xr:uid="{00000000-0005-0000-0000-00008D000000}"/>
    <cellStyle name="Figyelmeztetés 4" xfId="234" xr:uid="{00000000-0005-0000-0000-00008E000000}"/>
    <cellStyle name="Good" xfId="109" xr:uid="{00000000-0005-0000-0000-00008F000000}"/>
    <cellStyle name="Heading 1" xfId="110" xr:uid="{00000000-0005-0000-0000-000090000000}"/>
    <cellStyle name="Heading 2" xfId="111" xr:uid="{00000000-0005-0000-0000-000091000000}"/>
    <cellStyle name="Heading 3" xfId="112" xr:uid="{00000000-0005-0000-0000-000092000000}"/>
    <cellStyle name="Heading 4" xfId="113" xr:uid="{00000000-0005-0000-0000-000093000000}"/>
    <cellStyle name="Hivatkozott cella" xfId="114" builtinId="24" customBuiltin="1"/>
    <cellStyle name="Hivatkozott cella 2" xfId="115" xr:uid="{00000000-0005-0000-0000-000095000000}"/>
    <cellStyle name="Hivatkozott cella 3" xfId="116" xr:uid="{00000000-0005-0000-0000-000096000000}"/>
    <cellStyle name="Hivatkozott cella 4" xfId="235" xr:uid="{00000000-0005-0000-0000-000097000000}"/>
    <cellStyle name="Input" xfId="117" xr:uid="{00000000-0005-0000-0000-000098000000}"/>
    <cellStyle name="Jegyzet" xfId="118" builtinId="10" customBuiltin="1"/>
    <cellStyle name="Jegyzet 2" xfId="119" xr:uid="{00000000-0005-0000-0000-00009A000000}"/>
    <cellStyle name="Jegyzet 3" xfId="120" xr:uid="{00000000-0005-0000-0000-00009B000000}"/>
    <cellStyle name="Jegyzet 4" xfId="121" xr:uid="{00000000-0005-0000-0000-00009C000000}"/>
    <cellStyle name="Jegyzet 5" xfId="236" xr:uid="{00000000-0005-0000-0000-00009D000000}"/>
    <cellStyle name="Jelölőszín (1) 2" xfId="123" xr:uid="{00000000-0005-0000-0000-00009E000000}"/>
    <cellStyle name="Jelölőszín (1) 3" xfId="124" xr:uid="{00000000-0005-0000-0000-00009F000000}"/>
    <cellStyle name="Jelölőszín (1) 4" xfId="237" xr:uid="{00000000-0005-0000-0000-0000A0000000}"/>
    <cellStyle name="Jelölőszín (2) 2" xfId="126" xr:uid="{00000000-0005-0000-0000-0000A1000000}"/>
    <cellStyle name="Jelölőszín (2) 3" xfId="127" xr:uid="{00000000-0005-0000-0000-0000A2000000}"/>
    <cellStyle name="Jelölőszín (2) 4" xfId="238" xr:uid="{00000000-0005-0000-0000-0000A3000000}"/>
    <cellStyle name="Jelölőszín (3) 2" xfId="129" xr:uid="{00000000-0005-0000-0000-0000A4000000}"/>
    <cellStyle name="Jelölőszín (3) 3" xfId="130" xr:uid="{00000000-0005-0000-0000-0000A5000000}"/>
    <cellStyle name="Jelölőszín (3) 4" xfId="239" xr:uid="{00000000-0005-0000-0000-0000A6000000}"/>
    <cellStyle name="Jelölőszín (4) 2" xfId="132" xr:uid="{00000000-0005-0000-0000-0000A7000000}"/>
    <cellStyle name="Jelölőszín (4) 3" xfId="133" xr:uid="{00000000-0005-0000-0000-0000A8000000}"/>
    <cellStyle name="Jelölőszín (4) 4" xfId="240" xr:uid="{00000000-0005-0000-0000-0000A9000000}"/>
    <cellStyle name="Jelölőszín (5) 2" xfId="135" xr:uid="{00000000-0005-0000-0000-0000AA000000}"/>
    <cellStyle name="Jelölőszín (5) 3" xfId="136" xr:uid="{00000000-0005-0000-0000-0000AB000000}"/>
    <cellStyle name="Jelölőszín (5) 4" xfId="241" xr:uid="{00000000-0005-0000-0000-0000AC000000}"/>
    <cellStyle name="Jelölőszín (6) 2" xfId="138" xr:uid="{00000000-0005-0000-0000-0000AD000000}"/>
    <cellStyle name="Jelölőszín (6) 3" xfId="139" xr:uid="{00000000-0005-0000-0000-0000AE000000}"/>
    <cellStyle name="Jelölőszín (6) 4" xfId="242" xr:uid="{00000000-0005-0000-0000-0000AF000000}"/>
    <cellStyle name="Jelölőszín 1" xfId="122" builtinId="29" customBuiltin="1"/>
    <cellStyle name="Jelölőszín 2" xfId="125" builtinId="33" customBuiltin="1"/>
    <cellStyle name="Jelölőszín 3" xfId="128" builtinId="37" customBuiltin="1"/>
    <cellStyle name="Jelölőszín 4" xfId="131" builtinId="41" customBuiltin="1"/>
    <cellStyle name="Jelölőszín 5" xfId="134" builtinId="45" customBuiltin="1"/>
    <cellStyle name="Jelölőszín 6" xfId="137" builtinId="49" customBuiltin="1"/>
    <cellStyle name="Jó" xfId="140" builtinId="26" customBuiltin="1"/>
    <cellStyle name="Jó 2" xfId="141" xr:uid="{00000000-0005-0000-0000-0000B1000000}"/>
    <cellStyle name="Jó 3" xfId="142" xr:uid="{00000000-0005-0000-0000-0000B2000000}"/>
    <cellStyle name="Jó 4" xfId="243" xr:uid="{00000000-0005-0000-0000-0000B3000000}"/>
    <cellStyle name="Kimenet" xfId="143" builtinId="21" customBuiltin="1"/>
    <cellStyle name="Kimenet 2" xfId="144" xr:uid="{00000000-0005-0000-0000-0000B5000000}"/>
    <cellStyle name="Kimenet 3" xfId="145" xr:uid="{00000000-0005-0000-0000-0000B6000000}"/>
    <cellStyle name="Kimenet 4" xfId="244" xr:uid="{00000000-0005-0000-0000-0000B7000000}"/>
    <cellStyle name="Linked Cell" xfId="146" xr:uid="{00000000-0005-0000-0000-0000B8000000}"/>
    <cellStyle name="Magyarázó szöveg" xfId="147" builtinId="53" customBuiltin="1"/>
    <cellStyle name="Magyarázó szöveg 2" xfId="148" xr:uid="{00000000-0005-0000-0000-0000BA000000}"/>
    <cellStyle name="Magyarázó szöveg 3" xfId="149" xr:uid="{00000000-0005-0000-0000-0000BB000000}"/>
    <cellStyle name="Magyarázó szöveg 4" xfId="245" xr:uid="{00000000-0005-0000-0000-0000BC000000}"/>
    <cellStyle name="Neutral" xfId="150" xr:uid="{00000000-0005-0000-0000-0000BD000000}"/>
    <cellStyle name="Normál" xfId="0" builtinId="0"/>
    <cellStyle name="Normál 10" xfId="151" xr:uid="{00000000-0005-0000-0000-0000BF000000}"/>
    <cellStyle name="Normál 11" xfId="198" xr:uid="{00000000-0005-0000-0000-0000C0000000}"/>
    <cellStyle name="Normál 11 2" xfId="202" xr:uid="{00000000-0005-0000-0000-0000C1000000}"/>
    <cellStyle name="Normál 11 3" xfId="255" xr:uid="{00000000-0005-0000-0000-0000C2000000}"/>
    <cellStyle name="Normál 11 4" xfId="257" xr:uid="{00000000-0005-0000-0000-0000C3000000}"/>
    <cellStyle name="Normál 11 5" xfId="259" xr:uid="{00000000-0005-0000-0000-0000C4000000}"/>
    <cellStyle name="Normál 11 5 2" xfId="261" xr:uid="{C537B3E4-E9C6-4575-A998-32EDE1E0BFAC}"/>
    <cellStyle name="Normál 11 5 3" xfId="265" xr:uid="{569FAC78-5ABD-4BA5-AF8E-CCA425574073}"/>
    <cellStyle name="Normál 12" xfId="206" xr:uid="{00000000-0005-0000-0000-0000C5000000}"/>
    <cellStyle name="Normál 13" xfId="207" xr:uid="{00000000-0005-0000-0000-0000C6000000}"/>
    <cellStyle name="Normál 2" xfId="152" xr:uid="{00000000-0005-0000-0000-0000C7000000}"/>
    <cellStyle name="Normál 2 2" xfId="153" xr:uid="{00000000-0005-0000-0000-0000C8000000}"/>
    <cellStyle name="Normál 2 3" xfId="154" xr:uid="{00000000-0005-0000-0000-0000C9000000}"/>
    <cellStyle name="Normál 2 4" xfId="155" xr:uid="{00000000-0005-0000-0000-0000CA000000}"/>
    <cellStyle name="Normál 2 5" xfId="196" xr:uid="{00000000-0005-0000-0000-0000CB000000}"/>
    <cellStyle name="Normál 2_11.sz.melléklet_többéves" xfId="156" xr:uid="{00000000-0005-0000-0000-0000CC000000}"/>
    <cellStyle name="Normál 3" xfId="157" xr:uid="{00000000-0005-0000-0000-0000CD000000}"/>
    <cellStyle name="Normál 3 2" xfId="158" xr:uid="{00000000-0005-0000-0000-0000CE000000}"/>
    <cellStyle name="Normál 3 2 2" xfId="159" xr:uid="{00000000-0005-0000-0000-0000CF000000}"/>
    <cellStyle name="Normál 3 2 2 2" xfId="204" xr:uid="{00000000-0005-0000-0000-0000D0000000}"/>
    <cellStyle name="Normál 3 2 3" xfId="208" xr:uid="{00000000-0005-0000-0000-0000D1000000}"/>
    <cellStyle name="Normál 3 2 4" xfId="250" xr:uid="{00000000-0005-0000-0000-0000D2000000}"/>
    <cellStyle name="Normál 3 2 5" xfId="256" xr:uid="{00000000-0005-0000-0000-0000D3000000}"/>
    <cellStyle name="Normál 3 2 6" xfId="260" xr:uid="{00000000-0005-0000-0000-0000D4000000}"/>
    <cellStyle name="Normál 3 2 7" xfId="267" xr:uid="{FB938D1C-B336-4983-9AC1-860464BF7F72}"/>
    <cellStyle name="Normál 4" xfId="160" xr:uid="{00000000-0005-0000-0000-0000D5000000}"/>
    <cellStyle name="Normál 5" xfId="161" xr:uid="{00000000-0005-0000-0000-0000D6000000}"/>
    <cellStyle name="Normál 5 2" xfId="162" xr:uid="{00000000-0005-0000-0000-0000D7000000}"/>
    <cellStyle name="Normál 5 2 2" xfId="163" xr:uid="{00000000-0005-0000-0000-0000D8000000}"/>
    <cellStyle name="Normál 5 3" xfId="164" xr:uid="{00000000-0005-0000-0000-0000D9000000}"/>
    <cellStyle name="Normál 5 4" xfId="203" xr:uid="{00000000-0005-0000-0000-0000DA000000}"/>
    <cellStyle name="Normál 5_11.sz.melléklet_többéves" xfId="165" xr:uid="{00000000-0005-0000-0000-0000DB000000}"/>
    <cellStyle name="Normál 6" xfId="166" xr:uid="{00000000-0005-0000-0000-0000DC000000}"/>
    <cellStyle name="Normál 6 2" xfId="167" xr:uid="{00000000-0005-0000-0000-0000DD000000}"/>
    <cellStyle name="Normál 7" xfId="168" xr:uid="{00000000-0005-0000-0000-0000DE000000}"/>
    <cellStyle name="Normál 8" xfId="169" xr:uid="{00000000-0005-0000-0000-0000DF000000}"/>
    <cellStyle name="Normál 9" xfId="170" xr:uid="{00000000-0005-0000-0000-0000E0000000}"/>
    <cellStyle name="Normál_2001bev jó" xfId="266" xr:uid="{9FF39DFA-938F-47CB-BC84-D84B363B021E}"/>
    <cellStyle name="Normál_2003év kiadás" xfId="171" xr:uid="{00000000-0005-0000-0000-0000E2000000}"/>
    <cellStyle name="Normál_2003költségvet" xfId="172" xr:uid="{00000000-0005-0000-0000-0000E3000000}"/>
    <cellStyle name="Normál_2003ktvmod2fin" xfId="254" xr:uid="{00000000-0005-0000-0000-0000E4000000}"/>
    <cellStyle name="Normál_2003terv" xfId="251" xr:uid="{00000000-0005-0000-0000-0000E5000000}"/>
    <cellStyle name="Normál_2006 költségv 2" xfId="264" xr:uid="{54B78F39-DDD8-4B85-B905-31E22A763DBF}"/>
    <cellStyle name="Normál_2009éviköltségvetés-Móricz Károly 2" xfId="173" xr:uid="{00000000-0005-0000-0000-0000E6000000}"/>
    <cellStyle name="Normál_37-2010. évi III.rendmód 2 2" xfId="195" xr:uid="{00000000-0005-0000-0000-0000E7000000}"/>
    <cellStyle name="Normál_37-2010. évi III.rendmód_4. sz. melléklet 2" xfId="194" xr:uid="{00000000-0005-0000-0000-0000E8000000}"/>
    <cellStyle name="Normál_Áhttáblák_76-3-hiányzó mellékletek" xfId="253" xr:uid="{00000000-0005-0000-0000-0000E9000000}"/>
    <cellStyle name="Normál_bevétel_bevétel_1" xfId="174" xr:uid="{00000000-0005-0000-0000-0000EA000000}"/>
    <cellStyle name="Normál_bevétel_bevétel_1 2" xfId="175" xr:uid="{00000000-0005-0000-0000-0000EB000000}"/>
    <cellStyle name="Normál_bevétel_bevétel_1 2 2" xfId="176" xr:uid="{00000000-0005-0000-0000-0000EC000000}"/>
    <cellStyle name="Normál_fedezetes" xfId="263" xr:uid="{ED97A7A6-C083-4A42-9924-6487BE916086}"/>
    <cellStyle name="Normál_finansz.2004" xfId="205" xr:uid="{00000000-0005-0000-0000-0000ED000000}"/>
    <cellStyle name="Normál_kiadás_1_2005aprilisrendmod" xfId="199" xr:uid="{00000000-0005-0000-0000-0000EE000000}"/>
    <cellStyle name="Normál_Környezetvédelmi Alap felosztása-01.21." xfId="262" xr:uid="{1DF9DA9E-2F40-4DF1-B4DC-2DFC36C252D2}"/>
    <cellStyle name="Normál_kötelezettségváll 2009-ra" xfId="252" xr:uid="{00000000-0005-0000-0000-0000F0000000}"/>
    <cellStyle name="Normál_Munka2 (2)_1_2005aprilisrendmod" xfId="200" xr:uid="{00000000-0005-0000-0000-0000F1000000}"/>
    <cellStyle name="Note" xfId="177" xr:uid="{00000000-0005-0000-0000-0000F2000000}"/>
    <cellStyle name="Output" xfId="178" xr:uid="{00000000-0005-0000-0000-0000F3000000}"/>
    <cellStyle name="Összesen" xfId="179" builtinId="25" customBuiltin="1"/>
    <cellStyle name="Összesen 2" xfId="180" xr:uid="{00000000-0005-0000-0000-0000F5000000}"/>
    <cellStyle name="Összesen 3" xfId="181" xr:uid="{00000000-0005-0000-0000-0000F6000000}"/>
    <cellStyle name="Összesen 4" xfId="246" xr:uid="{00000000-0005-0000-0000-0000F7000000}"/>
    <cellStyle name="Rossz" xfId="182" builtinId="27" customBuiltin="1"/>
    <cellStyle name="Rossz 2" xfId="183" xr:uid="{00000000-0005-0000-0000-0000F9000000}"/>
    <cellStyle name="Rossz 3" xfId="184" xr:uid="{00000000-0005-0000-0000-0000FA000000}"/>
    <cellStyle name="Rossz 4" xfId="247" xr:uid="{00000000-0005-0000-0000-0000FB000000}"/>
    <cellStyle name="Semleges" xfId="185" builtinId="28" customBuiltin="1"/>
    <cellStyle name="Semleges 2" xfId="186" xr:uid="{00000000-0005-0000-0000-0000FD000000}"/>
    <cellStyle name="Semleges 3" xfId="187" xr:uid="{00000000-0005-0000-0000-0000FE000000}"/>
    <cellStyle name="Semleges 4" xfId="248" xr:uid="{00000000-0005-0000-0000-0000FF000000}"/>
    <cellStyle name="Számítás" xfId="188" builtinId="22" customBuiltin="1"/>
    <cellStyle name="Számítás 2" xfId="189" xr:uid="{00000000-0005-0000-0000-000001010000}"/>
    <cellStyle name="Számítás 3" xfId="190" xr:uid="{00000000-0005-0000-0000-000002010000}"/>
    <cellStyle name="Számítás 4" xfId="249" xr:uid="{00000000-0005-0000-0000-000003010000}"/>
    <cellStyle name="Title" xfId="191" xr:uid="{00000000-0005-0000-0000-000004010000}"/>
    <cellStyle name="Total" xfId="192" xr:uid="{00000000-0005-0000-0000-000005010000}"/>
    <cellStyle name="Warning Text" xfId="193" xr:uid="{00000000-0005-0000-0000-000006010000}"/>
  </cellStyles>
  <dxfs count="0"/>
  <tableStyles count="0" defaultTableStyle="TableStyleMedium9" defaultPivotStyle="PivotStyleLight16"/>
  <colors>
    <mruColors>
      <color rgb="FFFF99FF"/>
      <color rgb="FF34FA06"/>
      <color rgb="FF0BD9F5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KISARINE\USER\KAISER\5MELLEK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\KISARINE\USER\KAISER\5MELLEK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K&#246;lts&#233;gvet&#233;s\2012\Rendeletm&#243;dos&#237;t&#225;s\Decemberi%20rendeletm&#243;dos&#237;t&#225;s\Test&#252;leti\USER\KISARINE\USER\KAISER\5MELLEK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KISARINE/USER/KAISER/5MELLEK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L4949"/>
  <sheetViews>
    <sheetView zoomScale="80" zoomScaleNormal="80" workbookViewId="0">
      <pane xSplit="2" ySplit="8" topLeftCell="AE9" activePane="bottomRight" state="frozen"/>
      <selection activeCell="A25" sqref="A25"/>
      <selection pane="topRight" activeCell="A25" sqref="A25"/>
      <selection pane="bottomLeft" activeCell="A25" sqref="A25"/>
      <selection pane="bottomRight" activeCell="AP64" sqref="AP64"/>
    </sheetView>
  </sheetViews>
  <sheetFormatPr defaultColWidth="9.25" defaultRowHeight="15.75" x14ac:dyDescent="0.25"/>
  <cols>
    <col min="1" max="1" width="37.5" style="341" customWidth="1"/>
    <col min="2" max="2" width="10.375" style="341" customWidth="1"/>
    <col min="3" max="3" width="12.625" style="16" customWidth="1"/>
    <col min="4" max="4" width="13.5" style="16" customWidth="1"/>
    <col min="5" max="5" width="14.5" style="16" customWidth="1"/>
    <col min="6" max="8" width="13.875" style="16" customWidth="1"/>
    <col min="9" max="9" width="15.25" style="16" customWidth="1"/>
    <col min="10" max="12" width="13.875" style="16" customWidth="1"/>
    <col min="13" max="13" width="15" style="16" customWidth="1"/>
    <col min="14" max="14" width="13.875" style="16" customWidth="1"/>
    <col min="15" max="15" width="12.875" style="16" customWidth="1"/>
    <col min="16" max="16" width="13.25" style="16" customWidth="1"/>
    <col min="17" max="17" width="16" style="16" customWidth="1"/>
    <col min="18" max="18" width="14.75" style="16" customWidth="1"/>
    <col min="19" max="20" width="12.625" style="16" customWidth="1"/>
    <col min="21" max="21" width="15.875" style="16" customWidth="1"/>
    <col min="22" max="22" width="14" style="16" customWidth="1"/>
    <col min="23" max="24" width="12.625" style="16" customWidth="1"/>
    <col min="25" max="25" width="15.625" style="16" customWidth="1"/>
    <col min="26" max="26" width="14.25" style="16" customWidth="1"/>
    <col min="27" max="27" width="13.125" style="16" customWidth="1"/>
    <col min="28" max="28" width="13.75" style="16" customWidth="1"/>
    <col min="29" max="29" width="15.25" style="16" customWidth="1"/>
    <col min="30" max="30" width="13.875" style="16" customWidth="1"/>
    <col min="31" max="31" width="13.125" style="16" customWidth="1"/>
    <col min="32" max="32" width="13.75" style="16" customWidth="1"/>
    <col min="33" max="33" width="15.25" style="16" customWidth="1"/>
    <col min="34" max="34" width="13.875" style="16" customWidth="1"/>
    <col min="35" max="35" width="13.125" style="16" customWidth="1"/>
    <col min="36" max="36" width="13.75" style="16" customWidth="1"/>
    <col min="37" max="37" width="15.25" style="16" customWidth="1"/>
    <col min="38" max="38" width="14.25" style="16" customWidth="1"/>
    <col min="39" max="16384" width="9.25" style="16"/>
  </cols>
  <sheetData>
    <row r="1" spans="1:38" x14ac:dyDescent="0.25">
      <c r="C1" s="1002" t="s">
        <v>383</v>
      </c>
      <c r="D1" s="1002"/>
      <c r="E1" s="1002"/>
      <c r="F1" s="1002"/>
      <c r="G1" s="1002"/>
      <c r="H1" s="1002"/>
      <c r="I1" s="1002"/>
      <c r="J1" s="1002"/>
      <c r="K1" s="1002"/>
      <c r="L1" s="1002"/>
      <c r="M1" s="1002"/>
      <c r="N1" s="1002"/>
      <c r="O1" s="1002" t="s">
        <v>383</v>
      </c>
      <c r="P1" s="1002"/>
      <c r="Q1" s="1002"/>
      <c r="R1" s="1002"/>
      <c r="S1" s="1002"/>
      <c r="T1" s="1002"/>
      <c r="U1" s="1002"/>
      <c r="V1" s="1002"/>
      <c r="W1" s="1002"/>
      <c r="X1" s="1002"/>
      <c r="Y1" s="1002"/>
      <c r="Z1" s="1002"/>
      <c r="AA1" s="1002" t="s">
        <v>383</v>
      </c>
      <c r="AB1" s="1002"/>
      <c r="AC1" s="1002"/>
      <c r="AD1" s="1002"/>
      <c r="AE1" s="1002"/>
      <c r="AF1" s="1002"/>
      <c r="AG1" s="1002"/>
      <c r="AH1" s="1002"/>
      <c r="AI1" s="1002"/>
      <c r="AJ1" s="1002"/>
      <c r="AK1" s="1002"/>
      <c r="AL1" s="1002"/>
    </row>
    <row r="2" spans="1:38" x14ac:dyDescent="0.25">
      <c r="C2" s="1002" t="s">
        <v>681</v>
      </c>
      <c r="D2" s="1002"/>
      <c r="E2" s="1002"/>
      <c r="F2" s="1002"/>
      <c r="G2" s="1002"/>
      <c r="H2" s="1002"/>
      <c r="I2" s="1002"/>
      <c r="J2" s="1002"/>
      <c r="K2" s="1002"/>
      <c r="L2" s="1002"/>
      <c r="M2" s="1002"/>
      <c r="N2" s="1002"/>
      <c r="O2" s="1002" t="s">
        <v>681</v>
      </c>
      <c r="P2" s="1002"/>
      <c r="Q2" s="1002"/>
      <c r="R2" s="1002"/>
      <c r="S2" s="1002"/>
      <c r="T2" s="1002"/>
      <c r="U2" s="1002"/>
      <c r="V2" s="1002"/>
      <c r="W2" s="1002"/>
      <c r="X2" s="1002"/>
      <c r="Y2" s="1002"/>
      <c r="Z2" s="1002"/>
      <c r="AA2" s="1002" t="s">
        <v>681</v>
      </c>
      <c r="AB2" s="1002"/>
      <c r="AC2" s="1002"/>
      <c r="AD2" s="1002"/>
      <c r="AE2" s="1002"/>
      <c r="AF2" s="1002"/>
      <c r="AG2" s="1002"/>
      <c r="AH2" s="1002"/>
      <c r="AI2" s="1002"/>
      <c r="AJ2" s="1002"/>
      <c r="AK2" s="1002"/>
      <c r="AL2" s="1002"/>
    </row>
    <row r="3" spans="1:38" x14ac:dyDescent="0.25">
      <c r="C3" s="1002" t="s">
        <v>983</v>
      </c>
      <c r="D3" s="1002"/>
      <c r="E3" s="1002"/>
      <c r="F3" s="1002"/>
      <c r="G3" s="1002"/>
      <c r="H3" s="1002"/>
      <c r="I3" s="1002"/>
      <c r="J3" s="1002"/>
      <c r="K3" s="1002"/>
      <c r="L3" s="1002"/>
      <c r="M3" s="1002"/>
      <c r="N3" s="1002"/>
      <c r="O3" s="1002" t="s">
        <v>983</v>
      </c>
      <c r="P3" s="1002"/>
      <c r="Q3" s="1002"/>
      <c r="R3" s="1002"/>
      <c r="S3" s="1002"/>
      <c r="T3" s="1002"/>
      <c r="U3" s="1002"/>
      <c r="V3" s="1002"/>
      <c r="W3" s="1002"/>
      <c r="X3" s="1002"/>
      <c r="Y3" s="1002"/>
      <c r="Z3" s="1002"/>
      <c r="AA3" s="1002" t="s">
        <v>983</v>
      </c>
      <c r="AB3" s="1002"/>
      <c r="AC3" s="1002"/>
      <c r="AD3" s="1002"/>
      <c r="AE3" s="1002"/>
      <c r="AF3" s="1002"/>
      <c r="AG3" s="1002"/>
      <c r="AH3" s="1002"/>
      <c r="AI3" s="1002"/>
      <c r="AJ3" s="1002"/>
      <c r="AK3" s="1002"/>
      <c r="AL3" s="1002"/>
    </row>
    <row r="4" spans="1:38" ht="16.5" thickBot="1" x14ac:dyDescent="0.3"/>
    <row r="5" spans="1:38" ht="87" customHeight="1" thickTop="1" thickBot="1" x14ac:dyDescent="0.3">
      <c r="A5" s="342"/>
      <c r="B5" s="343" t="s">
        <v>940</v>
      </c>
      <c r="C5" s="997" t="s">
        <v>22</v>
      </c>
      <c r="D5" s="998"/>
      <c r="E5" s="998"/>
      <c r="F5" s="998"/>
      <c r="G5" s="998"/>
      <c r="H5" s="998"/>
      <c r="I5" s="998"/>
      <c r="J5" s="998"/>
      <c r="K5" s="998"/>
      <c r="L5" s="998"/>
      <c r="M5" s="998"/>
      <c r="N5" s="999"/>
      <c r="O5" s="997" t="s">
        <v>23</v>
      </c>
      <c r="P5" s="998"/>
      <c r="Q5" s="998"/>
      <c r="R5" s="998"/>
      <c r="S5" s="998"/>
      <c r="T5" s="998"/>
      <c r="U5" s="998"/>
      <c r="V5" s="998"/>
      <c r="W5" s="998"/>
      <c r="X5" s="998"/>
      <c r="Y5" s="998"/>
      <c r="Z5" s="999"/>
      <c r="AA5" s="994" t="s">
        <v>144</v>
      </c>
      <c r="AB5" s="995"/>
      <c r="AC5" s="995"/>
      <c r="AD5" s="995"/>
      <c r="AE5" s="995"/>
      <c r="AF5" s="995"/>
      <c r="AG5" s="995"/>
      <c r="AH5" s="995"/>
      <c r="AI5" s="995"/>
      <c r="AJ5" s="995"/>
      <c r="AK5" s="995"/>
      <c r="AL5" s="996"/>
    </row>
    <row r="6" spans="1:38" ht="33" customHeight="1" thickTop="1" thickBot="1" x14ac:dyDescent="0.3">
      <c r="A6" s="342" t="s">
        <v>137</v>
      </c>
      <c r="B6" s="343" t="s">
        <v>154</v>
      </c>
      <c r="C6" s="997" t="s">
        <v>363</v>
      </c>
      <c r="D6" s="998"/>
      <c r="E6" s="998"/>
      <c r="F6" s="999"/>
      <c r="G6" s="997" t="s">
        <v>364</v>
      </c>
      <c r="H6" s="998"/>
      <c r="I6" s="998"/>
      <c r="J6" s="999"/>
      <c r="K6" s="997" t="s">
        <v>900</v>
      </c>
      <c r="L6" s="998"/>
      <c r="M6" s="998"/>
      <c r="N6" s="999"/>
      <c r="O6" s="997" t="s">
        <v>363</v>
      </c>
      <c r="P6" s="998"/>
      <c r="Q6" s="998"/>
      <c r="R6" s="999"/>
      <c r="S6" s="1000" t="s">
        <v>364</v>
      </c>
      <c r="T6" s="1000"/>
      <c r="U6" s="1000"/>
      <c r="V6" s="1000"/>
      <c r="W6" s="1000" t="s">
        <v>900</v>
      </c>
      <c r="X6" s="1000"/>
      <c r="Y6" s="1000"/>
      <c r="Z6" s="1000"/>
      <c r="AA6" s="997" t="s">
        <v>363</v>
      </c>
      <c r="AB6" s="998"/>
      <c r="AC6" s="998"/>
      <c r="AD6" s="999"/>
      <c r="AE6" s="997" t="s">
        <v>364</v>
      </c>
      <c r="AF6" s="998"/>
      <c r="AG6" s="998"/>
      <c r="AH6" s="999"/>
      <c r="AI6" s="997" t="s">
        <v>900</v>
      </c>
      <c r="AJ6" s="998"/>
      <c r="AK6" s="998"/>
      <c r="AL6" s="999"/>
    </row>
    <row r="7" spans="1:38" ht="33" thickTop="1" thickBot="1" x14ac:dyDescent="0.3">
      <c r="A7" s="342"/>
      <c r="B7" s="343"/>
      <c r="C7" s="577" t="s">
        <v>132</v>
      </c>
      <c r="D7" s="579" t="s">
        <v>133</v>
      </c>
      <c r="E7" s="579" t="s">
        <v>349</v>
      </c>
      <c r="F7" s="579" t="s">
        <v>144</v>
      </c>
      <c r="G7" s="577" t="s">
        <v>132</v>
      </c>
      <c r="H7" s="577" t="s">
        <v>133</v>
      </c>
      <c r="I7" s="577" t="s">
        <v>349</v>
      </c>
      <c r="J7" s="577" t="s">
        <v>144</v>
      </c>
      <c r="K7" s="577" t="s">
        <v>132</v>
      </c>
      <c r="L7" s="577" t="s">
        <v>133</v>
      </c>
      <c r="M7" s="577" t="s">
        <v>349</v>
      </c>
      <c r="N7" s="579" t="s">
        <v>144</v>
      </c>
      <c r="O7" s="577" t="s">
        <v>132</v>
      </c>
      <c r="P7" s="579" t="s">
        <v>133</v>
      </c>
      <c r="Q7" s="579" t="s">
        <v>349</v>
      </c>
      <c r="R7" s="579" t="s">
        <v>144</v>
      </c>
      <c r="S7" s="577" t="s">
        <v>132</v>
      </c>
      <c r="T7" s="577" t="s">
        <v>133</v>
      </c>
      <c r="U7" s="577" t="s">
        <v>349</v>
      </c>
      <c r="V7" s="577" t="s">
        <v>144</v>
      </c>
      <c r="W7" s="577" t="s">
        <v>132</v>
      </c>
      <c r="X7" s="577" t="s">
        <v>133</v>
      </c>
      <c r="Y7" s="577" t="s">
        <v>349</v>
      </c>
      <c r="Z7" s="579" t="s">
        <v>144</v>
      </c>
      <c r="AA7" s="577" t="s">
        <v>132</v>
      </c>
      <c r="AB7" s="579" t="s">
        <v>133</v>
      </c>
      <c r="AC7" s="579" t="s">
        <v>349</v>
      </c>
      <c r="AD7" s="579" t="s">
        <v>144</v>
      </c>
      <c r="AE7" s="577" t="s">
        <v>132</v>
      </c>
      <c r="AF7" s="579" t="s">
        <v>133</v>
      </c>
      <c r="AG7" s="579" t="s">
        <v>349</v>
      </c>
      <c r="AH7" s="579" t="s">
        <v>144</v>
      </c>
      <c r="AI7" s="577" t="s">
        <v>132</v>
      </c>
      <c r="AJ7" s="579" t="s">
        <v>133</v>
      </c>
      <c r="AK7" s="579" t="s">
        <v>349</v>
      </c>
      <c r="AL7" s="579" t="s">
        <v>144</v>
      </c>
    </row>
    <row r="8" spans="1:38" ht="17.25" thickTop="1" thickBot="1" x14ac:dyDescent="0.3">
      <c r="A8" s="342" t="s">
        <v>138</v>
      </c>
      <c r="B8" s="343"/>
      <c r="C8" s="997" t="s">
        <v>374</v>
      </c>
      <c r="D8" s="998"/>
      <c r="E8" s="998"/>
      <c r="F8" s="999"/>
      <c r="G8" s="1000" t="s">
        <v>375</v>
      </c>
      <c r="H8" s="1000"/>
      <c r="I8" s="1000"/>
      <c r="J8" s="1000"/>
      <c r="K8" s="1000" t="s">
        <v>376</v>
      </c>
      <c r="L8" s="1000"/>
      <c r="M8" s="1000"/>
      <c r="N8" s="1000"/>
      <c r="O8" s="994" t="s">
        <v>377</v>
      </c>
      <c r="P8" s="995"/>
      <c r="Q8" s="995"/>
      <c r="R8" s="996"/>
      <c r="S8" s="1001" t="s">
        <v>378</v>
      </c>
      <c r="T8" s="1001"/>
      <c r="U8" s="1001"/>
      <c r="V8" s="1001"/>
      <c r="W8" s="1001" t="s">
        <v>379</v>
      </c>
      <c r="X8" s="1001"/>
      <c r="Y8" s="1001"/>
      <c r="Z8" s="1001"/>
      <c r="AA8" s="994" t="s">
        <v>380</v>
      </c>
      <c r="AB8" s="995"/>
      <c r="AC8" s="995"/>
      <c r="AD8" s="996"/>
      <c r="AE8" s="994" t="s">
        <v>381</v>
      </c>
      <c r="AF8" s="995"/>
      <c r="AG8" s="995"/>
      <c r="AH8" s="996"/>
      <c r="AI8" s="994" t="s">
        <v>382</v>
      </c>
      <c r="AJ8" s="995"/>
      <c r="AK8" s="995"/>
      <c r="AL8" s="996"/>
    </row>
    <row r="9" spans="1:38" ht="32.25" thickTop="1" x14ac:dyDescent="0.25">
      <c r="A9" s="15" t="s">
        <v>188</v>
      </c>
      <c r="B9" s="68" t="s">
        <v>191</v>
      </c>
      <c r="C9" s="69">
        <v>17459</v>
      </c>
      <c r="D9" s="5">
        <v>927</v>
      </c>
      <c r="E9" s="6"/>
      <c r="F9" s="7">
        <f t="shared" ref="F9:F16" si="0">SUM(C9:E9)</f>
        <v>18386</v>
      </c>
      <c r="G9" s="7">
        <f>-3122+2573+287</f>
        <v>-262</v>
      </c>
      <c r="H9" s="7">
        <v>87</v>
      </c>
      <c r="I9" s="7"/>
      <c r="J9" s="7">
        <f>SUM(G9:I9)</f>
        <v>-175</v>
      </c>
      <c r="K9" s="7">
        <f>SUM(G9+C9)</f>
        <v>17197</v>
      </c>
      <c r="L9" s="7">
        <f t="shared" ref="L9:M9" si="1">SUM(H9+D9)</f>
        <v>1014</v>
      </c>
      <c r="M9" s="7">
        <f t="shared" si="1"/>
        <v>0</v>
      </c>
      <c r="N9" s="7">
        <f>SUM(K9:M9)</f>
        <v>18211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3">
        <f t="shared" ref="AA9:AC11" si="2">SUM(O9+C9)</f>
        <v>17459</v>
      </c>
      <c r="AB9" s="3">
        <f t="shared" si="2"/>
        <v>927</v>
      </c>
      <c r="AC9" s="3">
        <f t="shared" si="2"/>
        <v>0</v>
      </c>
      <c r="AD9" s="3">
        <f>SUM(AA9:AC9)</f>
        <v>18386</v>
      </c>
      <c r="AE9" s="3">
        <f>SUM(S9+G9)</f>
        <v>-262</v>
      </c>
      <c r="AF9" s="3">
        <f t="shared" ref="AE9:AG11" si="3">SUM(T9+H9)</f>
        <v>87</v>
      </c>
      <c r="AG9" s="3">
        <f t="shared" si="3"/>
        <v>0</v>
      </c>
      <c r="AH9" s="3">
        <f t="shared" ref="AH9:AH11" si="4">SUM(AE9:AG9)</f>
        <v>-175</v>
      </c>
      <c r="AI9" s="3">
        <f>SUM(W9+K9)</f>
        <v>17197</v>
      </c>
      <c r="AJ9" s="3">
        <f t="shared" ref="AI9:AK11" si="5">SUM(X9+L9)</f>
        <v>1014</v>
      </c>
      <c r="AK9" s="3">
        <f t="shared" si="5"/>
        <v>0</v>
      </c>
      <c r="AL9" s="3">
        <f t="shared" ref="AL9:AL11" si="6">SUM(AI9:AK9)</f>
        <v>18211</v>
      </c>
    </row>
    <row r="10" spans="1:38" ht="31.5" x14ac:dyDescent="0.25">
      <c r="A10" s="15" t="s">
        <v>319</v>
      </c>
      <c r="B10" s="15" t="s">
        <v>192</v>
      </c>
      <c r="C10" s="6">
        <v>1899572</v>
      </c>
      <c r="D10" s="5"/>
      <c r="E10" s="6"/>
      <c r="F10" s="7">
        <f t="shared" si="0"/>
        <v>1899572</v>
      </c>
      <c r="G10" s="7">
        <f>85972+33638</f>
        <v>119610</v>
      </c>
      <c r="H10" s="7"/>
      <c r="I10" s="7"/>
      <c r="J10" s="7">
        <f>SUM(G10:I10)</f>
        <v>119610</v>
      </c>
      <c r="K10" s="7">
        <f t="shared" ref="K10:K11" si="7">SUM(G10+C10)</f>
        <v>2019182</v>
      </c>
      <c r="L10" s="7">
        <f t="shared" ref="L10:L11" si="8">SUM(H10+D10)</f>
        <v>0</v>
      </c>
      <c r="M10" s="7">
        <f t="shared" ref="M10:M11" si="9">SUM(I10+E10)</f>
        <v>0</v>
      </c>
      <c r="N10" s="7">
        <f t="shared" ref="N10:N11" si="10">SUM(K10:M10)</f>
        <v>2019182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3">
        <f t="shared" si="2"/>
        <v>1899572</v>
      </c>
      <c r="AB10" s="3">
        <f t="shared" si="2"/>
        <v>0</v>
      </c>
      <c r="AC10" s="3">
        <f t="shared" si="2"/>
        <v>0</v>
      </c>
      <c r="AD10" s="3">
        <f>SUM(AA10:AC10)</f>
        <v>1899572</v>
      </c>
      <c r="AE10" s="3">
        <f t="shared" si="3"/>
        <v>119610</v>
      </c>
      <c r="AF10" s="3">
        <f t="shared" si="3"/>
        <v>0</v>
      </c>
      <c r="AG10" s="3">
        <f t="shared" si="3"/>
        <v>0</v>
      </c>
      <c r="AH10" s="3">
        <f t="shared" si="4"/>
        <v>119610</v>
      </c>
      <c r="AI10" s="3">
        <f t="shared" si="5"/>
        <v>2019182</v>
      </c>
      <c r="AJ10" s="3">
        <f t="shared" si="5"/>
        <v>0</v>
      </c>
      <c r="AK10" s="3">
        <f t="shared" si="5"/>
        <v>0</v>
      </c>
      <c r="AL10" s="3">
        <f t="shared" si="6"/>
        <v>2019182</v>
      </c>
    </row>
    <row r="11" spans="1:38" ht="47.25" x14ac:dyDescent="0.25">
      <c r="A11" s="118" t="s">
        <v>315</v>
      </c>
      <c r="B11" s="15" t="s">
        <v>193</v>
      </c>
      <c r="C11" s="6">
        <v>1912983</v>
      </c>
      <c r="D11" s="5"/>
      <c r="E11" s="6"/>
      <c r="F11" s="7">
        <f t="shared" si="0"/>
        <v>1912983</v>
      </c>
      <c r="G11" s="7">
        <f>5033+140782+9302+15334+1157</f>
        <v>171608</v>
      </c>
      <c r="H11" s="7"/>
      <c r="I11" s="7"/>
      <c r="J11" s="7">
        <f t="shared" ref="J11:J16" si="11">SUM(G11:I11)</f>
        <v>171608</v>
      </c>
      <c r="K11" s="6">
        <f t="shared" si="7"/>
        <v>2084591</v>
      </c>
      <c r="L11" s="7">
        <f t="shared" si="8"/>
        <v>0</v>
      </c>
      <c r="M11" s="7">
        <f t="shared" si="9"/>
        <v>0</v>
      </c>
      <c r="N11" s="7">
        <f t="shared" si="10"/>
        <v>2084591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3">
        <f t="shared" si="2"/>
        <v>1912983</v>
      </c>
      <c r="AB11" s="3">
        <f t="shared" si="2"/>
        <v>0</v>
      </c>
      <c r="AC11" s="3">
        <f t="shared" si="2"/>
        <v>0</v>
      </c>
      <c r="AD11" s="3">
        <f>SUM(AA11:AC11)</f>
        <v>1912983</v>
      </c>
      <c r="AE11" s="3">
        <f t="shared" si="3"/>
        <v>171608</v>
      </c>
      <c r="AF11" s="3">
        <f t="shared" si="3"/>
        <v>0</v>
      </c>
      <c r="AG11" s="3">
        <f t="shared" si="3"/>
        <v>0</v>
      </c>
      <c r="AH11" s="3">
        <f t="shared" si="4"/>
        <v>171608</v>
      </c>
      <c r="AI11" s="3">
        <f t="shared" si="5"/>
        <v>2084591</v>
      </c>
      <c r="AJ11" s="3">
        <f t="shared" si="5"/>
        <v>0</v>
      </c>
      <c r="AK11" s="3">
        <f t="shared" si="5"/>
        <v>0</v>
      </c>
      <c r="AL11" s="3">
        <f t="shared" si="6"/>
        <v>2084591</v>
      </c>
    </row>
    <row r="12" spans="1:38" ht="31.5" x14ac:dyDescent="0.25">
      <c r="A12" s="15" t="s">
        <v>189</v>
      </c>
      <c r="B12" s="15" t="s">
        <v>194</v>
      </c>
      <c r="C12" s="6">
        <v>573547</v>
      </c>
      <c r="D12" s="5">
        <v>339020</v>
      </c>
      <c r="E12" s="6"/>
      <c r="F12" s="7">
        <f t="shared" si="0"/>
        <v>912567</v>
      </c>
      <c r="G12" s="7">
        <f>11381+4732</f>
        <v>16113</v>
      </c>
      <c r="H12" s="7">
        <v>3561</v>
      </c>
      <c r="I12" s="7"/>
      <c r="J12" s="7">
        <f t="shared" si="11"/>
        <v>19674</v>
      </c>
      <c r="K12" s="6">
        <f t="shared" ref="K12:K16" si="12">SUM(G12+C12)</f>
        <v>589660</v>
      </c>
      <c r="L12" s="7">
        <f t="shared" ref="L12:L16" si="13">SUM(H12+D12)</f>
        <v>342581</v>
      </c>
      <c r="M12" s="7">
        <f t="shared" ref="M12:M16" si="14">SUM(I12+E12)</f>
        <v>0</v>
      </c>
      <c r="N12" s="7">
        <f t="shared" ref="N12:N16" si="15">SUM(K12:M12)</f>
        <v>932241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3">
        <f t="shared" ref="AA12:AD16" si="16">SUM(C12+O12)</f>
        <v>573547</v>
      </c>
      <c r="AB12" s="3">
        <f t="shared" si="16"/>
        <v>339020</v>
      </c>
      <c r="AC12" s="3">
        <f t="shared" si="16"/>
        <v>0</v>
      </c>
      <c r="AD12" s="3">
        <f t="shared" si="16"/>
        <v>912567</v>
      </c>
      <c r="AE12" s="3">
        <f t="shared" ref="AE12:AL16" si="17">SUM(G12+S12)</f>
        <v>16113</v>
      </c>
      <c r="AF12" s="3">
        <f t="shared" si="17"/>
        <v>3561</v>
      </c>
      <c r="AG12" s="3">
        <f t="shared" si="17"/>
        <v>0</v>
      </c>
      <c r="AH12" s="3">
        <f t="shared" si="17"/>
        <v>19674</v>
      </c>
      <c r="AI12" s="3">
        <f t="shared" si="17"/>
        <v>589660</v>
      </c>
      <c r="AJ12" s="3">
        <f t="shared" si="17"/>
        <v>342581</v>
      </c>
      <c r="AK12" s="3">
        <f t="shared" si="17"/>
        <v>0</v>
      </c>
      <c r="AL12" s="3">
        <f t="shared" si="17"/>
        <v>932241</v>
      </c>
    </row>
    <row r="13" spans="1:38" ht="31.5" x14ac:dyDescent="0.25">
      <c r="A13" s="15" t="s">
        <v>24</v>
      </c>
      <c r="B13" s="15"/>
      <c r="C13" s="6">
        <v>231000</v>
      </c>
      <c r="D13" s="5"/>
      <c r="E13" s="6"/>
      <c r="F13" s="7">
        <f t="shared" si="0"/>
        <v>231000</v>
      </c>
      <c r="G13" s="7"/>
      <c r="H13" s="7"/>
      <c r="I13" s="7"/>
      <c r="J13" s="7">
        <f t="shared" si="11"/>
        <v>0</v>
      </c>
      <c r="K13" s="6">
        <f t="shared" si="12"/>
        <v>231000</v>
      </c>
      <c r="L13" s="7">
        <f t="shared" si="13"/>
        <v>0</v>
      </c>
      <c r="M13" s="7">
        <f t="shared" si="14"/>
        <v>0</v>
      </c>
      <c r="N13" s="7">
        <f t="shared" si="15"/>
        <v>231000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3">
        <f t="shared" si="16"/>
        <v>231000</v>
      </c>
      <c r="AB13" s="3">
        <f t="shared" si="16"/>
        <v>0</v>
      </c>
      <c r="AC13" s="3">
        <f t="shared" si="16"/>
        <v>0</v>
      </c>
      <c r="AD13" s="3">
        <f t="shared" si="16"/>
        <v>231000</v>
      </c>
      <c r="AE13" s="3">
        <f t="shared" si="17"/>
        <v>0</v>
      </c>
      <c r="AF13" s="3">
        <f t="shared" si="17"/>
        <v>0</v>
      </c>
      <c r="AG13" s="3">
        <f t="shared" si="17"/>
        <v>0</v>
      </c>
      <c r="AH13" s="3">
        <f t="shared" si="17"/>
        <v>0</v>
      </c>
      <c r="AI13" s="3">
        <f t="shared" si="17"/>
        <v>231000</v>
      </c>
      <c r="AJ13" s="3">
        <f t="shared" si="17"/>
        <v>0</v>
      </c>
      <c r="AK13" s="3">
        <f t="shared" si="17"/>
        <v>0</v>
      </c>
      <c r="AL13" s="3">
        <f t="shared" si="17"/>
        <v>231000</v>
      </c>
    </row>
    <row r="14" spans="1:38" ht="31.5" x14ac:dyDescent="0.25">
      <c r="A14" s="15" t="s">
        <v>25</v>
      </c>
      <c r="B14" s="15"/>
      <c r="C14" s="6">
        <v>176100</v>
      </c>
      <c r="D14" s="5"/>
      <c r="E14" s="6"/>
      <c r="F14" s="7">
        <f t="shared" si="0"/>
        <v>176100</v>
      </c>
      <c r="G14" s="7"/>
      <c r="H14" s="7"/>
      <c r="I14" s="7"/>
      <c r="J14" s="7">
        <f t="shared" si="11"/>
        <v>0</v>
      </c>
      <c r="K14" s="6">
        <f t="shared" si="12"/>
        <v>176100</v>
      </c>
      <c r="L14" s="7">
        <f t="shared" si="13"/>
        <v>0</v>
      </c>
      <c r="M14" s="7">
        <f t="shared" si="14"/>
        <v>0</v>
      </c>
      <c r="N14" s="7">
        <f t="shared" si="15"/>
        <v>176100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3">
        <f t="shared" si="16"/>
        <v>176100</v>
      </c>
      <c r="AB14" s="3">
        <f t="shared" si="16"/>
        <v>0</v>
      </c>
      <c r="AC14" s="3">
        <f t="shared" si="16"/>
        <v>0</v>
      </c>
      <c r="AD14" s="3">
        <f t="shared" si="16"/>
        <v>176100</v>
      </c>
      <c r="AE14" s="3">
        <f t="shared" si="17"/>
        <v>0</v>
      </c>
      <c r="AF14" s="3">
        <f t="shared" si="17"/>
        <v>0</v>
      </c>
      <c r="AG14" s="3">
        <f t="shared" si="17"/>
        <v>0</v>
      </c>
      <c r="AH14" s="3">
        <f t="shared" si="17"/>
        <v>0</v>
      </c>
      <c r="AI14" s="3">
        <f t="shared" si="17"/>
        <v>176100</v>
      </c>
      <c r="AJ14" s="3">
        <f t="shared" si="17"/>
        <v>0</v>
      </c>
      <c r="AK14" s="3">
        <f t="shared" si="17"/>
        <v>0</v>
      </c>
      <c r="AL14" s="3">
        <f t="shared" si="17"/>
        <v>176100</v>
      </c>
    </row>
    <row r="15" spans="1:38" x14ac:dyDescent="0.25">
      <c r="A15" s="15" t="s">
        <v>26</v>
      </c>
      <c r="B15" s="15"/>
      <c r="C15" s="6"/>
      <c r="D15" s="5">
        <v>301800</v>
      </c>
      <c r="E15" s="6"/>
      <c r="F15" s="7">
        <f t="shared" si="0"/>
        <v>301800</v>
      </c>
      <c r="G15" s="7"/>
      <c r="H15" s="7"/>
      <c r="I15" s="7"/>
      <c r="J15" s="7">
        <f t="shared" si="11"/>
        <v>0</v>
      </c>
      <c r="K15" s="6">
        <f t="shared" si="12"/>
        <v>0</v>
      </c>
      <c r="L15" s="7">
        <f t="shared" si="13"/>
        <v>301800</v>
      </c>
      <c r="M15" s="7">
        <f t="shared" si="14"/>
        <v>0</v>
      </c>
      <c r="N15" s="7">
        <f t="shared" si="15"/>
        <v>301800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3">
        <f t="shared" si="16"/>
        <v>0</v>
      </c>
      <c r="AB15" s="3">
        <f t="shared" si="16"/>
        <v>301800</v>
      </c>
      <c r="AC15" s="3">
        <f t="shared" si="16"/>
        <v>0</v>
      </c>
      <c r="AD15" s="3">
        <f t="shared" si="16"/>
        <v>301800</v>
      </c>
      <c r="AE15" s="3">
        <f t="shared" si="17"/>
        <v>0</v>
      </c>
      <c r="AF15" s="3">
        <f t="shared" si="17"/>
        <v>0</v>
      </c>
      <c r="AG15" s="3">
        <f t="shared" si="17"/>
        <v>0</v>
      </c>
      <c r="AH15" s="3">
        <f t="shared" si="17"/>
        <v>0</v>
      </c>
      <c r="AI15" s="3">
        <f t="shared" si="17"/>
        <v>0</v>
      </c>
      <c r="AJ15" s="3">
        <f t="shared" si="17"/>
        <v>301800</v>
      </c>
      <c r="AK15" s="3">
        <f t="shared" si="17"/>
        <v>0</v>
      </c>
      <c r="AL15" s="3">
        <f t="shared" si="17"/>
        <v>301800</v>
      </c>
    </row>
    <row r="16" spans="1:38" ht="36.75" customHeight="1" x14ac:dyDescent="0.25">
      <c r="A16" s="15" t="s">
        <v>320</v>
      </c>
      <c r="B16" s="15" t="s">
        <v>1121</v>
      </c>
      <c r="C16" s="6">
        <v>258248</v>
      </c>
      <c r="D16" s="5"/>
      <c r="E16" s="6"/>
      <c r="F16" s="7">
        <f t="shared" si="0"/>
        <v>258248</v>
      </c>
      <c r="G16" s="7">
        <f>1-1</f>
        <v>0</v>
      </c>
      <c r="H16" s="7"/>
      <c r="I16" s="7"/>
      <c r="J16" s="7">
        <f t="shared" si="11"/>
        <v>0</v>
      </c>
      <c r="K16" s="6">
        <f t="shared" si="12"/>
        <v>258248</v>
      </c>
      <c r="L16" s="7">
        <f t="shared" si="13"/>
        <v>0</v>
      </c>
      <c r="M16" s="7">
        <f t="shared" si="14"/>
        <v>0</v>
      </c>
      <c r="N16" s="7">
        <f t="shared" si="15"/>
        <v>258248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3">
        <f t="shared" si="16"/>
        <v>258248</v>
      </c>
      <c r="AB16" s="3">
        <f t="shared" si="16"/>
        <v>0</v>
      </c>
      <c r="AC16" s="3">
        <f t="shared" si="16"/>
        <v>0</v>
      </c>
      <c r="AD16" s="3">
        <f t="shared" si="16"/>
        <v>258248</v>
      </c>
      <c r="AE16" s="3">
        <f t="shared" si="17"/>
        <v>0</v>
      </c>
      <c r="AF16" s="3">
        <f t="shared" si="17"/>
        <v>0</v>
      </c>
      <c r="AG16" s="3">
        <f t="shared" si="17"/>
        <v>0</v>
      </c>
      <c r="AH16" s="3">
        <f t="shared" si="17"/>
        <v>0</v>
      </c>
      <c r="AI16" s="3">
        <f t="shared" si="17"/>
        <v>258248</v>
      </c>
      <c r="AJ16" s="3">
        <f t="shared" si="17"/>
        <v>0</v>
      </c>
      <c r="AK16" s="3">
        <f t="shared" si="17"/>
        <v>0</v>
      </c>
      <c r="AL16" s="3">
        <f t="shared" si="17"/>
        <v>258248</v>
      </c>
    </row>
    <row r="17" spans="1:38" s="345" customFormat="1" ht="31.5" x14ac:dyDescent="0.25">
      <c r="A17" s="344" t="s">
        <v>190</v>
      </c>
      <c r="B17" s="344" t="s">
        <v>195</v>
      </c>
      <c r="C17" s="8">
        <f t="shared" ref="C17:F17" si="18">SUM(C9:C11,C12,C16)</f>
        <v>4661809</v>
      </c>
      <c r="D17" s="8">
        <f t="shared" si="18"/>
        <v>339947</v>
      </c>
      <c r="E17" s="8">
        <f t="shared" si="18"/>
        <v>0</v>
      </c>
      <c r="F17" s="8">
        <f t="shared" si="18"/>
        <v>5001756</v>
      </c>
      <c r="G17" s="8">
        <f t="shared" ref="G17:AD17" si="19">SUM(G9:G11,G12,G16)</f>
        <v>307069</v>
      </c>
      <c r="H17" s="8">
        <f t="shared" si="19"/>
        <v>3648</v>
      </c>
      <c r="I17" s="8">
        <f t="shared" si="19"/>
        <v>0</v>
      </c>
      <c r="J17" s="8">
        <f t="shared" si="19"/>
        <v>310717</v>
      </c>
      <c r="K17" s="8">
        <f t="shared" si="19"/>
        <v>4968878</v>
      </c>
      <c r="L17" s="8">
        <f t="shared" si="19"/>
        <v>343595</v>
      </c>
      <c r="M17" s="8">
        <f t="shared" si="19"/>
        <v>0</v>
      </c>
      <c r="N17" s="8">
        <f t="shared" si="19"/>
        <v>5312473</v>
      </c>
      <c r="O17" s="8">
        <f t="shared" si="19"/>
        <v>0</v>
      </c>
      <c r="P17" s="8">
        <f t="shared" si="19"/>
        <v>0</v>
      </c>
      <c r="Q17" s="8">
        <f t="shared" si="19"/>
        <v>0</v>
      </c>
      <c r="R17" s="8">
        <f t="shared" si="19"/>
        <v>0</v>
      </c>
      <c r="S17" s="8">
        <f t="shared" si="19"/>
        <v>0</v>
      </c>
      <c r="T17" s="8">
        <f t="shared" si="19"/>
        <v>0</v>
      </c>
      <c r="U17" s="8">
        <f t="shared" si="19"/>
        <v>0</v>
      </c>
      <c r="V17" s="8">
        <f t="shared" si="19"/>
        <v>0</v>
      </c>
      <c r="W17" s="8">
        <f t="shared" si="19"/>
        <v>0</v>
      </c>
      <c r="X17" s="8">
        <f t="shared" si="19"/>
        <v>0</v>
      </c>
      <c r="Y17" s="8">
        <f t="shared" si="19"/>
        <v>0</v>
      </c>
      <c r="Z17" s="8">
        <f t="shared" si="19"/>
        <v>0</v>
      </c>
      <c r="AA17" s="8">
        <f t="shared" si="19"/>
        <v>4661809</v>
      </c>
      <c r="AB17" s="8">
        <f t="shared" si="19"/>
        <v>339947</v>
      </c>
      <c r="AC17" s="8">
        <f t="shared" si="19"/>
        <v>0</v>
      </c>
      <c r="AD17" s="8">
        <f t="shared" si="19"/>
        <v>5001756</v>
      </c>
      <c r="AE17" s="8">
        <f t="shared" ref="AE17:AL17" si="20">SUM(AE9:AE11,AE12,AE16)</f>
        <v>307069</v>
      </c>
      <c r="AF17" s="8">
        <f t="shared" si="20"/>
        <v>3648</v>
      </c>
      <c r="AG17" s="8">
        <f t="shared" si="20"/>
        <v>0</v>
      </c>
      <c r="AH17" s="8">
        <f t="shared" si="20"/>
        <v>310717</v>
      </c>
      <c r="AI17" s="8">
        <f t="shared" si="20"/>
        <v>4968878</v>
      </c>
      <c r="AJ17" s="8">
        <f t="shared" si="20"/>
        <v>343595</v>
      </c>
      <c r="AK17" s="8">
        <f t="shared" si="20"/>
        <v>0</v>
      </c>
      <c r="AL17" s="8">
        <f t="shared" si="20"/>
        <v>5312473</v>
      </c>
    </row>
    <row r="18" spans="1:38" s="345" customFormat="1" ht="31.5" x14ac:dyDescent="0.25">
      <c r="A18" s="344" t="s">
        <v>227</v>
      </c>
      <c r="B18" s="344" t="s">
        <v>228</v>
      </c>
      <c r="C18" s="8">
        <v>36970</v>
      </c>
      <c r="D18" s="8">
        <v>32120</v>
      </c>
      <c r="E18" s="8"/>
      <c r="F18" s="8">
        <f>SUM(C18:E18)</f>
        <v>69090</v>
      </c>
      <c r="G18" s="8">
        <f>18+2494+320+35314+18746+230</f>
        <v>57122</v>
      </c>
      <c r="H18" s="8">
        <f>20000+1000+106300</f>
        <v>127300</v>
      </c>
      <c r="I18" s="8"/>
      <c r="J18" s="8">
        <f>SUM(G18:I18)</f>
        <v>184422</v>
      </c>
      <c r="K18" s="8">
        <f t="shared" ref="K18" si="21">SUM(G18+C18)</f>
        <v>94092</v>
      </c>
      <c r="L18" s="8">
        <f t="shared" ref="L18" si="22">SUM(H18+D18)</f>
        <v>159420</v>
      </c>
      <c r="M18" s="8">
        <f t="shared" ref="M18" si="23">SUM(I18+E18)</f>
        <v>0</v>
      </c>
      <c r="N18" s="8">
        <f t="shared" ref="N18" si="24">SUM(K18:M18)</f>
        <v>253512</v>
      </c>
      <c r="O18" s="8">
        <v>819345</v>
      </c>
      <c r="P18" s="8">
        <v>501020</v>
      </c>
      <c r="Q18" s="8">
        <v>76031</v>
      </c>
      <c r="R18" s="8">
        <f>SUM(O18:Q18)</f>
        <v>1396396</v>
      </c>
      <c r="S18" s="8">
        <v>102838</v>
      </c>
      <c r="T18" s="8">
        <v>172064</v>
      </c>
      <c r="U18" s="8">
        <v>0</v>
      </c>
      <c r="V18" s="8">
        <f>SUM(S18:U18)</f>
        <v>274902</v>
      </c>
      <c r="W18" s="8">
        <f>SUM(S18+O18)</f>
        <v>922183</v>
      </c>
      <c r="X18" s="8">
        <f>SUM(T18+P18)</f>
        <v>673084</v>
      </c>
      <c r="Y18" s="8">
        <f>SUM(Q18+U18)</f>
        <v>76031</v>
      </c>
      <c r="Z18" s="8">
        <f>SUM(W18:Y18)</f>
        <v>1671298</v>
      </c>
      <c r="AA18" s="3">
        <f>SUM(C18+O18)</f>
        <v>856315</v>
      </c>
      <c r="AB18" s="3">
        <f>SUM(D18+P18)</f>
        <v>533140</v>
      </c>
      <c r="AC18" s="3">
        <f>SUM(E18+Q18)</f>
        <v>76031</v>
      </c>
      <c r="AD18" s="3">
        <f>SUM(F18+R18)</f>
        <v>1465486</v>
      </c>
      <c r="AE18" s="3">
        <f t="shared" ref="AE18:AL18" si="25">SUM(G18+S18)</f>
        <v>159960</v>
      </c>
      <c r="AF18" s="3">
        <f t="shared" si="25"/>
        <v>299364</v>
      </c>
      <c r="AG18" s="3">
        <f t="shared" si="25"/>
        <v>0</v>
      </c>
      <c r="AH18" s="3">
        <f t="shared" si="25"/>
        <v>459324</v>
      </c>
      <c r="AI18" s="3">
        <f t="shared" si="25"/>
        <v>1016275</v>
      </c>
      <c r="AJ18" s="3">
        <f t="shared" si="25"/>
        <v>832504</v>
      </c>
      <c r="AK18" s="3">
        <f t="shared" si="25"/>
        <v>76031</v>
      </c>
      <c r="AL18" s="3">
        <f t="shared" si="25"/>
        <v>1924810</v>
      </c>
    </row>
    <row r="19" spans="1:38" ht="31.5" x14ac:dyDescent="0.25">
      <c r="A19" s="346" t="s">
        <v>229</v>
      </c>
      <c r="B19" s="346" t="s">
        <v>165</v>
      </c>
      <c r="C19" s="3">
        <f>SUM(C17+C18)</f>
        <v>4698779</v>
      </c>
      <c r="D19" s="3">
        <f t="shared" ref="D19:F19" si="26">SUM(D17+D18)</f>
        <v>372067</v>
      </c>
      <c r="E19" s="3">
        <f t="shared" si="26"/>
        <v>0</v>
      </c>
      <c r="F19" s="3">
        <f t="shared" si="26"/>
        <v>5070846</v>
      </c>
      <c r="G19" s="3">
        <f t="shared" ref="G19:AD19" si="27">SUM(G17+G18)</f>
        <v>364191</v>
      </c>
      <c r="H19" s="3">
        <f t="shared" si="27"/>
        <v>130948</v>
      </c>
      <c r="I19" s="3">
        <f t="shared" si="27"/>
        <v>0</v>
      </c>
      <c r="J19" s="3">
        <f t="shared" si="27"/>
        <v>495139</v>
      </c>
      <c r="K19" s="3">
        <f t="shared" si="27"/>
        <v>5062970</v>
      </c>
      <c r="L19" s="3">
        <f t="shared" si="27"/>
        <v>503015</v>
      </c>
      <c r="M19" s="3">
        <f t="shared" si="27"/>
        <v>0</v>
      </c>
      <c r="N19" s="3">
        <f t="shared" si="27"/>
        <v>5565985</v>
      </c>
      <c r="O19" s="3">
        <f t="shared" si="27"/>
        <v>819345</v>
      </c>
      <c r="P19" s="3">
        <f t="shared" si="27"/>
        <v>501020</v>
      </c>
      <c r="Q19" s="3">
        <f t="shared" si="27"/>
        <v>76031</v>
      </c>
      <c r="R19" s="3">
        <f t="shared" si="27"/>
        <v>1396396</v>
      </c>
      <c r="S19" s="3">
        <f t="shared" si="27"/>
        <v>102838</v>
      </c>
      <c r="T19" s="3">
        <f t="shared" si="27"/>
        <v>172064</v>
      </c>
      <c r="U19" s="3">
        <f t="shared" si="27"/>
        <v>0</v>
      </c>
      <c r="V19" s="3">
        <f t="shared" si="27"/>
        <v>274902</v>
      </c>
      <c r="W19" s="3">
        <f t="shared" si="27"/>
        <v>922183</v>
      </c>
      <c r="X19" s="3">
        <f t="shared" si="27"/>
        <v>673084</v>
      </c>
      <c r="Y19" s="3">
        <f t="shared" si="27"/>
        <v>76031</v>
      </c>
      <c r="Z19" s="3">
        <f t="shared" si="27"/>
        <v>1671298</v>
      </c>
      <c r="AA19" s="3">
        <f t="shared" si="27"/>
        <v>5518124</v>
      </c>
      <c r="AB19" s="3">
        <f t="shared" si="27"/>
        <v>873087</v>
      </c>
      <c r="AC19" s="3">
        <f t="shared" si="27"/>
        <v>76031</v>
      </c>
      <c r="AD19" s="3">
        <f t="shared" si="27"/>
        <v>6467242</v>
      </c>
      <c r="AE19" s="3">
        <f t="shared" ref="AE19:AL19" si="28">SUM(AE17+AE18)</f>
        <v>467029</v>
      </c>
      <c r="AF19" s="3">
        <f t="shared" si="28"/>
        <v>303012</v>
      </c>
      <c r="AG19" s="3">
        <f t="shared" si="28"/>
        <v>0</v>
      </c>
      <c r="AH19" s="3">
        <f t="shared" si="28"/>
        <v>770041</v>
      </c>
      <c r="AI19" s="3">
        <f t="shared" si="28"/>
        <v>5985153</v>
      </c>
      <c r="AJ19" s="3">
        <f t="shared" si="28"/>
        <v>1176099</v>
      </c>
      <c r="AK19" s="3">
        <f t="shared" si="28"/>
        <v>76031</v>
      </c>
      <c r="AL19" s="3">
        <f t="shared" si="28"/>
        <v>7237283</v>
      </c>
    </row>
    <row r="20" spans="1:38" s="348" customFormat="1" ht="31.5" x14ac:dyDescent="0.25">
      <c r="A20" s="344" t="s">
        <v>230</v>
      </c>
      <c r="B20" s="347" t="s">
        <v>196</v>
      </c>
      <c r="C20" s="21"/>
      <c r="D20" s="66">
        <v>30000</v>
      </c>
      <c r="E20" s="21">
        <v>0</v>
      </c>
      <c r="F20" s="22">
        <f>SUM(C20:E20)</f>
        <v>30000</v>
      </c>
      <c r="G20" s="22">
        <v>4000</v>
      </c>
      <c r="H20" s="22"/>
      <c r="I20" s="22"/>
      <c r="J20" s="22">
        <f>SUM(G20:I20)</f>
        <v>4000</v>
      </c>
      <c r="K20" s="21">
        <f t="shared" ref="K20:K21" si="29">SUM(G20+C20)</f>
        <v>4000</v>
      </c>
      <c r="L20" s="22">
        <f t="shared" ref="L20:L21" si="30">SUM(H20+D20)</f>
        <v>30000</v>
      </c>
      <c r="M20" s="22">
        <f t="shared" ref="M20:M21" si="31">SUM(I20+E20)</f>
        <v>0</v>
      </c>
      <c r="N20" s="22">
        <f t="shared" ref="N20:N21" si="32">SUM(K20:M20)</f>
        <v>34000</v>
      </c>
      <c r="O20" s="21"/>
      <c r="P20" s="21"/>
      <c r="Q20" s="21"/>
      <c r="R20" s="21">
        <f>SUM(O20:Q20)</f>
        <v>0</v>
      </c>
      <c r="S20" s="21"/>
      <c r="T20" s="21"/>
      <c r="U20" s="21"/>
      <c r="V20" s="21">
        <f>SUM(S20:U20)</f>
        <v>0</v>
      </c>
      <c r="W20" s="21">
        <f>SUM(S20+O20)</f>
        <v>0</v>
      </c>
      <c r="X20" s="21">
        <f>SUM(T20+P20)</f>
        <v>0</v>
      </c>
      <c r="Y20" s="21">
        <f>SUM(Q20+U20)</f>
        <v>0</v>
      </c>
      <c r="Z20" s="21">
        <f>SUM(W20:Y20)</f>
        <v>0</v>
      </c>
      <c r="AA20" s="3">
        <f t="shared" ref="AA20:AD21" si="33">SUM(C20+O20)</f>
        <v>0</v>
      </c>
      <c r="AB20" s="3">
        <f t="shared" si="33"/>
        <v>30000</v>
      </c>
      <c r="AC20" s="3">
        <f t="shared" si="33"/>
        <v>0</v>
      </c>
      <c r="AD20" s="3">
        <f t="shared" si="33"/>
        <v>30000</v>
      </c>
      <c r="AE20" s="3">
        <f t="shared" ref="AE20:AL21" si="34">SUM(G20+S20)</f>
        <v>4000</v>
      </c>
      <c r="AF20" s="3">
        <f t="shared" si="34"/>
        <v>0</v>
      </c>
      <c r="AG20" s="3">
        <f t="shared" si="34"/>
        <v>0</v>
      </c>
      <c r="AH20" s="3">
        <f t="shared" si="34"/>
        <v>4000</v>
      </c>
      <c r="AI20" s="3">
        <f t="shared" si="34"/>
        <v>4000</v>
      </c>
      <c r="AJ20" s="3">
        <f t="shared" si="34"/>
        <v>30000</v>
      </c>
      <c r="AK20" s="3">
        <f t="shared" si="34"/>
        <v>0</v>
      </c>
      <c r="AL20" s="3">
        <f t="shared" si="34"/>
        <v>34000</v>
      </c>
    </row>
    <row r="21" spans="1:38" s="348" customFormat="1" ht="31.5" x14ac:dyDescent="0.25">
      <c r="A21" s="344" t="s">
        <v>232</v>
      </c>
      <c r="B21" s="347" t="s">
        <v>231</v>
      </c>
      <c r="C21" s="21">
        <v>2276600</v>
      </c>
      <c r="D21" s="66">
        <v>14423932</v>
      </c>
      <c r="E21" s="21">
        <v>0</v>
      </c>
      <c r="F21" s="22">
        <f>SUM(C21:E21)</f>
        <v>16700532</v>
      </c>
      <c r="G21" s="22">
        <f>792498-230</f>
        <v>792268</v>
      </c>
      <c r="H21" s="22">
        <f>28639-106300+1</f>
        <v>-77660</v>
      </c>
      <c r="I21" s="22"/>
      <c r="J21" s="22">
        <f>SUM(G21:I21)</f>
        <v>714608</v>
      </c>
      <c r="K21" s="21">
        <f t="shared" si="29"/>
        <v>3068868</v>
      </c>
      <c r="L21" s="22">
        <f t="shared" si="30"/>
        <v>14346272</v>
      </c>
      <c r="M21" s="22">
        <f t="shared" si="31"/>
        <v>0</v>
      </c>
      <c r="N21" s="22">
        <f t="shared" si="32"/>
        <v>17415140</v>
      </c>
      <c r="O21" s="21"/>
      <c r="P21" s="21"/>
      <c r="Q21" s="21"/>
      <c r="R21" s="21">
        <f>SUM(O21:Q21)</f>
        <v>0</v>
      </c>
      <c r="S21" s="21"/>
      <c r="T21" s="21">
        <v>29975</v>
      </c>
      <c r="U21" s="21"/>
      <c r="V21" s="21">
        <f>SUM(S21:U21)</f>
        <v>29975</v>
      </c>
      <c r="W21" s="21">
        <f>SUM(S21+O21)</f>
        <v>0</v>
      </c>
      <c r="X21" s="21">
        <f>SUM(T21+P21)</f>
        <v>29975</v>
      </c>
      <c r="Y21" s="21">
        <f>SUM(Q21+U21)</f>
        <v>0</v>
      </c>
      <c r="Z21" s="21">
        <f>SUM(W21:Y21)</f>
        <v>29975</v>
      </c>
      <c r="AA21" s="3">
        <f t="shared" si="33"/>
        <v>2276600</v>
      </c>
      <c r="AB21" s="3">
        <f t="shared" si="33"/>
        <v>14423932</v>
      </c>
      <c r="AC21" s="3">
        <f t="shared" si="33"/>
        <v>0</v>
      </c>
      <c r="AD21" s="3">
        <f t="shared" si="33"/>
        <v>16700532</v>
      </c>
      <c r="AE21" s="3">
        <f t="shared" si="34"/>
        <v>792268</v>
      </c>
      <c r="AF21" s="3">
        <f t="shared" si="34"/>
        <v>-47685</v>
      </c>
      <c r="AG21" s="3">
        <f t="shared" si="34"/>
        <v>0</v>
      </c>
      <c r="AH21" s="3">
        <f t="shared" si="34"/>
        <v>744583</v>
      </c>
      <c r="AI21" s="3">
        <f t="shared" si="34"/>
        <v>3068868</v>
      </c>
      <c r="AJ21" s="3">
        <f t="shared" si="34"/>
        <v>14376247</v>
      </c>
      <c r="AK21" s="3">
        <f t="shared" si="34"/>
        <v>0</v>
      </c>
      <c r="AL21" s="3">
        <f t="shared" si="34"/>
        <v>17445115</v>
      </c>
    </row>
    <row r="22" spans="1:38" s="350" customFormat="1" ht="31.5" x14ac:dyDescent="0.25">
      <c r="A22" s="346" t="s">
        <v>233</v>
      </c>
      <c r="B22" s="349" t="s">
        <v>166</v>
      </c>
      <c r="C22" s="23">
        <f>SUM(C20+C21)</f>
        <v>2276600</v>
      </c>
      <c r="D22" s="23">
        <f t="shared" ref="D22:F22" si="35">SUM(D20+D21)</f>
        <v>14453932</v>
      </c>
      <c r="E22" s="23">
        <f t="shared" si="35"/>
        <v>0</v>
      </c>
      <c r="F22" s="23">
        <f t="shared" si="35"/>
        <v>16730532</v>
      </c>
      <c r="G22" s="23">
        <f t="shared" ref="G22:AD22" si="36">SUM(G20+G21)</f>
        <v>796268</v>
      </c>
      <c r="H22" s="23">
        <f t="shared" si="36"/>
        <v>-77660</v>
      </c>
      <c r="I22" s="23">
        <f t="shared" si="36"/>
        <v>0</v>
      </c>
      <c r="J22" s="23">
        <f t="shared" si="36"/>
        <v>718608</v>
      </c>
      <c r="K22" s="23">
        <f t="shared" si="36"/>
        <v>3072868</v>
      </c>
      <c r="L22" s="23">
        <f t="shared" si="36"/>
        <v>14376272</v>
      </c>
      <c r="M22" s="23">
        <f t="shared" si="36"/>
        <v>0</v>
      </c>
      <c r="N22" s="23">
        <f t="shared" si="36"/>
        <v>17449140</v>
      </c>
      <c r="O22" s="23">
        <f t="shared" si="36"/>
        <v>0</v>
      </c>
      <c r="P22" s="23">
        <f t="shared" si="36"/>
        <v>0</v>
      </c>
      <c r="Q22" s="23">
        <f t="shared" si="36"/>
        <v>0</v>
      </c>
      <c r="R22" s="23">
        <f t="shared" si="36"/>
        <v>0</v>
      </c>
      <c r="S22" s="23">
        <f t="shared" si="36"/>
        <v>0</v>
      </c>
      <c r="T22" s="23">
        <f t="shared" si="36"/>
        <v>29975</v>
      </c>
      <c r="U22" s="23">
        <f t="shared" si="36"/>
        <v>0</v>
      </c>
      <c r="V22" s="23">
        <f t="shared" si="36"/>
        <v>29975</v>
      </c>
      <c r="W22" s="23">
        <f t="shared" si="36"/>
        <v>0</v>
      </c>
      <c r="X22" s="23">
        <f t="shared" si="36"/>
        <v>29975</v>
      </c>
      <c r="Y22" s="23">
        <f t="shared" si="36"/>
        <v>0</v>
      </c>
      <c r="Z22" s="23">
        <f t="shared" si="36"/>
        <v>29975</v>
      </c>
      <c r="AA22" s="23">
        <f t="shared" si="36"/>
        <v>2276600</v>
      </c>
      <c r="AB22" s="23">
        <f t="shared" si="36"/>
        <v>14453932</v>
      </c>
      <c r="AC22" s="23">
        <f t="shared" si="36"/>
        <v>0</v>
      </c>
      <c r="AD22" s="23">
        <f t="shared" si="36"/>
        <v>16730532</v>
      </c>
      <c r="AE22" s="23">
        <f t="shared" ref="AE22:AL22" si="37">SUM(AE20+AE21)</f>
        <v>796268</v>
      </c>
      <c r="AF22" s="23">
        <f t="shared" si="37"/>
        <v>-47685</v>
      </c>
      <c r="AG22" s="23">
        <f t="shared" si="37"/>
        <v>0</v>
      </c>
      <c r="AH22" s="23">
        <f t="shared" si="37"/>
        <v>748583</v>
      </c>
      <c r="AI22" s="23">
        <f t="shared" si="37"/>
        <v>3072868</v>
      </c>
      <c r="AJ22" s="23">
        <f t="shared" si="37"/>
        <v>14406247</v>
      </c>
      <c r="AK22" s="23">
        <f t="shared" si="37"/>
        <v>0</v>
      </c>
      <c r="AL22" s="23">
        <f t="shared" si="37"/>
        <v>17479115</v>
      </c>
    </row>
    <row r="23" spans="1:38" ht="31.5" x14ac:dyDescent="0.25">
      <c r="A23" s="586" t="s">
        <v>1126</v>
      </c>
      <c r="B23" s="15" t="s">
        <v>1122</v>
      </c>
      <c r="C23" s="2"/>
      <c r="D23" s="263"/>
      <c r="E23" s="2"/>
      <c r="F23" s="7">
        <f>SUM(C23:E23)</f>
        <v>0</v>
      </c>
      <c r="G23" s="7">
        <v>193</v>
      </c>
      <c r="H23" s="7"/>
      <c r="I23" s="7"/>
      <c r="J23" s="7">
        <f>SUM(G23:I23)</f>
        <v>193</v>
      </c>
      <c r="K23" s="6">
        <f t="shared" ref="K23" si="38">SUM(G23+C23)</f>
        <v>193</v>
      </c>
      <c r="L23" s="7">
        <f t="shared" ref="L23" si="39">SUM(H23+D23)</f>
        <v>0</v>
      </c>
      <c r="M23" s="7">
        <f t="shared" ref="M23" si="40">SUM(I23+E23)</f>
        <v>0</v>
      </c>
      <c r="N23" s="7">
        <f t="shared" ref="N23" si="41">SUM(K23:M23)</f>
        <v>193</v>
      </c>
      <c r="O23" s="2"/>
      <c r="P23" s="2"/>
      <c r="Q23" s="2"/>
      <c r="R23" s="2">
        <f>SUM(O23:Q23)</f>
        <v>0</v>
      </c>
      <c r="S23" s="2"/>
      <c r="T23" s="2"/>
      <c r="U23" s="2"/>
      <c r="V23" s="2">
        <f>SUM(S23:U23)</f>
        <v>0</v>
      </c>
      <c r="W23" s="2">
        <f>SUM(S23+O23)</f>
        <v>0</v>
      </c>
      <c r="X23" s="2">
        <f>SUM(T23+P23)</f>
        <v>0</v>
      </c>
      <c r="Y23" s="2">
        <f>SUM(Q23+U23)</f>
        <v>0</v>
      </c>
      <c r="Z23" s="2">
        <f>SUM(W23:Y23)</f>
        <v>0</v>
      </c>
      <c r="AA23" s="3">
        <f t="shared" ref="AA23:AC24" si="42">SUM(O23+C23)</f>
        <v>0</v>
      </c>
      <c r="AB23" s="2">
        <f t="shared" si="42"/>
        <v>0</v>
      </c>
      <c r="AC23" s="2">
        <f t="shared" si="42"/>
        <v>0</v>
      </c>
      <c r="AD23" s="2">
        <f>SUM(AA23:AC23)</f>
        <v>0</v>
      </c>
      <c r="AE23" s="3">
        <f t="shared" ref="AE23" si="43">SUM(S23+G23)</f>
        <v>193</v>
      </c>
      <c r="AF23" s="2">
        <f t="shared" ref="AF23" si="44">SUM(T23+H23)</f>
        <v>0</v>
      </c>
      <c r="AG23" s="2">
        <f t="shared" ref="AG23" si="45">SUM(U23+I23)</f>
        <v>0</v>
      </c>
      <c r="AH23" s="2">
        <f t="shared" ref="AH23" si="46">SUM(AE23:AG23)</f>
        <v>193</v>
      </c>
      <c r="AI23" s="3">
        <f t="shared" ref="AI23" si="47">SUM(W23+K23)</f>
        <v>193</v>
      </c>
      <c r="AJ23" s="2">
        <f t="shared" ref="AJ23" si="48">SUM(X23+L23)</f>
        <v>0</v>
      </c>
      <c r="AK23" s="2">
        <f t="shared" ref="AK23" si="49">SUM(Y23+M23)</f>
        <v>0</v>
      </c>
      <c r="AL23" s="2">
        <f t="shared" ref="AL23" si="50">SUM(AI23:AK23)</f>
        <v>193</v>
      </c>
    </row>
    <row r="24" spans="1:38" x14ac:dyDescent="0.25">
      <c r="A24" s="15" t="s">
        <v>573</v>
      </c>
      <c r="B24" s="15" t="s">
        <v>197</v>
      </c>
      <c r="C24" s="2">
        <v>2000000</v>
      </c>
      <c r="D24" s="263"/>
      <c r="E24" s="2"/>
      <c r="F24" s="7">
        <f>SUM(C24:E24)</f>
        <v>2000000</v>
      </c>
      <c r="G24" s="7">
        <v>-80926</v>
      </c>
      <c r="H24" s="7"/>
      <c r="I24" s="7"/>
      <c r="J24" s="7">
        <f>SUM(G24:I24)</f>
        <v>-80926</v>
      </c>
      <c r="K24" s="6">
        <f t="shared" ref="K24" si="51">SUM(G24+C24)</f>
        <v>1919074</v>
      </c>
      <c r="L24" s="7">
        <f t="shared" ref="L24" si="52">SUM(H24+D24)</f>
        <v>0</v>
      </c>
      <c r="M24" s="7">
        <f t="shared" ref="M24" si="53">SUM(I24+E24)</f>
        <v>0</v>
      </c>
      <c r="N24" s="7">
        <f t="shared" ref="N24" si="54">SUM(K24:M24)</f>
        <v>1919074</v>
      </c>
      <c r="O24" s="2"/>
      <c r="P24" s="2"/>
      <c r="Q24" s="2"/>
      <c r="R24" s="2">
        <f>SUM(O24:Q24)</f>
        <v>0</v>
      </c>
      <c r="S24" s="2"/>
      <c r="T24" s="2"/>
      <c r="U24" s="2"/>
      <c r="V24" s="2">
        <f>SUM(S24:U24)</f>
        <v>0</v>
      </c>
      <c r="W24" s="2">
        <f>SUM(S24+O24)</f>
        <v>0</v>
      </c>
      <c r="X24" s="2">
        <f>SUM(T24+P24)</f>
        <v>0</v>
      </c>
      <c r="Y24" s="2">
        <f>SUM(Q24+U24)</f>
        <v>0</v>
      </c>
      <c r="Z24" s="2">
        <f>SUM(W24:Y24)</f>
        <v>0</v>
      </c>
      <c r="AA24" s="3">
        <f t="shared" si="42"/>
        <v>2000000</v>
      </c>
      <c r="AB24" s="2">
        <f t="shared" si="42"/>
        <v>0</v>
      </c>
      <c r="AC24" s="2">
        <f t="shared" si="42"/>
        <v>0</v>
      </c>
      <c r="AD24" s="2">
        <f>SUM(AA24:AC24)</f>
        <v>2000000</v>
      </c>
      <c r="AE24" s="3">
        <f t="shared" ref="AE24:AG24" si="55">SUM(S24+G24)</f>
        <v>-80926</v>
      </c>
      <c r="AF24" s="2">
        <f t="shared" si="55"/>
        <v>0</v>
      </c>
      <c r="AG24" s="2">
        <f t="shared" si="55"/>
        <v>0</v>
      </c>
      <c r="AH24" s="2">
        <f t="shared" ref="AH24" si="56">SUM(AE24:AG24)</f>
        <v>-80926</v>
      </c>
      <c r="AI24" s="3">
        <f t="shared" ref="AI24:AK24" si="57">SUM(W24+K24)</f>
        <v>1919074</v>
      </c>
      <c r="AJ24" s="2">
        <f t="shared" si="57"/>
        <v>0</v>
      </c>
      <c r="AK24" s="2">
        <f t="shared" si="57"/>
        <v>0</v>
      </c>
      <c r="AL24" s="2">
        <f t="shared" ref="AL24" si="58">SUM(AI24:AK24)</f>
        <v>1919074</v>
      </c>
    </row>
    <row r="25" spans="1:38" s="345" customFormat="1" x14ac:dyDescent="0.25">
      <c r="A25" s="344" t="s">
        <v>574</v>
      </c>
      <c r="B25" s="344" t="s">
        <v>197</v>
      </c>
      <c r="C25" s="8">
        <f t="shared" ref="C25:F25" si="59">SUM(C24:C24)</f>
        <v>2000000</v>
      </c>
      <c r="D25" s="8">
        <f t="shared" si="59"/>
        <v>0</v>
      </c>
      <c r="E25" s="8">
        <f t="shared" si="59"/>
        <v>0</v>
      </c>
      <c r="F25" s="8">
        <f t="shared" si="59"/>
        <v>2000000</v>
      </c>
      <c r="G25" s="8">
        <f t="shared" ref="G25:AD25" si="60">SUM(G24:G24)</f>
        <v>-80926</v>
      </c>
      <c r="H25" s="8">
        <f t="shared" si="60"/>
        <v>0</v>
      </c>
      <c r="I25" s="8">
        <f t="shared" si="60"/>
        <v>0</v>
      </c>
      <c r="J25" s="8">
        <f t="shared" si="60"/>
        <v>-80926</v>
      </c>
      <c r="K25" s="8">
        <f t="shared" si="60"/>
        <v>1919074</v>
      </c>
      <c r="L25" s="8">
        <f t="shared" si="60"/>
        <v>0</v>
      </c>
      <c r="M25" s="8">
        <f t="shared" si="60"/>
        <v>0</v>
      </c>
      <c r="N25" s="8">
        <f t="shared" si="60"/>
        <v>1919074</v>
      </c>
      <c r="O25" s="8">
        <f t="shared" si="60"/>
        <v>0</v>
      </c>
      <c r="P25" s="8">
        <f t="shared" si="60"/>
        <v>0</v>
      </c>
      <c r="Q25" s="8">
        <f t="shared" si="60"/>
        <v>0</v>
      </c>
      <c r="R25" s="8">
        <f t="shared" si="60"/>
        <v>0</v>
      </c>
      <c r="S25" s="8">
        <f t="shared" si="60"/>
        <v>0</v>
      </c>
      <c r="T25" s="8">
        <f t="shared" si="60"/>
        <v>0</v>
      </c>
      <c r="U25" s="8">
        <f t="shared" si="60"/>
        <v>0</v>
      </c>
      <c r="V25" s="8">
        <f t="shared" si="60"/>
        <v>0</v>
      </c>
      <c r="W25" s="8">
        <f t="shared" si="60"/>
        <v>0</v>
      </c>
      <c r="X25" s="8">
        <f t="shared" si="60"/>
        <v>0</v>
      </c>
      <c r="Y25" s="8">
        <f t="shared" si="60"/>
        <v>0</v>
      </c>
      <c r="Z25" s="8">
        <f t="shared" si="60"/>
        <v>0</v>
      </c>
      <c r="AA25" s="8">
        <f t="shared" si="60"/>
        <v>2000000</v>
      </c>
      <c r="AB25" s="8">
        <f t="shared" si="60"/>
        <v>0</v>
      </c>
      <c r="AC25" s="8">
        <f t="shared" si="60"/>
        <v>0</v>
      </c>
      <c r="AD25" s="8">
        <f t="shared" si="60"/>
        <v>2000000</v>
      </c>
      <c r="AE25" s="8">
        <f t="shared" ref="AE25:AL25" si="61">SUM(AE24:AE24)</f>
        <v>-80926</v>
      </c>
      <c r="AF25" s="8">
        <f t="shared" si="61"/>
        <v>0</v>
      </c>
      <c r="AG25" s="8">
        <f t="shared" si="61"/>
        <v>0</v>
      </c>
      <c r="AH25" s="8">
        <f t="shared" si="61"/>
        <v>-80926</v>
      </c>
      <c r="AI25" s="8">
        <f t="shared" si="61"/>
        <v>1919074</v>
      </c>
      <c r="AJ25" s="8">
        <f t="shared" si="61"/>
        <v>0</v>
      </c>
      <c r="AK25" s="8">
        <f t="shared" si="61"/>
        <v>0</v>
      </c>
      <c r="AL25" s="8">
        <f t="shared" si="61"/>
        <v>1919074</v>
      </c>
    </row>
    <row r="26" spans="1:38" x14ac:dyDescent="0.25">
      <c r="A26" s="15" t="s">
        <v>575</v>
      </c>
      <c r="B26" s="15" t="s">
        <v>198</v>
      </c>
      <c r="C26" s="2">
        <v>19000000</v>
      </c>
      <c r="D26" s="263"/>
      <c r="E26" s="2"/>
      <c r="F26" s="7">
        <f>SUM(C26:E26)</f>
        <v>19000000</v>
      </c>
      <c r="G26" s="7">
        <v>582545</v>
      </c>
      <c r="H26" s="7"/>
      <c r="I26" s="7"/>
      <c r="J26" s="7">
        <f>SUM(G26:I26)</f>
        <v>582545</v>
      </c>
      <c r="K26" s="6">
        <f t="shared" ref="K26" si="62">SUM(G26+C26)</f>
        <v>19582545</v>
      </c>
      <c r="L26" s="7">
        <f t="shared" ref="L26" si="63">SUM(H26+D26)</f>
        <v>0</v>
      </c>
      <c r="M26" s="7">
        <f t="shared" ref="M26" si="64">SUM(I26+E26)</f>
        <v>0</v>
      </c>
      <c r="N26" s="7">
        <f t="shared" ref="N26" si="65">SUM(K26:M26)</f>
        <v>19582545</v>
      </c>
      <c r="O26" s="2"/>
      <c r="P26" s="2"/>
      <c r="Q26" s="2"/>
      <c r="R26" s="2">
        <f>SUM(O26:Q26)</f>
        <v>0</v>
      </c>
      <c r="S26" s="2"/>
      <c r="T26" s="2"/>
      <c r="U26" s="2"/>
      <c r="V26" s="2">
        <f>SUM(S26:U26)</f>
        <v>0</v>
      </c>
      <c r="W26" s="2">
        <f>SUM(S26+O26)</f>
        <v>0</v>
      </c>
      <c r="X26" s="2">
        <f>SUM(T26+P26)</f>
        <v>0</v>
      </c>
      <c r="Y26" s="2">
        <f>SUM(Q26+U26)</f>
        <v>0</v>
      </c>
      <c r="Z26" s="2">
        <f>SUM(W26:Y26)</f>
        <v>0</v>
      </c>
      <c r="AA26" s="3">
        <f>SUM(O26+C26)</f>
        <v>19000000</v>
      </c>
      <c r="AB26" s="2">
        <f>SUM(P26+D26)</f>
        <v>0</v>
      </c>
      <c r="AC26" s="2">
        <f>SUM(Q26+E26)</f>
        <v>0</v>
      </c>
      <c r="AD26" s="2">
        <f>SUM(AA26:AC26)</f>
        <v>19000000</v>
      </c>
      <c r="AE26" s="3">
        <f t="shared" ref="AE26:AG26" si="66">SUM(S26+G26)</f>
        <v>582545</v>
      </c>
      <c r="AF26" s="2">
        <f t="shared" si="66"/>
        <v>0</v>
      </c>
      <c r="AG26" s="2">
        <f t="shared" si="66"/>
        <v>0</v>
      </c>
      <c r="AH26" s="2">
        <f t="shared" ref="AH26" si="67">SUM(AE26:AG26)</f>
        <v>582545</v>
      </c>
      <c r="AI26" s="3">
        <f t="shared" ref="AI26:AK26" si="68">SUM(W26+K26)</f>
        <v>19582545</v>
      </c>
      <c r="AJ26" s="2">
        <f t="shared" si="68"/>
        <v>0</v>
      </c>
      <c r="AK26" s="2">
        <f t="shared" si="68"/>
        <v>0</v>
      </c>
      <c r="AL26" s="2">
        <f t="shared" ref="AL26" si="69">SUM(AI26:AK26)</f>
        <v>19582545</v>
      </c>
    </row>
    <row r="27" spans="1:38" s="348" customFormat="1" x14ac:dyDescent="0.25">
      <c r="A27" s="344" t="s">
        <v>576</v>
      </c>
      <c r="B27" s="344" t="s">
        <v>198</v>
      </c>
      <c r="C27" s="8">
        <f>SUM(C26)</f>
        <v>19000000</v>
      </c>
      <c r="D27" s="8">
        <f t="shared" ref="D27:F27" si="70">SUM(D26)</f>
        <v>0</v>
      </c>
      <c r="E27" s="8">
        <f t="shared" si="70"/>
        <v>0</v>
      </c>
      <c r="F27" s="8">
        <f t="shared" si="70"/>
        <v>19000000</v>
      </c>
      <c r="G27" s="8">
        <f t="shared" ref="G27:AD27" si="71">SUM(G26)</f>
        <v>582545</v>
      </c>
      <c r="H27" s="8">
        <f t="shared" si="71"/>
        <v>0</v>
      </c>
      <c r="I27" s="8">
        <f t="shared" si="71"/>
        <v>0</v>
      </c>
      <c r="J27" s="8">
        <f t="shared" si="71"/>
        <v>582545</v>
      </c>
      <c r="K27" s="8">
        <f t="shared" si="71"/>
        <v>19582545</v>
      </c>
      <c r="L27" s="8">
        <f t="shared" si="71"/>
        <v>0</v>
      </c>
      <c r="M27" s="8">
        <f t="shared" si="71"/>
        <v>0</v>
      </c>
      <c r="N27" s="8">
        <f t="shared" si="71"/>
        <v>19582545</v>
      </c>
      <c r="O27" s="8">
        <f t="shared" ref="O27:Q27" si="72">SUM(O26)</f>
        <v>0</v>
      </c>
      <c r="P27" s="8">
        <f t="shared" si="72"/>
        <v>0</v>
      </c>
      <c r="Q27" s="8">
        <f t="shared" si="72"/>
        <v>0</v>
      </c>
      <c r="R27" s="8">
        <f t="shared" si="71"/>
        <v>0</v>
      </c>
      <c r="S27" s="8">
        <f t="shared" si="71"/>
        <v>0</v>
      </c>
      <c r="T27" s="8">
        <f t="shared" si="71"/>
        <v>0</v>
      </c>
      <c r="U27" s="8">
        <f t="shared" si="71"/>
        <v>0</v>
      </c>
      <c r="V27" s="8">
        <f t="shared" si="71"/>
        <v>0</v>
      </c>
      <c r="W27" s="8">
        <f t="shared" si="71"/>
        <v>0</v>
      </c>
      <c r="X27" s="8">
        <f t="shared" si="71"/>
        <v>0</v>
      </c>
      <c r="Y27" s="8">
        <f t="shared" si="71"/>
        <v>0</v>
      </c>
      <c r="Z27" s="8">
        <f t="shared" si="71"/>
        <v>0</v>
      </c>
      <c r="AA27" s="8">
        <f t="shared" si="71"/>
        <v>19000000</v>
      </c>
      <c r="AB27" s="8">
        <f t="shared" si="71"/>
        <v>0</v>
      </c>
      <c r="AC27" s="8">
        <f t="shared" si="71"/>
        <v>0</v>
      </c>
      <c r="AD27" s="8">
        <f t="shared" si="71"/>
        <v>19000000</v>
      </c>
      <c r="AE27" s="8">
        <f t="shared" ref="AE27:AL27" si="73">SUM(AE26)</f>
        <v>582545</v>
      </c>
      <c r="AF27" s="8">
        <f t="shared" si="73"/>
        <v>0</v>
      </c>
      <c r="AG27" s="8">
        <f t="shared" si="73"/>
        <v>0</v>
      </c>
      <c r="AH27" s="8">
        <f t="shared" si="73"/>
        <v>582545</v>
      </c>
      <c r="AI27" s="8">
        <f t="shared" si="73"/>
        <v>19582545</v>
      </c>
      <c r="AJ27" s="8">
        <f t="shared" si="73"/>
        <v>0</v>
      </c>
      <c r="AK27" s="8">
        <f t="shared" si="73"/>
        <v>0</v>
      </c>
      <c r="AL27" s="8">
        <f t="shared" si="73"/>
        <v>19582545</v>
      </c>
    </row>
    <row r="28" spans="1:38" s="348" customFormat="1" x14ac:dyDescent="0.25">
      <c r="A28" s="344" t="s">
        <v>577</v>
      </c>
      <c r="B28" s="344" t="s">
        <v>199</v>
      </c>
      <c r="C28" s="8">
        <v>420000</v>
      </c>
      <c r="D28" s="9"/>
      <c r="E28" s="8"/>
      <c r="F28" s="13">
        <f>SUM(C28:E28)</f>
        <v>420000</v>
      </c>
      <c r="G28" s="13">
        <v>-109</v>
      </c>
      <c r="H28" s="13"/>
      <c r="I28" s="13"/>
      <c r="J28" s="13">
        <f>SUM(G28:I28)</f>
        <v>-109</v>
      </c>
      <c r="K28" s="8">
        <f t="shared" ref="K28:K29" si="74">SUM(G28+C28)</f>
        <v>419891</v>
      </c>
      <c r="L28" s="13">
        <f t="shared" ref="L28:L29" si="75">SUM(H28+D28)</f>
        <v>0</v>
      </c>
      <c r="M28" s="13">
        <f t="shared" ref="M28:M29" si="76">SUM(I28+E28)</f>
        <v>0</v>
      </c>
      <c r="N28" s="13">
        <f t="shared" ref="N28:N29" si="77">SUM(K28:M28)</f>
        <v>419891</v>
      </c>
      <c r="O28" s="14"/>
      <c r="P28" s="14"/>
      <c r="Q28" s="14"/>
      <c r="R28" s="14"/>
      <c r="S28" s="14"/>
      <c r="T28" s="14"/>
      <c r="U28" s="14"/>
      <c r="V28" s="14">
        <f>SUM(S28:U28)</f>
        <v>0</v>
      </c>
      <c r="W28" s="14">
        <f t="shared" ref="W28:W29" si="78">SUM(S28+O28)</f>
        <v>0</v>
      </c>
      <c r="X28" s="14">
        <f t="shared" ref="X28:X29" si="79">SUM(T28+P28)</f>
        <v>0</v>
      </c>
      <c r="Y28" s="14">
        <f t="shared" ref="Y28:Y29" si="80">SUM(Q28+U28)</f>
        <v>0</v>
      </c>
      <c r="Z28" s="14">
        <f t="shared" ref="Z28:Z29" si="81">SUM(W28:Y28)</f>
        <v>0</v>
      </c>
      <c r="AA28" s="8">
        <f t="shared" ref="AA28:AC29" si="82">SUM(O28+C28)</f>
        <v>420000</v>
      </c>
      <c r="AB28" s="14">
        <f t="shared" si="82"/>
        <v>0</v>
      </c>
      <c r="AC28" s="14">
        <f t="shared" si="82"/>
        <v>0</v>
      </c>
      <c r="AD28" s="14">
        <f>SUM(AA28:AC28)</f>
        <v>420000</v>
      </c>
      <c r="AE28" s="8">
        <f t="shared" ref="AE28:AG29" si="83">SUM(S28+G28)</f>
        <v>-109</v>
      </c>
      <c r="AF28" s="14">
        <f t="shared" si="83"/>
        <v>0</v>
      </c>
      <c r="AG28" s="14">
        <f t="shared" si="83"/>
        <v>0</v>
      </c>
      <c r="AH28" s="14">
        <f t="shared" ref="AH28:AH29" si="84">SUM(AE28:AG28)</f>
        <v>-109</v>
      </c>
      <c r="AI28" s="8">
        <f t="shared" ref="AI28:AK29" si="85">SUM(W28+K28)</f>
        <v>419891</v>
      </c>
      <c r="AJ28" s="14">
        <f t="shared" si="85"/>
        <v>0</v>
      </c>
      <c r="AK28" s="14">
        <f t="shared" si="85"/>
        <v>0</v>
      </c>
      <c r="AL28" s="14">
        <f t="shared" ref="AL28:AL29" si="86">SUM(AI28:AK28)</f>
        <v>419891</v>
      </c>
    </row>
    <row r="29" spans="1:38" x14ac:dyDescent="0.25">
      <c r="A29" s="15" t="s">
        <v>578</v>
      </c>
      <c r="B29" s="15" t="s">
        <v>200</v>
      </c>
      <c r="C29" s="2">
        <v>60000</v>
      </c>
      <c r="D29" s="263"/>
      <c r="E29" s="2"/>
      <c r="F29" s="7">
        <f>SUM(C29:E29)</f>
        <v>60000</v>
      </c>
      <c r="G29" s="7">
        <v>6484</v>
      </c>
      <c r="H29" s="7"/>
      <c r="I29" s="7"/>
      <c r="J29" s="7">
        <f>SUM(G29:I29)</f>
        <v>6484</v>
      </c>
      <c r="K29" s="6">
        <f t="shared" si="74"/>
        <v>66484</v>
      </c>
      <c r="L29" s="7">
        <f t="shared" si="75"/>
        <v>0</v>
      </c>
      <c r="M29" s="7">
        <f t="shared" si="76"/>
        <v>0</v>
      </c>
      <c r="N29" s="7">
        <f t="shared" si="77"/>
        <v>66484</v>
      </c>
      <c r="O29" s="2"/>
      <c r="P29" s="2"/>
      <c r="Q29" s="2"/>
      <c r="R29" s="2">
        <f>SUM(O29:Q29)</f>
        <v>0</v>
      </c>
      <c r="S29" s="2"/>
      <c r="T29" s="2"/>
      <c r="U29" s="2"/>
      <c r="V29" s="2">
        <f>SUM(S29:U29)</f>
        <v>0</v>
      </c>
      <c r="W29" s="2">
        <f t="shared" si="78"/>
        <v>0</v>
      </c>
      <c r="X29" s="2">
        <f t="shared" si="79"/>
        <v>0</v>
      </c>
      <c r="Y29" s="2">
        <f t="shared" si="80"/>
        <v>0</v>
      </c>
      <c r="Z29" s="2">
        <f t="shared" si="81"/>
        <v>0</v>
      </c>
      <c r="AA29" s="3">
        <f t="shared" si="82"/>
        <v>60000</v>
      </c>
      <c r="AB29" s="2">
        <f t="shared" si="82"/>
        <v>0</v>
      </c>
      <c r="AC29" s="2">
        <f t="shared" si="82"/>
        <v>0</v>
      </c>
      <c r="AD29" s="2">
        <f>SUM(AA29:AC29)</f>
        <v>60000</v>
      </c>
      <c r="AE29" s="3">
        <f t="shared" si="83"/>
        <v>6484</v>
      </c>
      <c r="AF29" s="2">
        <f t="shared" si="83"/>
        <v>0</v>
      </c>
      <c r="AG29" s="2">
        <f t="shared" si="83"/>
        <v>0</v>
      </c>
      <c r="AH29" s="2">
        <f t="shared" si="84"/>
        <v>6484</v>
      </c>
      <c r="AI29" s="3">
        <f t="shared" si="85"/>
        <v>66484</v>
      </c>
      <c r="AJ29" s="2">
        <f t="shared" si="85"/>
        <v>0</v>
      </c>
      <c r="AK29" s="2">
        <f t="shared" si="85"/>
        <v>0</v>
      </c>
      <c r="AL29" s="2">
        <f t="shared" si="86"/>
        <v>66484</v>
      </c>
    </row>
    <row r="30" spans="1:38" s="348" customFormat="1" ht="32.25" thickBot="1" x14ac:dyDescent="0.3">
      <c r="A30" s="545" t="s">
        <v>579</v>
      </c>
      <c r="B30" s="545" t="s">
        <v>200</v>
      </c>
      <c r="C30" s="546">
        <f t="shared" ref="C30:F30" si="87">SUM(C29:C29)</f>
        <v>60000</v>
      </c>
      <c r="D30" s="546">
        <f t="shared" si="87"/>
        <v>0</v>
      </c>
      <c r="E30" s="546">
        <f t="shared" si="87"/>
        <v>0</v>
      </c>
      <c r="F30" s="546">
        <f t="shared" si="87"/>
        <v>60000</v>
      </c>
      <c r="G30" s="546">
        <f t="shared" ref="G30:AL30" si="88">SUM(G29:G29)</f>
        <v>6484</v>
      </c>
      <c r="H30" s="546">
        <f t="shared" si="88"/>
        <v>0</v>
      </c>
      <c r="I30" s="546">
        <f t="shared" si="88"/>
        <v>0</v>
      </c>
      <c r="J30" s="546">
        <f t="shared" si="88"/>
        <v>6484</v>
      </c>
      <c r="K30" s="546">
        <f t="shared" si="88"/>
        <v>66484</v>
      </c>
      <c r="L30" s="546">
        <f t="shared" si="88"/>
        <v>0</v>
      </c>
      <c r="M30" s="546">
        <f t="shared" si="88"/>
        <v>0</v>
      </c>
      <c r="N30" s="546">
        <f t="shared" si="88"/>
        <v>66484</v>
      </c>
      <c r="O30" s="546">
        <f t="shared" si="88"/>
        <v>0</v>
      </c>
      <c r="P30" s="546">
        <f t="shared" si="88"/>
        <v>0</v>
      </c>
      <c r="Q30" s="546">
        <f t="shared" si="88"/>
        <v>0</v>
      </c>
      <c r="R30" s="546">
        <f t="shared" si="88"/>
        <v>0</v>
      </c>
      <c r="S30" s="546">
        <f t="shared" si="88"/>
        <v>0</v>
      </c>
      <c r="T30" s="546">
        <f t="shared" si="88"/>
        <v>0</v>
      </c>
      <c r="U30" s="546">
        <f t="shared" si="88"/>
        <v>0</v>
      </c>
      <c r="V30" s="546">
        <f t="shared" si="88"/>
        <v>0</v>
      </c>
      <c r="W30" s="546">
        <f t="shared" si="88"/>
        <v>0</v>
      </c>
      <c r="X30" s="546">
        <f t="shared" si="88"/>
        <v>0</v>
      </c>
      <c r="Y30" s="546">
        <f t="shared" si="88"/>
        <v>0</v>
      </c>
      <c r="Z30" s="546">
        <f t="shared" si="88"/>
        <v>0</v>
      </c>
      <c r="AA30" s="546">
        <f t="shared" si="88"/>
        <v>60000</v>
      </c>
      <c r="AB30" s="546">
        <f t="shared" si="88"/>
        <v>0</v>
      </c>
      <c r="AC30" s="546">
        <f t="shared" si="88"/>
        <v>0</v>
      </c>
      <c r="AD30" s="546">
        <f t="shared" si="88"/>
        <v>60000</v>
      </c>
      <c r="AE30" s="546">
        <f t="shared" si="88"/>
        <v>6484</v>
      </c>
      <c r="AF30" s="546">
        <f t="shared" si="88"/>
        <v>0</v>
      </c>
      <c r="AG30" s="546">
        <f t="shared" si="88"/>
        <v>0</v>
      </c>
      <c r="AH30" s="546">
        <f t="shared" si="88"/>
        <v>6484</v>
      </c>
      <c r="AI30" s="546">
        <f t="shared" si="88"/>
        <v>66484</v>
      </c>
      <c r="AJ30" s="546">
        <f t="shared" si="88"/>
        <v>0</v>
      </c>
      <c r="AK30" s="546">
        <f t="shared" si="88"/>
        <v>0</v>
      </c>
      <c r="AL30" s="546">
        <f t="shared" si="88"/>
        <v>66484</v>
      </c>
    </row>
    <row r="31" spans="1:38" s="348" customFormat="1" ht="31.5" x14ac:dyDescent="0.25">
      <c r="A31" s="543" t="s">
        <v>580</v>
      </c>
      <c r="B31" s="543" t="s">
        <v>201</v>
      </c>
      <c r="C31" s="544">
        <f t="shared" ref="C31:F31" si="89">SUM(C30+C28+C27)</f>
        <v>19480000</v>
      </c>
      <c r="D31" s="544">
        <f t="shared" si="89"/>
        <v>0</v>
      </c>
      <c r="E31" s="544">
        <f t="shared" si="89"/>
        <v>0</v>
      </c>
      <c r="F31" s="544">
        <f t="shared" si="89"/>
        <v>19480000</v>
      </c>
      <c r="G31" s="544">
        <f t="shared" ref="G31:AL31" si="90">SUM(G30+G28+G27)</f>
        <v>588920</v>
      </c>
      <c r="H31" s="544">
        <f t="shared" si="90"/>
        <v>0</v>
      </c>
      <c r="I31" s="544">
        <f t="shared" si="90"/>
        <v>0</v>
      </c>
      <c r="J31" s="544">
        <f t="shared" si="90"/>
        <v>588920</v>
      </c>
      <c r="K31" s="544">
        <f t="shared" si="90"/>
        <v>20068920</v>
      </c>
      <c r="L31" s="544">
        <f t="shared" si="90"/>
        <v>0</v>
      </c>
      <c r="M31" s="544">
        <f t="shared" si="90"/>
        <v>0</v>
      </c>
      <c r="N31" s="544">
        <f t="shared" si="90"/>
        <v>20068920</v>
      </c>
      <c r="O31" s="544">
        <f t="shared" si="90"/>
        <v>0</v>
      </c>
      <c r="P31" s="544">
        <f t="shared" si="90"/>
        <v>0</v>
      </c>
      <c r="Q31" s="544">
        <f t="shared" si="90"/>
        <v>0</v>
      </c>
      <c r="R31" s="544">
        <f t="shared" si="90"/>
        <v>0</v>
      </c>
      <c r="S31" s="544">
        <f t="shared" si="90"/>
        <v>0</v>
      </c>
      <c r="T31" s="544">
        <f t="shared" si="90"/>
        <v>0</v>
      </c>
      <c r="U31" s="544">
        <f t="shared" si="90"/>
        <v>0</v>
      </c>
      <c r="V31" s="544">
        <f t="shared" si="90"/>
        <v>0</v>
      </c>
      <c r="W31" s="544">
        <f t="shared" si="90"/>
        <v>0</v>
      </c>
      <c r="X31" s="544">
        <f t="shared" si="90"/>
        <v>0</v>
      </c>
      <c r="Y31" s="544">
        <f t="shared" si="90"/>
        <v>0</v>
      </c>
      <c r="Z31" s="544">
        <f t="shared" si="90"/>
        <v>0</v>
      </c>
      <c r="AA31" s="544">
        <f t="shared" si="90"/>
        <v>19480000</v>
      </c>
      <c r="AB31" s="544">
        <f t="shared" si="90"/>
        <v>0</v>
      </c>
      <c r="AC31" s="544">
        <f t="shared" si="90"/>
        <v>0</v>
      </c>
      <c r="AD31" s="544">
        <f t="shared" si="90"/>
        <v>19480000</v>
      </c>
      <c r="AE31" s="544">
        <f t="shared" si="90"/>
        <v>588920</v>
      </c>
      <c r="AF31" s="544">
        <f t="shared" si="90"/>
        <v>0</v>
      </c>
      <c r="AG31" s="544">
        <f t="shared" si="90"/>
        <v>0</v>
      </c>
      <c r="AH31" s="544">
        <f t="shared" si="90"/>
        <v>588920</v>
      </c>
      <c r="AI31" s="544">
        <f t="shared" si="90"/>
        <v>20068920</v>
      </c>
      <c r="AJ31" s="544">
        <f t="shared" si="90"/>
        <v>0</v>
      </c>
      <c r="AK31" s="544">
        <f t="shared" si="90"/>
        <v>0</v>
      </c>
      <c r="AL31" s="544">
        <f t="shared" si="90"/>
        <v>20068920</v>
      </c>
    </row>
    <row r="32" spans="1:38" x14ac:dyDescent="0.25">
      <c r="A32" s="15" t="s">
        <v>581</v>
      </c>
      <c r="B32" s="15" t="s">
        <v>202</v>
      </c>
      <c r="C32" s="2">
        <v>10000</v>
      </c>
      <c r="D32" s="263"/>
      <c r="E32" s="2"/>
      <c r="F32" s="1">
        <f t="shared" ref="F32:F35" si="91">SUM(C32:E32)</f>
        <v>10000</v>
      </c>
      <c r="G32" s="7">
        <v>-3866</v>
      </c>
      <c r="H32" s="7"/>
      <c r="I32" s="7"/>
      <c r="J32" s="7">
        <f>SUM(G32:I32)</f>
        <v>-3866</v>
      </c>
      <c r="K32" s="6">
        <f t="shared" ref="K32:K35" si="92">SUM(G32+C32)</f>
        <v>6134</v>
      </c>
      <c r="L32" s="7">
        <f t="shared" ref="L32:L35" si="93">SUM(H32+D32)</f>
        <v>0</v>
      </c>
      <c r="M32" s="7">
        <f t="shared" ref="M32:M35" si="94">SUM(I32+E32)</f>
        <v>0</v>
      </c>
      <c r="N32" s="7">
        <f t="shared" ref="N32:N35" si="95">SUM(K32:M32)</f>
        <v>6134</v>
      </c>
      <c r="O32" s="2"/>
      <c r="P32" s="2"/>
      <c r="Q32" s="2"/>
      <c r="R32" s="6">
        <f>SUM(O32:Q32)</f>
        <v>0</v>
      </c>
      <c r="S32" s="6"/>
      <c r="T32" s="6"/>
      <c r="U32" s="6">
        <v>24</v>
      </c>
      <c r="V32" s="6">
        <f>SUM(S32:U32)</f>
        <v>24</v>
      </c>
      <c r="W32" s="6">
        <f t="shared" ref="W32:W35" si="96">SUM(S32+O32)</f>
        <v>0</v>
      </c>
      <c r="X32" s="6">
        <f t="shared" ref="X32:X35" si="97">SUM(T32+P32)</f>
        <v>0</v>
      </c>
      <c r="Y32" s="6">
        <f t="shared" ref="Y32:Y35" si="98">SUM(Q32+U32)</f>
        <v>24</v>
      </c>
      <c r="Z32" s="6">
        <f t="shared" ref="Z32:Z35" si="99">SUM(W32:Y32)</f>
        <v>24</v>
      </c>
      <c r="AA32" s="2">
        <f t="shared" ref="AA32:AC35" si="100">SUM(O32+C32)</f>
        <v>10000</v>
      </c>
      <c r="AB32" s="6">
        <f t="shared" si="100"/>
        <v>0</v>
      </c>
      <c r="AC32" s="6">
        <f t="shared" si="100"/>
        <v>0</v>
      </c>
      <c r="AD32" s="6">
        <f t="shared" ref="AD32:AD35" si="101">SUM(AA32:AC32)</f>
        <v>10000</v>
      </c>
      <c r="AE32" s="2">
        <f t="shared" ref="AE32:AG35" si="102">SUM(S32+G32)</f>
        <v>-3866</v>
      </c>
      <c r="AF32" s="6">
        <f t="shared" si="102"/>
        <v>0</v>
      </c>
      <c r="AG32" s="6">
        <f t="shared" si="102"/>
        <v>24</v>
      </c>
      <c r="AH32" s="6">
        <f t="shared" ref="AH32:AH35" si="103">SUM(AE32:AG32)</f>
        <v>-3842</v>
      </c>
      <c r="AI32" s="2">
        <f t="shared" ref="AI32:AK35" si="104">SUM(W32+K32)</f>
        <v>6134</v>
      </c>
      <c r="AJ32" s="6">
        <f t="shared" si="104"/>
        <v>0</v>
      </c>
      <c r="AK32" s="6">
        <f t="shared" si="104"/>
        <v>24</v>
      </c>
      <c r="AL32" s="6">
        <f t="shared" ref="AL32:AL35" si="105">SUM(AI32:AK32)</f>
        <v>6158</v>
      </c>
    </row>
    <row r="33" spans="1:38" x14ac:dyDescent="0.25">
      <c r="A33" s="15" t="s">
        <v>582</v>
      </c>
      <c r="B33" s="15" t="s">
        <v>202</v>
      </c>
      <c r="C33" s="11">
        <v>50000</v>
      </c>
      <c r="D33" s="10"/>
      <c r="E33" s="11"/>
      <c r="F33" s="12">
        <f t="shared" si="91"/>
        <v>50000</v>
      </c>
      <c r="G33" s="12">
        <f>-22568+3866</f>
        <v>-18702</v>
      </c>
      <c r="H33" s="12"/>
      <c r="I33" s="12"/>
      <c r="J33" s="1">
        <f t="shared" ref="J33:J35" si="106">SUM(G33:I33)</f>
        <v>-18702</v>
      </c>
      <c r="K33" s="11">
        <f t="shared" si="92"/>
        <v>31298</v>
      </c>
      <c r="L33" s="12">
        <f t="shared" si="93"/>
        <v>0</v>
      </c>
      <c r="M33" s="12">
        <f t="shared" si="94"/>
        <v>0</v>
      </c>
      <c r="N33" s="12">
        <f t="shared" si="95"/>
        <v>31298</v>
      </c>
      <c r="O33" s="2"/>
      <c r="P33" s="2"/>
      <c r="Q33" s="2"/>
      <c r="R33" s="6">
        <f t="shared" ref="R33:R35" si="107">SUM(O33:Q33)</f>
        <v>0</v>
      </c>
      <c r="S33" s="2"/>
      <c r="T33" s="2"/>
      <c r="U33" s="2"/>
      <c r="V33" s="6">
        <f t="shared" ref="V33:V35" si="108">SUM(S33:U33)</f>
        <v>0</v>
      </c>
      <c r="W33" s="2">
        <f t="shared" si="96"/>
        <v>0</v>
      </c>
      <c r="X33" s="2">
        <f t="shared" si="97"/>
        <v>0</v>
      </c>
      <c r="Y33" s="2">
        <f t="shared" si="98"/>
        <v>0</v>
      </c>
      <c r="Z33" s="2">
        <f t="shared" si="99"/>
        <v>0</v>
      </c>
      <c r="AA33" s="2">
        <f t="shared" si="100"/>
        <v>50000</v>
      </c>
      <c r="AB33" s="2">
        <f t="shared" si="100"/>
        <v>0</v>
      </c>
      <c r="AC33" s="2">
        <f t="shared" si="100"/>
        <v>0</v>
      </c>
      <c r="AD33" s="2">
        <f t="shared" si="101"/>
        <v>50000</v>
      </c>
      <c r="AE33" s="2">
        <f t="shared" si="102"/>
        <v>-18702</v>
      </c>
      <c r="AF33" s="2">
        <f t="shared" si="102"/>
        <v>0</v>
      </c>
      <c r="AG33" s="2">
        <f t="shared" si="102"/>
        <v>0</v>
      </c>
      <c r="AH33" s="2">
        <f t="shared" si="103"/>
        <v>-18702</v>
      </c>
      <c r="AI33" s="2">
        <f t="shared" si="104"/>
        <v>31298</v>
      </c>
      <c r="AJ33" s="2">
        <f t="shared" si="104"/>
        <v>0</v>
      </c>
      <c r="AK33" s="2">
        <f t="shared" si="104"/>
        <v>0</v>
      </c>
      <c r="AL33" s="2">
        <f t="shared" si="105"/>
        <v>31298</v>
      </c>
    </row>
    <row r="34" spans="1:38" ht="31.5" x14ac:dyDescent="0.25">
      <c r="A34" s="15" t="s">
        <v>583</v>
      </c>
      <c r="B34" s="15" t="s">
        <v>202</v>
      </c>
      <c r="C34" s="11">
        <v>17500</v>
      </c>
      <c r="D34" s="10"/>
      <c r="E34" s="11"/>
      <c r="F34" s="12">
        <f t="shared" si="91"/>
        <v>17500</v>
      </c>
      <c r="G34" s="2">
        <f>3774+720-1052-3000</f>
        <v>442</v>
      </c>
      <c r="H34" s="12"/>
      <c r="I34" s="12"/>
      <c r="J34" s="1">
        <f t="shared" si="106"/>
        <v>442</v>
      </c>
      <c r="K34" s="11">
        <f t="shared" si="92"/>
        <v>17942</v>
      </c>
      <c r="L34" s="12">
        <f t="shared" si="93"/>
        <v>0</v>
      </c>
      <c r="M34" s="12">
        <f t="shared" si="94"/>
        <v>0</v>
      </c>
      <c r="N34" s="12">
        <f t="shared" si="95"/>
        <v>17942</v>
      </c>
      <c r="O34" s="2"/>
      <c r="P34" s="2"/>
      <c r="Q34" s="2"/>
      <c r="R34" s="6">
        <f t="shared" si="107"/>
        <v>0</v>
      </c>
      <c r="S34" s="2"/>
      <c r="T34" s="2"/>
      <c r="U34" s="2"/>
      <c r="V34" s="6">
        <f t="shared" si="108"/>
        <v>0</v>
      </c>
      <c r="W34" s="2">
        <f t="shared" si="96"/>
        <v>0</v>
      </c>
      <c r="X34" s="2">
        <f t="shared" si="97"/>
        <v>0</v>
      </c>
      <c r="Y34" s="2">
        <f t="shared" si="98"/>
        <v>0</v>
      </c>
      <c r="Z34" s="2">
        <f t="shared" si="99"/>
        <v>0</v>
      </c>
      <c r="AA34" s="2">
        <f t="shared" si="100"/>
        <v>17500</v>
      </c>
      <c r="AB34" s="2">
        <f t="shared" si="100"/>
        <v>0</v>
      </c>
      <c r="AC34" s="2">
        <f t="shared" si="100"/>
        <v>0</v>
      </c>
      <c r="AD34" s="2">
        <f t="shared" si="101"/>
        <v>17500</v>
      </c>
      <c r="AE34" s="2">
        <f t="shared" si="102"/>
        <v>442</v>
      </c>
      <c r="AF34" s="2">
        <f t="shared" si="102"/>
        <v>0</v>
      </c>
      <c r="AG34" s="2">
        <f t="shared" si="102"/>
        <v>0</v>
      </c>
      <c r="AH34" s="2">
        <f t="shared" si="103"/>
        <v>442</v>
      </c>
      <c r="AI34" s="2">
        <f t="shared" si="104"/>
        <v>17942</v>
      </c>
      <c r="AJ34" s="2">
        <f t="shared" si="104"/>
        <v>0</v>
      </c>
      <c r="AK34" s="2">
        <f t="shared" si="104"/>
        <v>0</v>
      </c>
      <c r="AL34" s="2">
        <f t="shared" si="105"/>
        <v>17942</v>
      </c>
    </row>
    <row r="35" spans="1:38" x14ac:dyDescent="0.25">
      <c r="A35" s="15" t="s">
        <v>584</v>
      </c>
      <c r="B35" s="15" t="s">
        <v>202</v>
      </c>
      <c r="C35" s="11">
        <v>10903</v>
      </c>
      <c r="D35" s="10"/>
      <c r="E35" s="11"/>
      <c r="F35" s="12">
        <f t="shared" si="91"/>
        <v>10903</v>
      </c>
      <c r="G35" s="2">
        <f>1232+1094+1151</f>
        <v>3477</v>
      </c>
      <c r="H35" s="12"/>
      <c r="I35" s="12"/>
      <c r="J35" s="1">
        <f t="shared" si="106"/>
        <v>3477</v>
      </c>
      <c r="K35" s="11">
        <f t="shared" si="92"/>
        <v>14380</v>
      </c>
      <c r="L35" s="12">
        <f t="shared" si="93"/>
        <v>0</v>
      </c>
      <c r="M35" s="12">
        <f t="shared" si="94"/>
        <v>0</v>
      </c>
      <c r="N35" s="12">
        <f t="shared" si="95"/>
        <v>14380</v>
      </c>
      <c r="O35" s="2"/>
      <c r="P35" s="2"/>
      <c r="Q35" s="2">
        <v>300</v>
      </c>
      <c r="R35" s="6">
        <f t="shared" si="107"/>
        <v>300</v>
      </c>
      <c r="S35" s="2"/>
      <c r="T35" s="2"/>
      <c r="U35" s="2">
        <v>802</v>
      </c>
      <c r="V35" s="6">
        <f t="shared" si="108"/>
        <v>802</v>
      </c>
      <c r="W35" s="2">
        <f t="shared" si="96"/>
        <v>0</v>
      </c>
      <c r="X35" s="2">
        <f t="shared" si="97"/>
        <v>0</v>
      </c>
      <c r="Y35" s="2">
        <f t="shared" si="98"/>
        <v>1102</v>
      </c>
      <c r="Z35" s="2">
        <f t="shared" si="99"/>
        <v>1102</v>
      </c>
      <c r="AA35" s="2">
        <f t="shared" si="100"/>
        <v>10903</v>
      </c>
      <c r="AB35" s="2">
        <f t="shared" si="100"/>
        <v>0</v>
      </c>
      <c r="AC35" s="2">
        <f t="shared" si="100"/>
        <v>300</v>
      </c>
      <c r="AD35" s="2">
        <f t="shared" si="101"/>
        <v>11203</v>
      </c>
      <c r="AE35" s="2">
        <f t="shared" si="102"/>
        <v>3477</v>
      </c>
      <c r="AF35" s="2">
        <f t="shared" si="102"/>
        <v>0</v>
      </c>
      <c r="AG35" s="2">
        <f t="shared" si="102"/>
        <v>802</v>
      </c>
      <c r="AH35" s="2">
        <f t="shared" si="103"/>
        <v>4279</v>
      </c>
      <c r="AI35" s="2">
        <f t="shared" si="104"/>
        <v>14380</v>
      </c>
      <c r="AJ35" s="2">
        <f t="shared" si="104"/>
        <v>0</v>
      </c>
      <c r="AK35" s="2">
        <f t="shared" si="104"/>
        <v>1102</v>
      </c>
      <c r="AL35" s="2">
        <f t="shared" si="105"/>
        <v>15482</v>
      </c>
    </row>
    <row r="36" spans="1:38" s="348" customFormat="1" ht="31.5" x14ac:dyDescent="0.25">
      <c r="A36" s="344" t="s">
        <v>585</v>
      </c>
      <c r="B36" s="344" t="s">
        <v>202</v>
      </c>
      <c r="C36" s="8">
        <f t="shared" ref="C36:F36" si="109">SUM(C32:C35)</f>
        <v>88403</v>
      </c>
      <c r="D36" s="8">
        <f t="shared" si="109"/>
        <v>0</v>
      </c>
      <c r="E36" s="8">
        <f t="shared" si="109"/>
        <v>0</v>
      </c>
      <c r="F36" s="8">
        <f t="shared" si="109"/>
        <v>88403</v>
      </c>
      <c r="G36" s="8">
        <f t="shared" ref="G36:Q36" si="110">SUM(G32:G35)</f>
        <v>-18649</v>
      </c>
      <c r="H36" s="8">
        <f t="shared" si="110"/>
        <v>0</v>
      </c>
      <c r="I36" s="8">
        <f t="shared" si="110"/>
        <v>0</v>
      </c>
      <c r="J36" s="8">
        <f t="shared" si="110"/>
        <v>-18649</v>
      </c>
      <c r="K36" s="8">
        <f t="shared" si="110"/>
        <v>69754</v>
      </c>
      <c r="L36" s="8">
        <f t="shared" si="110"/>
        <v>0</v>
      </c>
      <c r="M36" s="8">
        <f t="shared" si="110"/>
        <v>0</v>
      </c>
      <c r="N36" s="8">
        <f t="shared" si="110"/>
        <v>69754</v>
      </c>
      <c r="O36" s="8">
        <f t="shared" si="110"/>
        <v>0</v>
      </c>
      <c r="P36" s="8">
        <f t="shared" si="110"/>
        <v>0</v>
      </c>
      <c r="Q36" s="8">
        <f t="shared" si="110"/>
        <v>300</v>
      </c>
      <c r="R36" s="8">
        <f t="shared" ref="R36:AD36" si="111">SUM(R32:R35)</f>
        <v>300</v>
      </c>
      <c r="S36" s="8">
        <f t="shared" ref="S36:Z36" si="112">SUM(S32:S35)</f>
        <v>0</v>
      </c>
      <c r="T36" s="8">
        <f t="shared" si="112"/>
        <v>0</v>
      </c>
      <c r="U36" s="8">
        <f t="shared" si="112"/>
        <v>826</v>
      </c>
      <c r="V36" s="8">
        <f t="shared" si="112"/>
        <v>826</v>
      </c>
      <c r="W36" s="8">
        <f t="shared" si="112"/>
        <v>0</v>
      </c>
      <c r="X36" s="8">
        <f t="shared" si="112"/>
        <v>0</v>
      </c>
      <c r="Y36" s="8">
        <f t="shared" si="112"/>
        <v>1126</v>
      </c>
      <c r="Z36" s="8">
        <f t="shared" si="112"/>
        <v>1126</v>
      </c>
      <c r="AA36" s="8">
        <f t="shared" si="111"/>
        <v>88403</v>
      </c>
      <c r="AB36" s="8">
        <f t="shared" si="111"/>
        <v>0</v>
      </c>
      <c r="AC36" s="8">
        <f t="shared" si="111"/>
        <v>300</v>
      </c>
      <c r="AD36" s="8">
        <f t="shared" si="111"/>
        <v>88703</v>
      </c>
      <c r="AE36" s="8">
        <f t="shared" ref="AE36:AL36" si="113">SUM(AE32:AE35)</f>
        <v>-18649</v>
      </c>
      <c r="AF36" s="8">
        <f t="shared" si="113"/>
        <v>0</v>
      </c>
      <c r="AG36" s="8">
        <f t="shared" si="113"/>
        <v>826</v>
      </c>
      <c r="AH36" s="8">
        <f t="shared" si="113"/>
        <v>-17823</v>
      </c>
      <c r="AI36" s="8">
        <f t="shared" si="113"/>
        <v>69754</v>
      </c>
      <c r="AJ36" s="8">
        <f t="shared" si="113"/>
        <v>0</v>
      </c>
      <c r="AK36" s="8">
        <f t="shared" si="113"/>
        <v>1126</v>
      </c>
      <c r="AL36" s="8">
        <f t="shared" si="113"/>
        <v>70880</v>
      </c>
    </row>
    <row r="37" spans="1:38" ht="31.5" x14ac:dyDescent="0.25">
      <c r="A37" s="587" t="s">
        <v>1127</v>
      </c>
      <c r="B37" s="346" t="s">
        <v>167</v>
      </c>
      <c r="C37" s="4">
        <f>SUM(C25+C31+C36+C23)</f>
        <v>21568403</v>
      </c>
      <c r="D37" s="4">
        <f t="shared" ref="D37:AL37" si="114">SUM(D25+D31+D36+D23)</f>
        <v>0</v>
      </c>
      <c r="E37" s="4">
        <f t="shared" si="114"/>
        <v>0</v>
      </c>
      <c r="F37" s="4">
        <f t="shared" si="114"/>
        <v>21568403</v>
      </c>
      <c r="G37" s="4">
        <f t="shared" si="114"/>
        <v>489538</v>
      </c>
      <c r="H37" s="4">
        <f t="shared" si="114"/>
        <v>0</v>
      </c>
      <c r="I37" s="4">
        <f t="shared" si="114"/>
        <v>0</v>
      </c>
      <c r="J37" s="4">
        <f t="shared" si="114"/>
        <v>489538</v>
      </c>
      <c r="K37" s="4">
        <f t="shared" si="114"/>
        <v>22057941</v>
      </c>
      <c r="L37" s="4">
        <f t="shared" si="114"/>
        <v>0</v>
      </c>
      <c r="M37" s="4">
        <f t="shared" si="114"/>
        <v>0</v>
      </c>
      <c r="N37" s="4">
        <f t="shared" si="114"/>
        <v>22057941</v>
      </c>
      <c r="O37" s="4">
        <f t="shared" si="114"/>
        <v>0</v>
      </c>
      <c r="P37" s="4">
        <f t="shared" si="114"/>
        <v>0</v>
      </c>
      <c r="Q37" s="4">
        <f t="shared" si="114"/>
        <v>300</v>
      </c>
      <c r="R37" s="4">
        <f t="shared" si="114"/>
        <v>300</v>
      </c>
      <c r="S37" s="4">
        <f t="shared" si="114"/>
        <v>0</v>
      </c>
      <c r="T37" s="4">
        <f t="shared" si="114"/>
        <v>0</v>
      </c>
      <c r="U37" s="4">
        <f t="shared" si="114"/>
        <v>826</v>
      </c>
      <c r="V37" s="4">
        <f t="shared" si="114"/>
        <v>826</v>
      </c>
      <c r="W37" s="4">
        <f t="shared" si="114"/>
        <v>0</v>
      </c>
      <c r="X37" s="4">
        <f t="shared" si="114"/>
        <v>0</v>
      </c>
      <c r="Y37" s="4">
        <f t="shared" si="114"/>
        <v>1126</v>
      </c>
      <c r="Z37" s="4">
        <f t="shared" si="114"/>
        <v>1126</v>
      </c>
      <c r="AA37" s="4">
        <f t="shared" si="114"/>
        <v>21568403</v>
      </c>
      <c r="AB37" s="4">
        <f t="shared" si="114"/>
        <v>0</v>
      </c>
      <c r="AC37" s="4">
        <f t="shared" si="114"/>
        <v>300</v>
      </c>
      <c r="AD37" s="4">
        <f t="shared" si="114"/>
        <v>21568703</v>
      </c>
      <c r="AE37" s="4">
        <f t="shared" si="114"/>
        <v>489538</v>
      </c>
      <c r="AF37" s="4">
        <f t="shared" si="114"/>
        <v>0</v>
      </c>
      <c r="AG37" s="4">
        <f t="shared" si="114"/>
        <v>826</v>
      </c>
      <c r="AH37" s="4">
        <f t="shared" si="114"/>
        <v>490364</v>
      </c>
      <c r="AI37" s="4">
        <f t="shared" si="114"/>
        <v>22057941</v>
      </c>
      <c r="AJ37" s="4">
        <f t="shared" si="114"/>
        <v>0</v>
      </c>
      <c r="AK37" s="4">
        <f t="shared" si="114"/>
        <v>1126</v>
      </c>
      <c r="AL37" s="4">
        <f t="shared" si="114"/>
        <v>22059067</v>
      </c>
    </row>
    <row r="38" spans="1:38" x14ac:dyDescent="0.25">
      <c r="A38" s="346" t="s">
        <v>586</v>
      </c>
      <c r="B38" s="346" t="s">
        <v>168</v>
      </c>
      <c r="C38" s="4">
        <v>1071247</v>
      </c>
      <c r="D38" s="4">
        <v>1099635</v>
      </c>
      <c r="E38" s="4"/>
      <c r="F38" s="4">
        <f t="shared" ref="F38:F43" si="115">SUM(C38:E38)</f>
        <v>2170882</v>
      </c>
      <c r="G38" s="4">
        <v>-175110</v>
      </c>
      <c r="H38" s="4">
        <v>16977</v>
      </c>
      <c r="I38" s="4"/>
      <c r="J38" s="4">
        <f>SUM(G38:I38)</f>
        <v>-158133</v>
      </c>
      <c r="K38" s="4">
        <f t="shared" ref="K38:K43" si="116">SUM(G38+C38)</f>
        <v>896137</v>
      </c>
      <c r="L38" s="4">
        <f t="shared" ref="L38:L43" si="117">SUM(H38+D38)</f>
        <v>1116612</v>
      </c>
      <c r="M38" s="4">
        <f t="shared" ref="M38:M43" si="118">SUM(I38+E38)</f>
        <v>0</v>
      </c>
      <c r="N38" s="4">
        <f t="shared" ref="N38:N43" si="119">SUM(K38:M38)</f>
        <v>2012749</v>
      </c>
      <c r="O38" s="4">
        <v>1116189</v>
      </c>
      <c r="P38" s="4">
        <v>354556</v>
      </c>
      <c r="Q38" s="4">
        <v>0</v>
      </c>
      <c r="R38" s="4">
        <f t="shared" ref="R38:R43" si="120">SUM(O38:Q38)</f>
        <v>1470745</v>
      </c>
      <c r="S38" s="4">
        <v>118812</v>
      </c>
      <c r="T38" s="4">
        <v>126771</v>
      </c>
      <c r="U38" s="4">
        <v>13</v>
      </c>
      <c r="V38" s="4">
        <f>SUM(S38:U38)</f>
        <v>245596</v>
      </c>
      <c r="W38" s="4">
        <f t="shared" ref="W38:W43" si="121">SUM(S38+O38)</f>
        <v>1235001</v>
      </c>
      <c r="X38" s="4">
        <f t="shared" ref="X38:X43" si="122">SUM(T38+P38)</f>
        <v>481327</v>
      </c>
      <c r="Y38" s="4">
        <f t="shared" ref="Y38:Y43" si="123">SUM(Q38+U38)</f>
        <v>13</v>
      </c>
      <c r="Z38" s="4">
        <f t="shared" ref="Z38:Z43" si="124">SUM(W38:Y38)</f>
        <v>1716341</v>
      </c>
      <c r="AA38" s="3">
        <f t="shared" ref="AA38:AC41" si="125">SUM(O38+C38)</f>
        <v>2187436</v>
      </c>
      <c r="AB38" s="3">
        <f t="shared" si="125"/>
        <v>1454191</v>
      </c>
      <c r="AC38" s="3">
        <f t="shared" si="125"/>
        <v>0</v>
      </c>
      <c r="AD38" s="3">
        <f>SUM(AA38:AC38)</f>
        <v>3641627</v>
      </c>
      <c r="AE38" s="3">
        <f t="shared" ref="AE38:AG41" si="126">SUM(S38+G38)</f>
        <v>-56298</v>
      </c>
      <c r="AF38" s="3">
        <f t="shared" si="126"/>
        <v>143748</v>
      </c>
      <c r="AG38" s="3">
        <f t="shared" si="126"/>
        <v>13</v>
      </c>
      <c r="AH38" s="3">
        <f t="shared" ref="AH38:AH41" si="127">SUM(AE38:AG38)</f>
        <v>87463</v>
      </c>
      <c r="AI38" s="3">
        <f t="shared" ref="AI38:AK41" si="128">SUM(W38+K38)</f>
        <v>2131138</v>
      </c>
      <c r="AJ38" s="3">
        <f t="shared" si="128"/>
        <v>1597939</v>
      </c>
      <c r="AK38" s="3">
        <f t="shared" si="128"/>
        <v>13</v>
      </c>
      <c r="AL38" s="3">
        <f t="shared" ref="AL38:AL41" si="129">SUM(AI38:AK38)</f>
        <v>3729090</v>
      </c>
    </row>
    <row r="39" spans="1:38" x14ac:dyDescent="0.25">
      <c r="A39" s="15" t="s">
        <v>211</v>
      </c>
      <c r="B39" s="15" t="s">
        <v>203</v>
      </c>
      <c r="C39" s="6">
        <v>391732</v>
      </c>
      <c r="D39" s="5">
        <v>23622</v>
      </c>
      <c r="E39" s="65"/>
      <c r="F39" s="5">
        <f t="shared" si="115"/>
        <v>415354</v>
      </c>
      <c r="G39" s="6">
        <v>0</v>
      </c>
      <c r="H39" s="6">
        <v>0</v>
      </c>
      <c r="I39" s="6"/>
      <c r="J39" s="6">
        <f>SUM(G39:I39)</f>
        <v>0</v>
      </c>
      <c r="K39" s="6">
        <f t="shared" si="116"/>
        <v>391732</v>
      </c>
      <c r="L39" s="6">
        <f t="shared" si="117"/>
        <v>23622</v>
      </c>
      <c r="M39" s="6">
        <f t="shared" si="118"/>
        <v>0</v>
      </c>
      <c r="N39" s="7">
        <f t="shared" si="119"/>
        <v>415354</v>
      </c>
      <c r="O39" s="6"/>
      <c r="P39" s="6"/>
      <c r="Q39" s="6"/>
      <c r="R39" s="6">
        <f t="shared" si="120"/>
        <v>0</v>
      </c>
      <c r="S39" s="6"/>
      <c r="T39" s="6"/>
      <c r="U39" s="6"/>
      <c r="V39" s="6">
        <f>SUM(S39:U39)</f>
        <v>0</v>
      </c>
      <c r="W39" s="6">
        <f t="shared" si="121"/>
        <v>0</v>
      </c>
      <c r="X39" s="6">
        <f t="shared" si="122"/>
        <v>0</v>
      </c>
      <c r="Y39" s="6">
        <f t="shared" si="123"/>
        <v>0</v>
      </c>
      <c r="Z39" s="6">
        <f t="shared" si="124"/>
        <v>0</v>
      </c>
      <c r="AA39" s="2">
        <f t="shared" si="125"/>
        <v>391732</v>
      </c>
      <c r="AB39" s="2">
        <f t="shared" si="125"/>
        <v>23622</v>
      </c>
      <c r="AC39" s="2">
        <f t="shared" si="125"/>
        <v>0</v>
      </c>
      <c r="AD39" s="2">
        <f>SUM(AA39:AC39)</f>
        <v>415354</v>
      </c>
      <c r="AE39" s="2">
        <f t="shared" si="126"/>
        <v>0</v>
      </c>
      <c r="AF39" s="2">
        <f t="shared" si="126"/>
        <v>0</v>
      </c>
      <c r="AG39" s="2">
        <f t="shared" si="126"/>
        <v>0</v>
      </c>
      <c r="AH39" s="2">
        <f t="shared" si="127"/>
        <v>0</v>
      </c>
      <c r="AI39" s="2">
        <f t="shared" si="128"/>
        <v>391732</v>
      </c>
      <c r="AJ39" s="2">
        <f t="shared" si="128"/>
        <v>23622</v>
      </c>
      <c r="AK39" s="2">
        <f t="shared" si="128"/>
        <v>0</v>
      </c>
      <c r="AL39" s="2">
        <f t="shared" si="129"/>
        <v>415354</v>
      </c>
    </row>
    <row r="40" spans="1:38" ht="31.5" x14ac:dyDescent="0.25">
      <c r="A40" s="586" t="s">
        <v>212</v>
      </c>
      <c r="B40" s="15" t="s">
        <v>213</v>
      </c>
      <c r="C40" s="6">
        <v>166824</v>
      </c>
      <c r="D40" s="5">
        <v>810877</v>
      </c>
      <c r="E40" s="65"/>
      <c r="F40" s="5">
        <f t="shared" si="115"/>
        <v>977701</v>
      </c>
      <c r="G40" s="6">
        <v>-261010</v>
      </c>
      <c r="H40" s="6">
        <v>256</v>
      </c>
      <c r="I40" s="6"/>
      <c r="J40" s="6">
        <f t="shared" ref="J40:J43" si="130">SUM(G40:I40)</f>
        <v>-260754</v>
      </c>
      <c r="K40" s="6">
        <f t="shared" si="116"/>
        <v>-94186</v>
      </c>
      <c r="L40" s="6">
        <f t="shared" si="117"/>
        <v>811133</v>
      </c>
      <c r="M40" s="6">
        <f t="shared" si="118"/>
        <v>0</v>
      </c>
      <c r="N40" s="7">
        <f t="shared" si="119"/>
        <v>716947</v>
      </c>
      <c r="O40" s="6">
        <v>312927</v>
      </c>
      <c r="P40" s="6">
        <v>111745</v>
      </c>
      <c r="Q40" s="6"/>
      <c r="R40" s="6">
        <f t="shared" si="120"/>
        <v>424672</v>
      </c>
      <c r="S40" s="6">
        <v>41127</v>
      </c>
      <c r="T40" s="6">
        <v>21575</v>
      </c>
      <c r="U40" s="6">
        <v>0</v>
      </c>
      <c r="V40" s="6">
        <f t="shared" ref="V40:V43" si="131">SUM(S40:U40)</f>
        <v>62702</v>
      </c>
      <c r="W40" s="6">
        <f t="shared" si="121"/>
        <v>354054</v>
      </c>
      <c r="X40" s="6">
        <f t="shared" si="122"/>
        <v>133320</v>
      </c>
      <c r="Y40" s="6">
        <f t="shared" si="123"/>
        <v>0</v>
      </c>
      <c r="Z40" s="6">
        <f t="shared" si="124"/>
        <v>487374</v>
      </c>
      <c r="AA40" s="2">
        <f t="shared" si="125"/>
        <v>479751</v>
      </c>
      <c r="AB40" s="2">
        <f t="shared" si="125"/>
        <v>922622</v>
      </c>
      <c r="AC40" s="2">
        <f t="shared" si="125"/>
        <v>0</v>
      </c>
      <c r="AD40" s="2">
        <f>SUM(AA40:AC40)</f>
        <v>1402373</v>
      </c>
      <c r="AE40" s="2">
        <f t="shared" si="126"/>
        <v>-219883</v>
      </c>
      <c r="AF40" s="2">
        <f t="shared" si="126"/>
        <v>21831</v>
      </c>
      <c r="AG40" s="2">
        <f t="shared" si="126"/>
        <v>0</v>
      </c>
      <c r="AH40" s="2">
        <f t="shared" si="127"/>
        <v>-198052</v>
      </c>
      <c r="AI40" s="2">
        <f t="shared" si="128"/>
        <v>259868</v>
      </c>
      <c r="AJ40" s="2">
        <f t="shared" si="128"/>
        <v>944453</v>
      </c>
      <c r="AK40" s="2">
        <f t="shared" si="128"/>
        <v>0</v>
      </c>
      <c r="AL40" s="2">
        <f t="shared" si="129"/>
        <v>1204321</v>
      </c>
    </row>
    <row r="41" spans="1:38" x14ac:dyDescent="0.25">
      <c r="A41" s="586" t="s">
        <v>214</v>
      </c>
      <c r="B41" s="15" t="s">
        <v>204</v>
      </c>
      <c r="C41" s="6">
        <v>102640</v>
      </c>
      <c r="D41" s="5"/>
      <c r="E41" s="65"/>
      <c r="F41" s="5">
        <f t="shared" si="115"/>
        <v>102640</v>
      </c>
      <c r="G41" s="6">
        <f>3+19578+12409</f>
        <v>31990</v>
      </c>
      <c r="H41" s="6"/>
      <c r="I41" s="6"/>
      <c r="J41" s="6">
        <f t="shared" si="130"/>
        <v>31990</v>
      </c>
      <c r="K41" s="6">
        <f t="shared" si="116"/>
        <v>134630</v>
      </c>
      <c r="L41" s="6">
        <f t="shared" si="117"/>
        <v>0</v>
      </c>
      <c r="M41" s="6">
        <f t="shared" si="118"/>
        <v>0</v>
      </c>
      <c r="N41" s="7">
        <f t="shared" si="119"/>
        <v>134630</v>
      </c>
      <c r="O41" s="6"/>
      <c r="P41" s="6"/>
      <c r="Q41" s="6"/>
      <c r="R41" s="6">
        <f t="shared" si="120"/>
        <v>0</v>
      </c>
      <c r="S41" s="6">
        <v>37</v>
      </c>
      <c r="T41" s="6">
        <v>14</v>
      </c>
      <c r="U41" s="6"/>
      <c r="V41" s="6">
        <f t="shared" si="131"/>
        <v>51</v>
      </c>
      <c r="W41" s="6">
        <f t="shared" si="121"/>
        <v>37</v>
      </c>
      <c r="X41" s="6">
        <f t="shared" si="122"/>
        <v>14</v>
      </c>
      <c r="Y41" s="6">
        <f t="shared" si="123"/>
        <v>0</v>
      </c>
      <c r="Z41" s="6">
        <f t="shared" si="124"/>
        <v>51</v>
      </c>
      <c r="AA41" s="2">
        <f t="shared" si="125"/>
        <v>102640</v>
      </c>
      <c r="AB41" s="2">
        <f t="shared" si="125"/>
        <v>0</v>
      </c>
      <c r="AC41" s="2">
        <f t="shared" si="125"/>
        <v>0</v>
      </c>
      <c r="AD41" s="2">
        <f>SUM(AA41:AC41)</f>
        <v>102640</v>
      </c>
      <c r="AE41" s="2">
        <f t="shared" si="126"/>
        <v>32027</v>
      </c>
      <c r="AF41" s="2">
        <f t="shared" si="126"/>
        <v>14</v>
      </c>
      <c r="AG41" s="2">
        <f t="shared" si="126"/>
        <v>0</v>
      </c>
      <c r="AH41" s="2">
        <f t="shared" si="127"/>
        <v>32041</v>
      </c>
      <c r="AI41" s="2">
        <f t="shared" si="128"/>
        <v>134667</v>
      </c>
      <c r="AJ41" s="2">
        <f t="shared" si="128"/>
        <v>14</v>
      </c>
      <c r="AK41" s="2">
        <f t="shared" si="128"/>
        <v>0</v>
      </c>
      <c r="AL41" s="2">
        <f t="shared" si="129"/>
        <v>134681</v>
      </c>
    </row>
    <row r="42" spans="1:38" ht="30.75" customHeight="1" x14ac:dyDescent="0.25">
      <c r="A42" s="351" t="s">
        <v>587</v>
      </c>
      <c r="B42" s="351" t="s">
        <v>205</v>
      </c>
      <c r="C42" s="588">
        <v>205000</v>
      </c>
      <c r="D42" s="589"/>
      <c r="E42" s="588"/>
      <c r="F42" s="590">
        <f t="shared" si="115"/>
        <v>205000</v>
      </c>
      <c r="G42" s="590">
        <v>-51565</v>
      </c>
      <c r="H42" s="590"/>
      <c r="I42" s="588"/>
      <c r="J42" s="6">
        <f t="shared" ref="J42" si="132">SUM(G42:I42)</f>
        <v>-51565</v>
      </c>
      <c r="K42" s="588">
        <f t="shared" ref="K42" si="133">SUM(G42+C42)</f>
        <v>153435</v>
      </c>
      <c r="L42" s="590">
        <f t="shared" ref="L42" si="134">SUM(H42+D42)</f>
        <v>0</v>
      </c>
      <c r="M42" s="590">
        <f t="shared" ref="M42" si="135">SUM(I42+E42)</f>
        <v>0</v>
      </c>
      <c r="N42" s="590">
        <f t="shared" ref="N42" si="136">SUM(K42:M42)</f>
        <v>153435</v>
      </c>
      <c r="O42" s="588"/>
      <c r="P42" s="588"/>
      <c r="Q42" s="588"/>
      <c r="R42" s="6">
        <f t="shared" si="120"/>
        <v>0</v>
      </c>
      <c r="S42" s="6"/>
      <c r="T42" s="6"/>
      <c r="U42" s="6"/>
      <c r="V42" s="6">
        <f t="shared" ref="V42" si="137">SUM(S42:U42)</f>
        <v>0</v>
      </c>
      <c r="W42" s="6">
        <f t="shared" ref="W42" si="138">SUM(S42+O42)</f>
        <v>0</v>
      </c>
      <c r="X42" s="6">
        <f t="shared" ref="X42" si="139">SUM(T42+P42)</f>
        <v>0</v>
      </c>
      <c r="Y42" s="6">
        <f t="shared" ref="Y42" si="140">SUM(Q42+U42)</f>
        <v>0</v>
      </c>
      <c r="Z42" s="6">
        <f t="shared" ref="Z42" si="141">SUM(W42:Y42)</f>
        <v>0</v>
      </c>
      <c r="AA42" s="3">
        <f t="shared" ref="AA42:AD43" si="142">SUM(C42+O42)</f>
        <v>205000</v>
      </c>
      <c r="AB42" s="3">
        <f t="shared" si="142"/>
        <v>0</v>
      </c>
      <c r="AC42" s="3">
        <f t="shared" si="142"/>
        <v>0</v>
      </c>
      <c r="AD42" s="3">
        <f t="shared" si="142"/>
        <v>205000</v>
      </c>
      <c r="AE42" s="3">
        <f t="shared" ref="AE42" si="143">SUM(G42+S42)</f>
        <v>-51565</v>
      </c>
      <c r="AF42" s="3">
        <f t="shared" ref="AF42" si="144">SUM(H42+T42)</f>
        <v>0</v>
      </c>
      <c r="AG42" s="3">
        <f t="shared" ref="AG42" si="145">SUM(I42+U42)</f>
        <v>0</v>
      </c>
      <c r="AH42" s="3">
        <f t="shared" ref="AH42" si="146">SUM(J42+V42)</f>
        <v>-51565</v>
      </c>
      <c r="AI42" s="3">
        <f t="shared" ref="AI42" si="147">SUM(K42+W42)</f>
        <v>153435</v>
      </c>
      <c r="AJ42" s="3">
        <f t="shared" ref="AJ42" si="148">SUM(L42+X42)</f>
        <v>0</v>
      </c>
      <c r="AK42" s="3">
        <f t="shared" ref="AK42" si="149">SUM(M42+Y42)</f>
        <v>0</v>
      </c>
      <c r="AL42" s="3">
        <f t="shared" ref="AL42" si="150">SUM(N42+Z42)</f>
        <v>153435</v>
      </c>
    </row>
    <row r="43" spans="1:38" ht="30.75" customHeight="1" x14ac:dyDescent="0.25">
      <c r="A43" s="351" t="s">
        <v>1282</v>
      </c>
      <c r="B43" s="351" t="s">
        <v>1281</v>
      </c>
      <c r="C43" s="588"/>
      <c r="D43" s="589"/>
      <c r="E43" s="588"/>
      <c r="F43" s="590">
        <f t="shared" si="115"/>
        <v>0</v>
      </c>
      <c r="G43" s="590">
        <v>0</v>
      </c>
      <c r="H43" s="590"/>
      <c r="I43" s="588"/>
      <c r="J43" s="6">
        <f t="shared" si="130"/>
        <v>0</v>
      </c>
      <c r="K43" s="588">
        <f t="shared" si="116"/>
        <v>0</v>
      </c>
      <c r="L43" s="590">
        <f t="shared" si="117"/>
        <v>0</v>
      </c>
      <c r="M43" s="590">
        <f t="shared" si="118"/>
        <v>0</v>
      </c>
      <c r="N43" s="590">
        <f t="shared" si="119"/>
        <v>0</v>
      </c>
      <c r="O43" s="588"/>
      <c r="P43" s="588"/>
      <c r="Q43" s="588"/>
      <c r="R43" s="6">
        <f t="shared" si="120"/>
        <v>0</v>
      </c>
      <c r="S43" s="6">
        <v>32</v>
      </c>
      <c r="T43" s="6">
        <v>2741</v>
      </c>
      <c r="U43" s="6"/>
      <c r="V43" s="6">
        <f t="shared" si="131"/>
        <v>2773</v>
      </c>
      <c r="W43" s="6">
        <f t="shared" si="121"/>
        <v>32</v>
      </c>
      <c r="X43" s="6">
        <f t="shared" si="122"/>
        <v>2741</v>
      </c>
      <c r="Y43" s="6">
        <f t="shared" si="123"/>
        <v>0</v>
      </c>
      <c r="Z43" s="6">
        <f t="shared" si="124"/>
        <v>2773</v>
      </c>
      <c r="AA43" s="3">
        <f t="shared" si="142"/>
        <v>0</v>
      </c>
      <c r="AB43" s="3">
        <f t="shared" si="142"/>
        <v>0</v>
      </c>
      <c r="AC43" s="3">
        <f t="shared" si="142"/>
        <v>0</v>
      </c>
      <c r="AD43" s="3">
        <f t="shared" si="142"/>
        <v>0</v>
      </c>
      <c r="AE43" s="3">
        <f t="shared" ref="AE43:AL43" si="151">SUM(G43+S43)</f>
        <v>32</v>
      </c>
      <c r="AF43" s="3">
        <f t="shared" si="151"/>
        <v>2741</v>
      </c>
      <c r="AG43" s="3">
        <f t="shared" si="151"/>
        <v>0</v>
      </c>
      <c r="AH43" s="3">
        <f t="shared" si="151"/>
        <v>2773</v>
      </c>
      <c r="AI43" s="3">
        <f t="shared" si="151"/>
        <v>32</v>
      </c>
      <c r="AJ43" s="3">
        <f t="shared" si="151"/>
        <v>2741</v>
      </c>
      <c r="AK43" s="3">
        <f t="shared" si="151"/>
        <v>0</v>
      </c>
      <c r="AL43" s="3">
        <f t="shared" si="151"/>
        <v>2773</v>
      </c>
    </row>
    <row r="44" spans="1:38" ht="31.5" x14ac:dyDescent="0.25">
      <c r="A44" s="352" t="s">
        <v>1280</v>
      </c>
      <c r="B44" s="352" t="s">
        <v>169</v>
      </c>
      <c r="C44" s="3">
        <f>+C42+C43</f>
        <v>205000</v>
      </c>
      <c r="D44" s="3">
        <f t="shared" ref="D44:AL44" si="152">+D42+D43</f>
        <v>0</v>
      </c>
      <c r="E44" s="3">
        <f t="shared" si="152"/>
        <v>0</v>
      </c>
      <c r="F44" s="3">
        <f t="shared" si="152"/>
        <v>205000</v>
      </c>
      <c r="G44" s="3">
        <f t="shared" si="152"/>
        <v>-51565</v>
      </c>
      <c r="H44" s="3">
        <f t="shared" si="152"/>
        <v>0</v>
      </c>
      <c r="I44" s="3">
        <f t="shared" si="152"/>
        <v>0</v>
      </c>
      <c r="J44" s="3">
        <f t="shared" si="152"/>
        <v>-51565</v>
      </c>
      <c r="K44" s="3">
        <f t="shared" si="152"/>
        <v>153435</v>
      </c>
      <c r="L44" s="3">
        <f t="shared" si="152"/>
        <v>0</v>
      </c>
      <c r="M44" s="3">
        <f t="shared" si="152"/>
        <v>0</v>
      </c>
      <c r="N44" s="3">
        <f t="shared" si="152"/>
        <v>153435</v>
      </c>
      <c r="O44" s="3">
        <f t="shared" si="152"/>
        <v>0</v>
      </c>
      <c r="P44" s="3">
        <f t="shared" si="152"/>
        <v>0</v>
      </c>
      <c r="Q44" s="3">
        <f t="shared" si="152"/>
        <v>0</v>
      </c>
      <c r="R44" s="3">
        <f t="shared" si="152"/>
        <v>0</v>
      </c>
      <c r="S44" s="3">
        <f t="shared" si="152"/>
        <v>32</v>
      </c>
      <c r="T44" s="3">
        <f t="shared" si="152"/>
        <v>2741</v>
      </c>
      <c r="U44" s="3">
        <f t="shared" si="152"/>
        <v>0</v>
      </c>
      <c r="V44" s="3">
        <f t="shared" si="152"/>
        <v>2773</v>
      </c>
      <c r="W44" s="3">
        <f t="shared" si="152"/>
        <v>32</v>
      </c>
      <c r="X44" s="3">
        <f t="shared" si="152"/>
        <v>2741</v>
      </c>
      <c r="Y44" s="3">
        <f t="shared" si="152"/>
        <v>0</v>
      </c>
      <c r="Z44" s="3">
        <f t="shared" si="152"/>
        <v>2773</v>
      </c>
      <c r="AA44" s="3">
        <f t="shared" si="152"/>
        <v>205000</v>
      </c>
      <c r="AB44" s="3">
        <f t="shared" si="152"/>
        <v>0</v>
      </c>
      <c r="AC44" s="3">
        <f t="shared" si="152"/>
        <v>0</v>
      </c>
      <c r="AD44" s="3">
        <f t="shared" si="152"/>
        <v>205000</v>
      </c>
      <c r="AE44" s="3">
        <f t="shared" si="152"/>
        <v>-51533</v>
      </c>
      <c r="AF44" s="3">
        <f t="shared" si="152"/>
        <v>2741</v>
      </c>
      <c r="AG44" s="3">
        <f t="shared" si="152"/>
        <v>0</v>
      </c>
      <c r="AH44" s="3">
        <f t="shared" si="152"/>
        <v>-48792</v>
      </c>
      <c r="AI44" s="3">
        <f t="shared" si="152"/>
        <v>153467</v>
      </c>
      <c r="AJ44" s="3">
        <f t="shared" si="152"/>
        <v>2741</v>
      </c>
      <c r="AK44" s="3">
        <f t="shared" si="152"/>
        <v>0</v>
      </c>
      <c r="AL44" s="3">
        <f t="shared" si="152"/>
        <v>156208</v>
      </c>
    </row>
    <row r="45" spans="1:38" x14ac:dyDescent="0.25">
      <c r="A45" s="353" t="s">
        <v>588</v>
      </c>
      <c r="B45" s="353" t="s">
        <v>170</v>
      </c>
      <c r="C45" s="18"/>
      <c r="D45" s="17">
        <v>403702</v>
      </c>
      <c r="E45" s="18"/>
      <c r="F45" s="19">
        <f>SUM(C45:E45)</f>
        <v>403702</v>
      </c>
      <c r="G45" s="19">
        <v>0</v>
      </c>
      <c r="H45" s="19">
        <v>-220650</v>
      </c>
      <c r="I45" s="19"/>
      <c r="J45" s="19">
        <f>SUM(G45:I45)</f>
        <v>-220650</v>
      </c>
      <c r="K45" s="18">
        <f t="shared" ref="K45:K46" si="153">SUM(G45+C45)</f>
        <v>0</v>
      </c>
      <c r="L45" s="19">
        <f t="shared" ref="L45:L46" si="154">SUM(H45+D45)</f>
        <v>183052</v>
      </c>
      <c r="M45" s="19">
        <f t="shared" ref="M45:M46" si="155">SUM(I45+E45)</f>
        <v>0</v>
      </c>
      <c r="N45" s="19">
        <f t="shared" ref="N45:N46" si="156">SUM(K45:M45)</f>
        <v>183052</v>
      </c>
      <c r="O45" s="18">
        <v>300</v>
      </c>
      <c r="P45" s="18">
        <v>1480</v>
      </c>
      <c r="Q45" s="18">
        <v>0</v>
      </c>
      <c r="R45" s="18">
        <f>SUM(O45:Q45)</f>
        <v>1780</v>
      </c>
      <c r="S45" s="18">
        <v>7745</v>
      </c>
      <c r="T45" s="18">
        <v>630</v>
      </c>
      <c r="U45" s="18"/>
      <c r="V45" s="18">
        <f>SUM(S45:U45)</f>
        <v>8375</v>
      </c>
      <c r="W45" s="18">
        <f t="shared" ref="W45:W46" si="157">SUM(S45+O45)</f>
        <v>8045</v>
      </c>
      <c r="X45" s="18">
        <f t="shared" ref="X45:X46" si="158">SUM(T45+P45)</f>
        <v>2110</v>
      </c>
      <c r="Y45" s="18">
        <f t="shared" ref="Y45:Y46" si="159">SUM(Q45+U45)</f>
        <v>0</v>
      </c>
      <c r="Z45" s="18">
        <f t="shared" ref="Z45:Z46" si="160">SUM(W45:Y45)</f>
        <v>10155</v>
      </c>
      <c r="AA45" s="3">
        <f t="shared" ref="AA45:AD46" si="161">SUM(C45+O45)</f>
        <v>300</v>
      </c>
      <c r="AB45" s="3">
        <f t="shared" si="161"/>
        <v>405182</v>
      </c>
      <c r="AC45" s="3">
        <f t="shared" si="161"/>
        <v>0</v>
      </c>
      <c r="AD45" s="3">
        <f t="shared" si="161"/>
        <v>405482</v>
      </c>
      <c r="AE45" s="3">
        <f t="shared" ref="AE45:AL46" si="162">SUM(G45+S45)</f>
        <v>7745</v>
      </c>
      <c r="AF45" s="3">
        <f t="shared" si="162"/>
        <v>-220020</v>
      </c>
      <c r="AG45" s="3">
        <f t="shared" si="162"/>
        <v>0</v>
      </c>
      <c r="AH45" s="3">
        <f t="shared" si="162"/>
        <v>-212275</v>
      </c>
      <c r="AI45" s="3">
        <f t="shared" si="162"/>
        <v>8045</v>
      </c>
      <c r="AJ45" s="3">
        <f t="shared" si="162"/>
        <v>185162</v>
      </c>
      <c r="AK45" s="3">
        <f t="shared" si="162"/>
        <v>0</v>
      </c>
      <c r="AL45" s="3">
        <f t="shared" si="162"/>
        <v>193207</v>
      </c>
    </row>
    <row r="46" spans="1:38" ht="16.5" thickBot="1" x14ac:dyDescent="0.3">
      <c r="A46" s="349" t="s">
        <v>589</v>
      </c>
      <c r="B46" s="349" t="s">
        <v>171</v>
      </c>
      <c r="C46" s="81">
        <v>16000</v>
      </c>
      <c r="D46" s="82">
        <v>329183</v>
      </c>
      <c r="E46" s="81"/>
      <c r="F46" s="83">
        <f>SUM(C46:E46)</f>
        <v>345183</v>
      </c>
      <c r="G46" s="83">
        <v>0</v>
      </c>
      <c r="H46" s="83">
        <v>-301679</v>
      </c>
      <c r="I46" s="83"/>
      <c r="J46" s="83">
        <f>SUM(G46:I46)</f>
        <v>-301679</v>
      </c>
      <c r="K46" s="81">
        <f t="shared" si="153"/>
        <v>16000</v>
      </c>
      <c r="L46" s="83">
        <f t="shared" si="154"/>
        <v>27504</v>
      </c>
      <c r="M46" s="83">
        <f t="shared" si="155"/>
        <v>0</v>
      </c>
      <c r="N46" s="83">
        <f t="shared" si="156"/>
        <v>43504</v>
      </c>
      <c r="O46" s="81">
        <v>0</v>
      </c>
      <c r="P46" s="81">
        <v>0</v>
      </c>
      <c r="Q46" s="81">
        <v>0</v>
      </c>
      <c r="R46" s="18">
        <f>SUM(O46:Q46)</f>
        <v>0</v>
      </c>
      <c r="S46" s="155"/>
      <c r="T46" s="155"/>
      <c r="U46" s="155"/>
      <c r="V46" s="155">
        <f>SUM(S46:U46)</f>
        <v>0</v>
      </c>
      <c r="W46" s="155">
        <f t="shared" si="157"/>
        <v>0</v>
      </c>
      <c r="X46" s="155">
        <f t="shared" si="158"/>
        <v>0</v>
      </c>
      <c r="Y46" s="155">
        <f t="shared" si="159"/>
        <v>0</v>
      </c>
      <c r="Z46" s="155">
        <f t="shared" si="160"/>
        <v>0</v>
      </c>
      <c r="AA46" s="23">
        <f t="shared" si="161"/>
        <v>16000</v>
      </c>
      <c r="AB46" s="23">
        <f t="shared" si="161"/>
        <v>329183</v>
      </c>
      <c r="AC46" s="23">
        <f t="shared" si="161"/>
        <v>0</v>
      </c>
      <c r="AD46" s="23">
        <f t="shared" si="161"/>
        <v>345183</v>
      </c>
      <c r="AE46" s="23">
        <f t="shared" si="162"/>
        <v>0</v>
      </c>
      <c r="AF46" s="23">
        <f t="shared" si="162"/>
        <v>-301679</v>
      </c>
      <c r="AG46" s="23">
        <f t="shared" si="162"/>
        <v>0</v>
      </c>
      <c r="AH46" s="23">
        <f t="shared" si="162"/>
        <v>-301679</v>
      </c>
      <c r="AI46" s="23">
        <f t="shared" si="162"/>
        <v>16000</v>
      </c>
      <c r="AJ46" s="23">
        <f t="shared" si="162"/>
        <v>27504</v>
      </c>
      <c r="AK46" s="23">
        <f t="shared" si="162"/>
        <v>0</v>
      </c>
      <c r="AL46" s="23">
        <f t="shared" si="162"/>
        <v>43504</v>
      </c>
    </row>
    <row r="47" spans="1:38" ht="33" thickTop="1" thickBot="1" x14ac:dyDescent="0.3">
      <c r="A47" s="354" t="s">
        <v>590</v>
      </c>
      <c r="B47" s="354"/>
      <c r="C47" s="26">
        <f t="shared" ref="C47:F47" si="163">SUM(C45+C38+C37+C19)</f>
        <v>27338429</v>
      </c>
      <c r="D47" s="26">
        <f t="shared" si="163"/>
        <v>1875404</v>
      </c>
      <c r="E47" s="26">
        <f t="shared" si="163"/>
        <v>0</v>
      </c>
      <c r="F47" s="26">
        <f t="shared" si="163"/>
        <v>29213833</v>
      </c>
      <c r="G47" s="26">
        <f t="shared" ref="G47:AL47" si="164">SUM(G45+G38+G37+G19)</f>
        <v>678619</v>
      </c>
      <c r="H47" s="26">
        <f t="shared" si="164"/>
        <v>-72725</v>
      </c>
      <c r="I47" s="26">
        <f t="shared" si="164"/>
        <v>0</v>
      </c>
      <c r="J47" s="26">
        <f t="shared" si="164"/>
        <v>605894</v>
      </c>
      <c r="K47" s="26">
        <f t="shared" si="164"/>
        <v>28017048</v>
      </c>
      <c r="L47" s="26">
        <f t="shared" si="164"/>
        <v>1802679</v>
      </c>
      <c r="M47" s="26">
        <f t="shared" si="164"/>
        <v>0</v>
      </c>
      <c r="N47" s="26">
        <f t="shared" si="164"/>
        <v>29819727</v>
      </c>
      <c r="O47" s="26">
        <f t="shared" ref="O47:Q47" si="165">SUM(O45+O38+O37+O19)</f>
        <v>1935834</v>
      </c>
      <c r="P47" s="26">
        <f t="shared" si="165"/>
        <v>857056</v>
      </c>
      <c r="Q47" s="26">
        <f t="shared" si="165"/>
        <v>76331</v>
      </c>
      <c r="R47" s="26">
        <f t="shared" si="164"/>
        <v>2869221</v>
      </c>
      <c r="S47" s="26">
        <f t="shared" si="164"/>
        <v>229395</v>
      </c>
      <c r="T47" s="26">
        <f t="shared" si="164"/>
        <v>299465</v>
      </c>
      <c r="U47" s="26">
        <f t="shared" si="164"/>
        <v>839</v>
      </c>
      <c r="V47" s="26">
        <f t="shared" si="164"/>
        <v>529699</v>
      </c>
      <c r="W47" s="26">
        <f t="shared" si="164"/>
        <v>2165229</v>
      </c>
      <c r="X47" s="26">
        <f t="shared" si="164"/>
        <v>1156521</v>
      </c>
      <c r="Y47" s="26">
        <f t="shared" si="164"/>
        <v>77170</v>
      </c>
      <c r="Z47" s="26">
        <f t="shared" si="164"/>
        <v>3398920</v>
      </c>
      <c r="AA47" s="26">
        <f t="shared" si="164"/>
        <v>29274263</v>
      </c>
      <c r="AB47" s="26">
        <f t="shared" si="164"/>
        <v>2732460</v>
      </c>
      <c r="AC47" s="26">
        <f t="shared" si="164"/>
        <v>76331</v>
      </c>
      <c r="AD47" s="26">
        <f t="shared" si="164"/>
        <v>32083054</v>
      </c>
      <c r="AE47" s="26">
        <f t="shared" si="164"/>
        <v>908014</v>
      </c>
      <c r="AF47" s="26">
        <f t="shared" si="164"/>
        <v>226740</v>
      </c>
      <c r="AG47" s="26">
        <f t="shared" si="164"/>
        <v>839</v>
      </c>
      <c r="AH47" s="26">
        <f t="shared" si="164"/>
        <v>1135593</v>
      </c>
      <c r="AI47" s="26">
        <f t="shared" si="164"/>
        <v>30182277</v>
      </c>
      <c r="AJ47" s="26">
        <f t="shared" si="164"/>
        <v>2959200</v>
      </c>
      <c r="AK47" s="26">
        <f t="shared" si="164"/>
        <v>77170</v>
      </c>
      <c r="AL47" s="26">
        <f t="shared" si="164"/>
        <v>33218647</v>
      </c>
    </row>
    <row r="48" spans="1:38" ht="33" thickTop="1" thickBot="1" x14ac:dyDescent="0.3">
      <c r="A48" s="354" t="s">
        <v>591</v>
      </c>
      <c r="B48" s="354"/>
      <c r="C48" s="26">
        <f t="shared" ref="C48:F48" si="166">SUM(C22+C44+C46)</f>
        <v>2497600</v>
      </c>
      <c r="D48" s="26">
        <f t="shared" si="166"/>
        <v>14783115</v>
      </c>
      <c r="E48" s="26">
        <f t="shared" si="166"/>
        <v>0</v>
      </c>
      <c r="F48" s="26">
        <f t="shared" si="166"/>
        <v>17280715</v>
      </c>
      <c r="G48" s="26">
        <f t="shared" ref="G48:AL48" si="167">SUM(G22+G44+G46)</f>
        <v>744703</v>
      </c>
      <c r="H48" s="26">
        <f t="shared" si="167"/>
        <v>-379339</v>
      </c>
      <c r="I48" s="26">
        <f t="shared" si="167"/>
        <v>0</v>
      </c>
      <c r="J48" s="26">
        <f t="shared" si="167"/>
        <v>365364</v>
      </c>
      <c r="K48" s="26">
        <f t="shared" si="167"/>
        <v>3242303</v>
      </c>
      <c r="L48" s="26">
        <f t="shared" si="167"/>
        <v>14403776</v>
      </c>
      <c r="M48" s="26">
        <f t="shared" si="167"/>
        <v>0</v>
      </c>
      <c r="N48" s="26">
        <f t="shared" si="167"/>
        <v>17646079</v>
      </c>
      <c r="O48" s="26">
        <f t="shared" si="167"/>
        <v>0</v>
      </c>
      <c r="P48" s="26">
        <f t="shared" si="167"/>
        <v>0</v>
      </c>
      <c r="Q48" s="26">
        <f t="shared" si="167"/>
        <v>0</v>
      </c>
      <c r="R48" s="26">
        <f t="shared" si="167"/>
        <v>0</v>
      </c>
      <c r="S48" s="26">
        <f t="shared" si="167"/>
        <v>32</v>
      </c>
      <c r="T48" s="26">
        <f t="shared" si="167"/>
        <v>32716</v>
      </c>
      <c r="U48" s="26">
        <f t="shared" si="167"/>
        <v>0</v>
      </c>
      <c r="V48" s="26">
        <f t="shared" si="167"/>
        <v>32748</v>
      </c>
      <c r="W48" s="26">
        <f t="shared" si="167"/>
        <v>32</v>
      </c>
      <c r="X48" s="26">
        <f t="shared" si="167"/>
        <v>32716</v>
      </c>
      <c r="Y48" s="26">
        <f t="shared" si="167"/>
        <v>0</v>
      </c>
      <c r="Z48" s="26">
        <f t="shared" si="167"/>
        <v>32748</v>
      </c>
      <c r="AA48" s="26">
        <f t="shared" si="167"/>
        <v>2497600</v>
      </c>
      <c r="AB48" s="26">
        <f t="shared" si="167"/>
        <v>14783115</v>
      </c>
      <c r="AC48" s="26">
        <f t="shared" si="167"/>
        <v>0</v>
      </c>
      <c r="AD48" s="26">
        <f t="shared" si="167"/>
        <v>17280715</v>
      </c>
      <c r="AE48" s="26">
        <f t="shared" si="167"/>
        <v>744735</v>
      </c>
      <c r="AF48" s="26">
        <f t="shared" si="167"/>
        <v>-346623</v>
      </c>
      <c r="AG48" s="26">
        <f t="shared" si="167"/>
        <v>0</v>
      </c>
      <c r="AH48" s="26">
        <f t="shared" si="167"/>
        <v>398112</v>
      </c>
      <c r="AI48" s="26">
        <f t="shared" si="167"/>
        <v>3242335</v>
      </c>
      <c r="AJ48" s="26">
        <f t="shared" si="167"/>
        <v>14436492</v>
      </c>
      <c r="AK48" s="26">
        <f t="shared" si="167"/>
        <v>0</v>
      </c>
      <c r="AL48" s="26">
        <f t="shared" si="167"/>
        <v>17678827</v>
      </c>
    </row>
    <row r="49" spans="1:38" ht="33" thickTop="1" thickBot="1" x14ac:dyDescent="0.3">
      <c r="A49" s="354" t="s">
        <v>592</v>
      </c>
      <c r="B49" s="354" t="s">
        <v>275</v>
      </c>
      <c r="C49" s="20">
        <f>SUM(C47+C48)</f>
        <v>29836029</v>
      </c>
      <c r="D49" s="20">
        <f t="shared" ref="D49:F49" si="168">SUM(D47+D48)</f>
        <v>16658519</v>
      </c>
      <c r="E49" s="20">
        <f t="shared" si="168"/>
        <v>0</v>
      </c>
      <c r="F49" s="20">
        <f t="shared" si="168"/>
        <v>46494548</v>
      </c>
      <c r="G49" s="20">
        <f t="shared" ref="G49:Q49" si="169">SUM(G47+G48)</f>
        <v>1423322</v>
      </c>
      <c r="H49" s="20">
        <f t="shared" si="169"/>
        <v>-452064</v>
      </c>
      <c r="I49" s="20">
        <f t="shared" si="169"/>
        <v>0</v>
      </c>
      <c r="J49" s="20">
        <f t="shared" si="169"/>
        <v>971258</v>
      </c>
      <c r="K49" s="20">
        <f t="shared" si="169"/>
        <v>31259351</v>
      </c>
      <c r="L49" s="20">
        <f t="shared" si="169"/>
        <v>16206455</v>
      </c>
      <c r="M49" s="20">
        <f t="shared" si="169"/>
        <v>0</v>
      </c>
      <c r="N49" s="20">
        <f t="shared" si="169"/>
        <v>47465806</v>
      </c>
      <c r="O49" s="20">
        <f t="shared" si="169"/>
        <v>1935834</v>
      </c>
      <c r="P49" s="20">
        <f t="shared" si="169"/>
        <v>857056</v>
      </c>
      <c r="Q49" s="20">
        <f t="shared" si="169"/>
        <v>76331</v>
      </c>
      <c r="R49" s="20">
        <f t="shared" ref="R49:AD49" si="170">SUM(R47+R48)</f>
        <v>2869221</v>
      </c>
      <c r="S49" s="20">
        <f t="shared" ref="S49:Z49" si="171">SUM(S47+S48)</f>
        <v>229427</v>
      </c>
      <c r="T49" s="20">
        <f t="shared" si="171"/>
        <v>332181</v>
      </c>
      <c r="U49" s="20">
        <f t="shared" si="171"/>
        <v>839</v>
      </c>
      <c r="V49" s="20">
        <f t="shared" si="171"/>
        <v>562447</v>
      </c>
      <c r="W49" s="20">
        <f t="shared" si="171"/>
        <v>2165261</v>
      </c>
      <c r="X49" s="20">
        <f t="shared" si="171"/>
        <v>1189237</v>
      </c>
      <c r="Y49" s="20">
        <f t="shared" si="171"/>
        <v>77170</v>
      </c>
      <c r="Z49" s="20">
        <f t="shared" si="171"/>
        <v>3431668</v>
      </c>
      <c r="AA49" s="20">
        <f t="shared" si="170"/>
        <v>31771863</v>
      </c>
      <c r="AB49" s="20">
        <f t="shared" si="170"/>
        <v>17515575</v>
      </c>
      <c r="AC49" s="20">
        <f t="shared" si="170"/>
        <v>76331</v>
      </c>
      <c r="AD49" s="20">
        <f t="shared" si="170"/>
        <v>49363769</v>
      </c>
      <c r="AE49" s="20">
        <f t="shared" ref="AE49:AL49" si="172">SUM(AE47+AE48)</f>
        <v>1652749</v>
      </c>
      <c r="AF49" s="20">
        <f t="shared" si="172"/>
        <v>-119883</v>
      </c>
      <c r="AG49" s="20">
        <f t="shared" si="172"/>
        <v>839</v>
      </c>
      <c r="AH49" s="20">
        <f t="shared" si="172"/>
        <v>1533705</v>
      </c>
      <c r="AI49" s="20">
        <f t="shared" si="172"/>
        <v>33424612</v>
      </c>
      <c r="AJ49" s="20">
        <f t="shared" si="172"/>
        <v>17395692</v>
      </c>
      <c r="AK49" s="20">
        <f t="shared" si="172"/>
        <v>77170</v>
      </c>
      <c r="AL49" s="20">
        <f t="shared" si="172"/>
        <v>50897474</v>
      </c>
    </row>
    <row r="50" spans="1:38" ht="17.25" thickTop="1" thickBot="1" x14ac:dyDescent="0.3">
      <c r="A50" s="354"/>
      <c r="B50" s="355"/>
      <c r="C50" s="24"/>
      <c r="D50" s="67"/>
      <c r="E50" s="24"/>
      <c r="F50" s="25"/>
      <c r="G50" s="25"/>
      <c r="H50" s="25"/>
      <c r="I50" s="25"/>
      <c r="J50" s="25"/>
      <c r="K50" s="25"/>
      <c r="L50" s="25"/>
      <c r="M50" s="25"/>
      <c r="N50" s="25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7"/>
      <c r="AB50" s="26"/>
      <c r="AC50" s="26"/>
      <c r="AD50" s="26"/>
      <c r="AE50" s="27"/>
      <c r="AF50" s="26"/>
      <c r="AG50" s="26"/>
      <c r="AH50" s="26"/>
      <c r="AI50" s="27"/>
      <c r="AJ50" s="26"/>
      <c r="AK50" s="26"/>
      <c r="AL50" s="26"/>
    </row>
    <row r="51" spans="1:38" ht="32.25" thickTop="1" x14ac:dyDescent="0.25">
      <c r="A51" s="356" t="s">
        <v>311</v>
      </c>
      <c r="B51" s="356"/>
      <c r="C51" s="357"/>
      <c r="D51" s="358"/>
      <c r="E51" s="359"/>
      <c r="F51" s="360">
        <f>F52-F53</f>
        <v>-8074181</v>
      </c>
      <c r="G51" s="361"/>
      <c r="H51" s="358"/>
      <c r="I51" s="358"/>
      <c r="J51" s="361">
        <f>J52-J53</f>
        <v>72840</v>
      </c>
      <c r="K51" s="357"/>
      <c r="L51" s="358"/>
      <c r="M51" s="358"/>
      <c r="N51" s="360">
        <f>N52-N53</f>
        <v>-8001341</v>
      </c>
      <c r="O51" s="361"/>
      <c r="P51" s="358"/>
      <c r="Q51" s="358"/>
      <c r="R51" s="360">
        <f>R52-R53</f>
        <v>-12632973</v>
      </c>
      <c r="S51" s="362"/>
      <c r="T51" s="358"/>
      <c r="U51" s="358"/>
      <c r="V51" s="360">
        <f>V52-V53</f>
        <v>-72862</v>
      </c>
      <c r="W51" s="363"/>
      <c r="X51" s="358"/>
      <c r="Y51" s="358"/>
      <c r="Z51" s="364">
        <f>Z52-Z53</f>
        <v>-12705835</v>
      </c>
      <c r="AA51" s="357"/>
      <c r="AB51" s="358"/>
      <c r="AC51" s="358"/>
      <c r="AD51" s="360">
        <f>AD52-AD53</f>
        <v>-20707154</v>
      </c>
      <c r="AE51" s="357"/>
      <c r="AF51" s="358"/>
      <c r="AG51" s="358"/>
      <c r="AH51" s="360">
        <f t="shared" ref="AH51" si="173">AH52-AH53</f>
        <v>-22</v>
      </c>
      <c r="AI51" s="357"/>
      <c r="AJ51" s="358"/>
      <c r="AK51" s="358"/>
      <c r="AL51" s="360">
        <f t="shared" ref="AL51" si="174">AL52-AL53</f>
        <v>-20707176</v>
      </c>
    </row>
    <row r="52" spans="1:38" x14ac:dyDescent="0.25">
      <c r="A52" s="365" t="s">
        <v>216</v>
      </c>
      <c r="B52" s="365" t="s">
        <v>275</v>
      </c>
      <c r="C52" s="31"/>
      <c r="D52" s="87"/>
      <c r="E52" s="102"/>
      <c r="F52" s="103">
        <f>SUM(F49)</f>
        <v>46494548</v>
      </c>
      <c r="G52" s="89"/>
      <c r="H52" s="87"/>
      <c r="I52" s="87"/>
      <c r="J52" s="89">
        <f>SUM(J49)</f>
        <v>971258</v>
      </c>
      <c r="K52" s="31"/>
      <c r="L52" s="87"/>
      <c r="M52" s="87"/>
      <c r="N52" s="103">
        <f>SUM(N49)</f>
        <v>47465806</v>
      </c>
      <c r="O52" s="89"/>
      <c r="P52" s="87"/>
      <c r="Q52" s="87"/>
      <c r="R52" s="103">
        <f>SUM(R49)</f>
        <v>2869221</v>
      </c>
      <c r="S52" s="366"/>
      <c r="T52" s="87"/>
      <c r="U52" s="87"/>
      <c r="V52" s="103">
        <f>SUM(V49)</f>
        <v>562447</v>
      </c>
      <c r="W52" s="156"/>
      <c r="X52" s="87"/>
      <c r="Y52" s="87"/>
      <c r="Z52" s="105">
        <f>SUM(Z49)</f>
        <v>3431668</v>
      </c>
      <c r="AA52" s="31"/>
      <c r="AB52" s="87"/>
      <c r="AC52" s="87"/>
      <c r="AD52" s="103">
        <f>SUM(AD49)</f>
        <v>49363769</v>
      </c>
      <c r="AE52" s="31"/>
      <c r="AF52" s="87"/>
      <c r="AG52" s="87"/>
      <c r="AH52" s="103">
        <f t="shared" ref="AH52" si="175">SUM(AH49)</f>
        <v>1533705</v>
      </c>
      <c r="AI52" s="31"/>
      <c r="AJ52" s="87"/>
      <c r="AK52" s="87"/>
      <c r="AL52" s="103">
        <f t="shared" ref="AL52" si="176">SUM(AL49)</f>
        <v>50897474</v>
      </c>
    </row>
    <row r="53" spans="1:38" x14ac:dyDescent="0.25">
      <c r="A53" s="365" t="s">
        <v>217</v>
      </c>
      <c r="B53" s="365" t="s">
        <v>271</v>
      </c>
      <c r="C53" s="31"/>
      <c r="D53" s="87"/>
      <c r="E53" s="102"/>
      <c r="F53" s="103">
        <f>'2 kiadás (kötelező, önként)'!F22</f>
        <v>54568729</v>
      </c>
      <c r="G53" s="89"/>
      <c r="H53" s="87"/>
      <c r="I53" s="87"/>
      <c r="J53" s="89">
        <f>'2 kiadás (kötelező, önként)'!J22</f>
        <v>898418</v>
      </c>
      <c r="K53" s="31"/>
      <c r="L53" s="87"/>
      <c r="M53" s="87"/>
      <c r="N53" s="103">
        <f>SUM(J53+F53)</f>
        <v>55467147</v>
      </c>
      <c r="O53" s="89"/>
      <c r="P53" s="87"/>
      <c r="Q53" s="87"/>
      <c r="R53" s="103">
        <f>'2 kiadás (kötelező, önként)'!R22</f>
        <v>15502194</v>
      </c>
      <c r="S53" s="366"/>
      <c r="T53" s="87"/>
      <c r="U53" s="87"/>
      <c r="V53" s="103">
        <f>'2 kiadás (kötelező, önként)'!V22</f>
        <v>635309</v>
      </c>
      <c r="W53" s="156"/>
      <c r="X53" s="87"/>
      <c r="Y53" s="87"/>
      <c r="Z53" s="105">
        <f>'2 kiadás (kötelező, önként)'!Z22</f>
        <v>16137503</v>
      </c>
      <c r="AA53" s="31"/>
      <c r="AB53" s="87"/>
      <c r="AC53" s="87"/>
      <c r="AD53" s="107">
        <f>'2 kiadás (kötelező, önként)'!AD22</f>
        <v>70070923</v>
      </c>
      <c r="AE53" s="31"/>
      <c r="AF53" s="87"/>
      <c r="AG53" s="87"/>
      <c r="AH53" s="107">
        <f>'2 kiadás (kötelező, önként)'!AH22</f>
        <v>1533727</v>
      </c>
      <c r="AI53" s="31"/>
      <c r="AJ53" s="87"/>
      <c r="AK53" s="87"/>
      <c r="AL53" s="107">
        <f>'2 kiadás (kötelező, önként)'!AL22</f>
        <v>71604650</v>
      </c>
    </row>
    <row r="54" spans="1:38" x14ac:dyDescent="0.25">
      <c r="A54" s="365"/>
      <c r="B54" s="365"/>
      <c r="C54" s="108"/>
      <c r="D54" s="109"/>
      <c r="E54" s="87"/>
      <c r="F54" s="110"/>
      <c r="G54" s="89"/>
      <c r="H54" s="87"/>
      <c r="I54" s="87"/>
      <c r="J54" s="89"/>
      <c r="K54" s="31"/>
      <c r="L54" s="87"/>
      <c r="M54" s="87"/>
      <c r="N54" s="103"/>
      <c r="O54" s="111"/>
      <c r="P54" s="109"/>
      <c r="Q54" s="109"/>
      <c r="R54" s="103"/>
      <c r="S54" s="366"/>
      <c r="T54" s="87"/>
      <c r="U54" s="87"/>
      <c r="V54" s="103"/>
      <c r="W54" s="156"/>
      <c r="X54" s="87"/>
      <c r="Y54" s="87"/>
      <c r="Z54" s="105"/>
      <c r="AA54" s="31"/>
      <c r="AB54" s="87"/>
      <c r="AC54" s="87"/>
      <c r="AD54" s="107"/>
      <c r="AE54" s="31"/>
      <c r="AF54" s="87"/>
      <c r="AG54" s="87"/>
      <c r="AH54" s="107"/>
      <c r="AI54" s="31"/>
      <c r="AJ54" s="87"/>
      <c r="AK54" s="87"/>
      <c r="AL54" s="107"/>
    </row>
    <row r="55" spans="1:38" x14ac:dyDescent="0.25">
      <c r="A55" s="367" t="s">
        <v>488</v>
      </c>
      <c r="B55" s="367"/>
      <c r="C55" s="264"/>
      <c r="D55" s="265"/>
      <c r="E55" s="265"/>
      <c r="F55" s="266">
        <f>SUM(F62-F63)</f>
        <v>8074181</v>
      </c>
      <c r="G55" s="86"/>
      <c r="H55" s="84"/>
      <c r="I55" s="84"/>
      <c r="J55" s="86">
        <f>SUM(J62-J63)</f>
        <v>-72840</v>
      </c>
      <c r="K55" s="70"/>
      <c r="L55" s="84"/>
      <c r="M55" s="84"/>
      <c r="N55" s="104">
        <f>SUM(N62-N63)</f>
        <v>8001341</v>
      </c>
      <c r="O55" s="267"/>
      <c r="P55" s="265"/>
      <c r="Q55" s="265"/>
      <c r="R55" s="104">
        <f>SUM(R62-R63)</f>
        <v>12632973</v>
      </c>
      <c r="S55" s="368"/>
      <c r="T55" s="84"/>
      <c r="U55" s="84"/>
      <c r="V55" s="104">
        <f>SUM(V62-V63)</f>
        <v>72862</v>
      </c>
      <c r="W55" s="157"/>
      <c r="X55" s="84"/>
      <c r="Y55" s="84"/>
      <c r="Z55" s="161">
        <f>SUM(Z62-Z63)</f>
        <v>12705835</v>
      </c>
      <c r="AA55" s="70"/>
      <c r="AB55" s="84"/>
      <c r="AC55" s="84"/>
      <c r="AD55" s="104">
        <f>SUM(AD62-AD63)</f>
        <v>20707154</v>
      </c>
      <c r="AE55" s="70"/>
      <c r="AF55" s="84"/>
      <c r="AG55" s="84"/>
      <c r="AH55" s="104">
        <f>SUM(AH62-AH63)</f>
        <v>22</v>
      </c>
      <c r="AI55" s="70"/>
      <c r="AJ55" s="84"/>
      <c r="AK55" s="84"/>
      <c r="AL55" s="104">
        <f>SUM(AL62-AL63)</f>
        <v>20707176</v>
      </c>
    </row>
    <row r="56" spans="1:38" ht="31.5" x14ac:dyDescent="0.25">
      <c r="A56" s="32" t="s">
        <v>182</v>
      </c>
      <c r="B56" s="32"/>
      <c r="C56" s="88">
        <v>3996936</v>
      </c>
      <c r="D56" s="30">
        <v>509839</v>
      </c>
      <c r="E56" s="30"/>
      <c r="F56" s="106">
        <f>SUM(C56:E56)</f>
        <v>4506775</v>
      </c>
      <c r="G56" s="85"/>
      <c r="H56" s="30">
        <v>1</v>
      </c>
      <c r="I56" s="30"/>
      <c r="J56" s="85">
        <f>SUM(G56:I56)</f>
        <v>1</v>
      </c>
      <c r="K56" s="88">
        <f t="shared" ref="K56:K57" si="177">SUM(G56+C56)</f>
        <v>3996936</v>
      </c>
      <c r="L56" s="30">
        <f t="shared" ref="L56:L57" si="178">SUM(H56+D56)</f>
        <v>509840</v>
      </c>
      <c r="M56" s="30">
        <f t="shared" ref="M56:M57" si="179">SUM(I56+E56)</f>
        <v>0</v>
      </c>
      <c r="N56" s="106">
        <f t="shared" ref="N56:N57" si="180">SUM(K56:M56)</f>
        <v>4506776</v>
      </c>
      <c r="O56" s="88">
        <v>725925</v>
      </c>
      <c r="P56" s="30">
        <v>39759</v>
      </c>
      <c r="Q56" s="30"/>
      <c r="R56" s="106">
        <f>SUM(O56:Q56)</f>
        <v>765684</v>
      </c>
      <c r="S56" s="369">
        <v>16</v>
      </c>
      <c r="T56" s="30">
        <v>4</v>
      </c>
      <c r="U56" s="30">
        <v>0</v>
      </c>
      <c r="V56" s="106">
        <f>SUM(S56:U56)</f>
        <v>20</v>
      </c>
      <c r="W56" s="138">
        <f>SUM(S56+O56)</f>
        <v>725941</v>
      </c>
      <c r="X56" s="30">
        <f>SUM(T56+P56)</f>
        <v>39763</v>
      </c>
      <c r="Y56" s="30">
        <f>SUM(Q56+U56)</f>
        <v>0</v>
      </c>
      <c r="Z56" s="107">
        <f>SUM(W56:Y56)</f>
        <v>765704</v>
      </c>
      <c r="AA56" s="88">
        <f>SUM(O56+C56)</f>
        <v>4722861</v>
      </c>
      <c r="AB56" s="30">
        <f>SUM(P56+D56)</f>
        <v>549598</v>
      </c>
      <c r="AC56" s="30"/>
      <c r="AD56" s="107">
        <f>SUM(AA56:AC56)</f>
        <v>5272459</v>
      </c>
      <c r="AE56" s="88">
        <f t="shared" ref="AE56:AF57" si="181">SUM(S56+G56)</f>
        <v>16</v>
      </c>
      <c r="AF56" s="30">
        <f t="shared" si="181"/>
        <v>5</v>
      </c>
      <c r="AG56" s="30"/>
      <c r="AH56" s="107">
        <f t="shared" ref="AH56:AH57" si="182">SUM(AE56:AG56)</f>
        <v>21</v>
      </c>
      <c r="AI56" s="88">
        <f t="shared" ref="AI56:AJ57" si="183">SUM(W56+K56)</f>
        <v>4722877</v>
      </c>
      <c r="AJ56" s="30">
        <f t="shared" si="183"/>
        <v>549603</v>
      </c>
      <c r="AK56" s="30"/>
      <c r="AL56" s="107">
        <f t="shared" ref="AL56:AL57" si="184">SUM(AI56:AK56)</f>
        <v>5272480</v>
      </c>
    </row>
    <row r="57" spans="1:38" ht="31.5" x14ac:dyDescent="0.25">
      <c r="A57" s="32" t="s">
        <v>172</v>
      </c>
      <c r="B57" s="32"/>
      <c r="C57" s="88">
        <v>2864791</v>
      </c>
      <c r="D57" s="30">
        <v>10104902</v>
      </c>
      <c r="E57" s="30"/>
      <c r="F57" s="106">
        <f>SUM(C57:E57)</f>
        <v>12969693</v>
      </c>
      <c r="G57" s="85"/>
      <c r="H57" s="30"/>
      <c r="I57" s="30"/>
      <c r="J57" s="85">
        <f>SUM(G57:I57)</f>
        <v>0</v>
      </c>
      <c r="K57" s="88">
        <f t="shared" si="177"/>
        <v>2864791</v>
      </c>
      <c r="L57" s="30">
        <f t="shared" si="178"/>
        <v>10104902</v>
      </c>
      <c r="M57" s="30">
        <f t="shared" si="179"/>
        <v>0</v>
      </c>
      <c r="N57" s="106">
        <f t="shared" si="180"/>
        <v>12969693</v>
      </c>
      <c r="O57" s="88"/>
      <c r="P57" s="30"/>
      <c r="Q57" s="30"/>
      <c r="R57" s="106">
        <f>SUM(O57:Q57)</f>
        <v>0</v>
      </c>
      <c r="S57" s="369"/>
      <c r="T57" s="30"/>
      <c r="U57" s="30"/>
      <c r="V57" s="106">
        <f>SUM(S57:U57)</f>
        <v>0</v>
      </c>
      <c r="W57" s="138">
        <f>SUM(S57+O57)</f>
        <v>0</v>
      </c>
      <c r="X57" s="30">
        <f>SUM(T57+P57)</f>
        <v>0</v>
      </c>
      <c r="Y57" s="30">
        <f>SUM(Q57+U57)</f>
        <v>0</v>
      </c>
      <c r="Z57" s="107">
        <f>SUM(W57:Y57)</f>
        <v>0</v>
      </c>
      <c r="AA57" s="88">
        <f>SUM(O57+C57)</f>
        <v>2864791</v>
      </c>
      <c r="AB57" s="30">
        <f>SUM(P57+D57)</f>
        <v>10104902</v>
      </c>
      <c r="AC57" s="30"/>
      <c r="AD57" s="107">
        <f>SUM(AA57:AC57)</f>
        <v>12969693</v>
      </c>
      <c r="AE57" s="88">
        <f t="shared" si="181"/>
        <v>0</v>
      </c>
      <c r="AF57" s="30">
        <f t="shared" si="181"/>
        <v>0</v>
      </c>
      <c r="AG57" s="30"/>
      <c r="AH57" s="107">
        <f t="shared" si="182"/>
        <v>0</v>
      </c>
      <c r="AI57" s="88">
        <f t="shared" si="183"/>
        <v>2864791</v>
      </c>
      <c r="AJ57" s="30">
        <f t="shared" si="183"/>
        <v>10104902</v>
      </c>
      <c r="AK57" s="30"/>
      <c r="AL57" s="107">
        <f t="shared" si="184"/>
        <v>12969693</v>
      </c>
    </row>
    <row r="58" spans="1:38" x14ac:dyDescent="0.25">
      <c r="A58" s="32" t="s">
        <v>173</v>
      </c>
      <c r="B58" s="32" t="s">
        <v>215</v>
      </c>
      <c r="C58" s="31">
        <f t="shared" ref="C58:F58" si="185">SUM(C56:C57)</f>
        <v>6861727</v>
      </c>
      <c r="D58" s="87">
        <f t="shared" si="185"/>
        <v>10614741</v>
      </c>
      <c r="E58" s="87">
        <f t="shared" si="185"/>
        <v>0</v>
      </c>
      <c r="F58" s="105">
        <f t="shared" si="185"/>
        <v>17476468</v>
      </c>
      <c r="G58" s="89">
        <f t="shared" ref="G58:AD58" si="186">SUM(G56:G57)</f>
        <v>0</v>
      </c>
      <c r="H58" s="87">
        <f t="shared" si="186"/>
        <v>1</v>
      </c>
      <c r="I58" s="87">
        <f t="shared" si="186"/>
        <v>0</v>
      </c>
      <c r="J58" s="105">
        <f t="shared" si="186"/>
        <v>1</v>
      </c>
      <c r="K58" s="89">
        <f t="shared" si="186"/>
        <v>6861727</v>
      </c>
      <c r="L58" s="87">
        <f t="shared" si="186"/>
        <v>10614742</v>
      </c>
      <c r="M58" s="87">
        <f t="shared" si="186"/>
        <v>0</v>
      </c>
      <c r="N58" s="105">
        <f t="shared" si="186"/>
        <v>17476469</v>
      </c>
      <c r="O58" s="89">
        <f t="shared" ref="O58:Q58" si="187">SUM(O56:O57)</f>
        <v>725925</v>
      </c>
      <c r="P58" s="87">
        <f t="shared" si="187"/>
        <v>39759</v>
      </c>
      <c r="Q58" s="87">
        <f t="shared" si="187"/>
        <v>0</v>
      </c>
      <c r="R58" s="103">
        <f t="shared" si="186"/>
        <v>765684</v>
      </c>
      <c r="S58" s="102">
        <f t="shared" si="186"/>
        <v>16</v>
      </c>
      <c r="T58" s="87">
        <f t="shared" si="186"/>
        <v>4</v>
      </c>
      <c r="U58" s="87">
        <f t="shared" si="186"/>
        <v>0</v>
      </c>
      <c r="V58" s="105">
        <f t="shared" si="186"/>
        <v>20</v>
      </c>
      <c r="W58" s="102">
        <f t="shared" si="186"/>
        <v>725941</v>
      </c>
      <c r="X58" s="87">
        <f t="shared" si="186"/>
        <v>39763</v>
      </c>
      <c r="Y58" s="87">
        <f t="shared" si="186"/>
        <v>0</v>
      </c>
      <c r="Z58" s="105">
        <f t="shared" si="186"/>
        <v>765704</v>
      </c>
      <c r="AA58" s="31">
        <f t="shared" si="186"/>
        <v>7587652</v>
      </c>
      <c r="AB58" s="87">
        <f t="shared" si="186"/>
        <v>10654500</v>
      </c>
      <c r="AC58" s="87">
        <f t="shared" si="186"/>
        <v>0</v>
      </c>
      <c r="AD58" s="105">
        <f t="shared" si="186"/>
        <v>18242152</v>
      </c>
      <c r="AE58" s="31">
        <f t="shared" ref="AE58:AL59" si="188">SUM(AE56:AE57)</f>
        <v>16</v>
      </c>
      <c r="AF58" s="87">
        <f t="shared" si="188"/>
        <v>5</v>
      </c>
      <c r="AG58" s="87">
        <f t="shared" si="188"/>
        <v>0</v>
      </c>
      <c r="AH58" s="105">
        <f t="shared" si="188"/>
        <v>21</v>
      </c>
      <c r="AI58" s="31">
        <f t="shared" si="188"/>
        <v>7587668</v>
      </c>
      <c r="AJ58" s="87">
        <f t="shared" si="188"/>
        <v>10654505</v>
      </c>
      <c r="AK58" s="87">
        <f t="shared" si="188"/>
        <v>0</v>
      </c>
      <c r="AL58" s="105">
        <f t="shared" si="188"/>
        <v>18242173</v>
      </c>
    </row>
    <row r="59" spans="1:38" x14ac:dyDescent="0.25">
      <c r="A59" s="370" t="s">
        <v>1124</v>
      </c>
      <c r="B59" s="370" t="s">
        <v>1123</v>
      </c>
      <c r="C59" s="108"/>
      <c r="D59" s="109"/>
      <c r="E59" s="109"/>
      <c r="F59" s="110">
        <f t="shared" ref="F59" si="189">SUM(C59:E59)</f>
        <v>0</v>
      </c>
      <c r="G59" s="111">
        <v>163966</v>
      </c>
      <c r="H59" s="109"/>
      <c r="I59" s="109"/>
      <c r="J59" s="111">
        <f>SUM(G59:I59)</f>
        <v>163966</v>
      </c>
      <c r="K59" s="154">
        <f t="shared" ref="K59" si="190">SUM(G59+C59)</f>
        <v>163966</v>
      </c>
      <c r="L59" s="109">
        <f t="shared" ref="L59" si="191">SUM(H59+D59)</f>
        <v>0</v>
      </c>
      <c r="M59" s="109">
        <f t="shared" ref="M59" si="192">SUM(I59+E59)</f>
        <v>0</v>
      </c>
      <c r="N59" s="110">
        <f t="shared" ref="N59" si="193">SUM(K59:M59)</f>
        <v>163966</v>
      </c>
      <c r="O59" s="111"/>
      <c r="P59" s="109"/>
      <c r="Q59" s="109"/>
      <c r="R59" s="112">
        <f>SUM(O59:Q59)</f>
        <v>0</v>
      </c>
      <c r="S59" s="154"/>
      <c r="T59" s="109"/>
      <c r="U59" s="109">
        <v>0</v>
      </c>
      <c r="V59" s="110">
        <f>SUM(S59:U59)</f>
        <v>0</v>
      </c>
      <c r="W59" s="111">
        <f t="shared" ref="W59" si="194">SUM(S59+O59)</f>
        <v>0</v>
      </c>
      <c r="X59" s="109">
        <f t="shared" ref="X59" si="195">SUM(T59+P59)</f>
        <v>0</v>
      </c>
      <c r="Y59" s="109">
        <f t="shared" ref="Y59" si="196">SUM(Q59+U59)</f>
        <v>0</v>
      </c>
      <c r="Z59" s="110">
        <f>SUM(W59:Y59)</f>
        <v>0</v>
      </c>
      <c r="AA59" s="108">
        <f>SUM(O59)</f>
        <v>0</v>
      </c>
      <c r="AB59" s="109">
        <f>SUM(P59+D59)</f>
        <v>0</v>
      </c>
      <c r="AC59" s="109">
        <f>SUM(Q59+E59)</f>
        <v>0</v>
      </c>
      <c r="AD59" s="110">
        <f>SUM(AA59:AC59)</f>
        <v>0</v>
      </c>
      <c r="AE59" s="108">
        <f t="shared" ref="AE59:AE61" si="197">SUM(S59+G59)</f>
        <v>163966</v>
      </c>
      <c r="AF59" s="109">
        <f t="shared" ref="AF59" si="198">SUM(T59+H59)</f>
        <v>0</v>
      </c>
      <c r="AG59" s="109">
        <f t="shared" ref="AG59" si="199">SUM(U59+I59)</f>
        <v>0</v>
      </c>
      <c r="AH59" s="110">
        <f t="shared" ref="AH59" si="200">SUM(AE59:AG59)</f>
        <v>163966</v>
      </c>
      <c r="AI59" s="108">
        <f t="shared" ref="AI59:AI61" si="201">SUM(W59+K59)</f>
        <v>163966</v>
      </c>
      <c r="AJ59" s="109">
        <f t="shared" ref="AJ59:AJ61" si="202">SUM(X59+L59)</f>
        <v>0</v>
      </c>
      <c r="AK59" s="87">
        <f t="shared" si="188"/>
        <v>0</v>
      </c>
      <c r="AL59" s="110">
        <f t="shared" ref="AL59" si="203">SUM(AI59:AK59)</f>
        <v>163966</v>
      </c>
    </row>
    <row r="60" spans="1:38" x14ac:dyDescent="0.25">
      <c r="A60" s="370" t="s">
        <v>312</v>
      </c>
      <c r="B60" s="370" t="s">
        <v>313</v>
      </c>
      <c r="C60" s="108"/>
      <c r="D60" s="109"/>
      <c r="E60" s="109"/>
      <c r="F60" s="110">
        <f t="shared" ref="F60:F61" si="204">SUM(C60:E60)</f>
        <v>0</v>
      </c>
      <c r="G60" s="111"/>
      <c r="H60" s="109"/>
      <c r="I60" s="109"/>
      <c r="J60" s="111">
        <f>SUM(G60:I60)</f>
        <v>0</v>
      </c>
      <c r="K60" s="154">
        <f t="shared" ref="K60" si="205">SUM(G60+C60)</f>
        <v>0</v>
      </c>
      <c r="L60" s="109">
        <f t="shared" ref="L60" si="206">SUM(H60+D60)</f>
        <v>0</v>
      </c>
      <c r="M60" s="109">
        <f t="shared" ref="M60" si="207">SUM(I60+E60)</f>
        <v>0</v>
      </c>
      <c r="N60" s="110">
        <f t="shared" ref="N60" si="208">SUM(K60:M60)</f>
        <v>0</v>
      </c>
      <c r="O60" s="111">
        <v>8804754</v>
      </c>
      <c r="P60" s="109">
        <v>2148256</v>
      </c>
      <c r="Q60" s="109">
        <v>914279</v>
      </c>
      <c r="R60" s="112">
        <f>SUM(O60:Q60)</f>
        <v>11867289</v>
      </c>
      <c r="S60" s="154">
        <v>34475</v>
      </c>
      <c r="T60" s="109">
        <v>39206</v>
      </c>
      <c r="U60" s="109">
        <v>-839</v>
      </c>
      <c r="V60" s="110">
        <f>SUM(S60:U60)</f>
        <v>72842</v>
      </c>
      <c r="W60" s="111">
        <f t="shared" ref="W60" si="209">SUM(S60+O60)</f>
        <v>8839229</v>
      </c>
      <c r="X60" s="109">
        <f t="shared" ref="X60" si="210">SUM(T60+P60)</f>
        <v>2187462</v>
      </c>
      <c r="Y60" s="109">
        <f t="shared" ref="Y60" si="211">SUM(Q60+U60)</f>
        <v>913440</v>
      </c>
      <c r="Z60" s="110">
        <f>SUM(W60:Y60)</f>
        <v>11940131</v>
      </c>
      <c r="AA60" s="108">
        <f>SUM(O60)</f>
        <v>8804754</v>
      </c>
      <c r="AB60" s="109">
        <f>SUM(P60+D60)</f>
        <v>2148256</v>
      </c>
      <c r="AC60" s="109">
        <f>SUM(Q60+E60)</f>
        <v>914279</v>
      </c>
      <c r="AD60" s="110">
        <f>SUM(AA60:AC60)</f>
        <v>11867289</v>
      </c>
      <c r="AE60" s="108">
        <f t="shared" si="197"/>
        <v>34475</v>
      </c>
      <c r="AF60" s="109">
        <f t="shared" ref="AF60:AG61" si="212">SUM(T60+H60)</f>
        <v>39206</v>
      </c>
      <c r="AG60" s="109">
        <f t="shared" si="212"/>
        <v>-839</v>
      </c>
      <c r="AH60" s="110">
        <f t="shared" ref="AH60" si="213">SUM(AE60:AG60)</f>
        <v>72842</v>
      </c>
      <c r="AI60" s="108">
        <f t="shared" ref="AI60" si="214">SUM(W60)</f>
        <v>8839229</v>
      </c>
      <c r="AJ60" s="109">
        <f t="shared" ref="AJ60:AK61" si="215">SUM(X60+L60)</f>
        <v>2187462</v>
      </c>
      <c r="AK60" s="109">
        <f t="shared" si="215"/>
        <v>913440</v>
      </c>
      <c r="AL60" s="110">
        <f t="shared" ref="AL60" si="216">SUM(AI60:AK60)</f>
        <v>11940131</v>
      </c>
    </row>
    <row r="61" spans="1:38" ht="31.5" x14ac:dyDescent="0.25">
      <c r="A61" s="370" t="s">
        <v>481</v>
      </c>
      <c r="B61" s="370" t="s">
        <v>478</v>
      </c>
      <c r="C61" s="108"/>
      <c r="D61" s="109">
        <v>5305492</v>
      </c>
      <c r="E61" s="109"/>
      <c r="F61" s="110">
        <f t="shared" si="204"/>
        <v>5305492</v>
      </c>
      <c r="G61" s="111"/>
      <c r="H61" s="109">
        <v>1</v>
      </c>
      <c r="I61" s="109"/>
      <c r="J61" s="103">
        <f>SUM(G61:I61)</f>
        <v>1</v>
      </c>
      <c r="K61" s="154">
        <f t="shared" ref="K61" si="217">SUM(G61+C61)</f>
        <v>0</v>
      </c>
      <c r="L61" s="109">
        <f t="shared" ref="L61" si="218">SUM(H61+D61)</f>
        <v>5305493</v>
      </c>
      <c r="M61" s="109">
        <f t="shared" ref="M61" si="219">SUM(I61+E61)</f>
        <v>0</v>
      </c>
      <c r="N61" s="110">
        <f t="shared" ref="N61" si="220">SUM(K61:M61)</f>
        <v>5305493</v>
      </c>
      <c r="O61" s="111"/>
      <c r="P61" s="109"/>
      <c r="Q61" s="109"/>
      <c r="R61" s="112">
        <f>SUM(O61:Q61)</f>
        <v>0</v>
      </c>
      <c r="S61" s="111"/>
      <c r="T61" s="109"/>
      <c r="U61" s="109"/>
      <c r="V61" s="110">
        <f>SUM(S61:U61)</f>
        <v>0</v>
      </c>
      <c r="W61" s="111">
        <f t="shared" ref="W61" si="221">SUM(S61+O61)</f>
        <v>0</v>
      </c>
      <c r="X61" s="109">
        <f t="shared" ref="X61" si="222">SUM(T61+P61)</f>
        <v>0</v>
      </c>
      <c r="Y61" s="109">
        <f t="shared" ref="Y61" si="223">SUM(Q61+U61)</f>
        <v>0</v>
      </c>
      <c r="Z61" s="110">
        <f>SUM(W61:Y61)</f>
        <v>0</v>
      </c>
      <c r="AA61" s="108">
        <f>SUM(O61+C61)</f>
        <v>0</v>
      </c>
      <c r="AB61" s="109">
        <f>SUM(P61+D61)</f>
        <v>5305492</v>
      </c>
      <c r="AC61" s="109"/>
      <c r="AD61" s="110">
        <f>SUM(AA61:AC61)</f>
        <v>5305492</v>
      </c>
      <c r="AE61" s="108">
        <f t="shared" si="197"/>
        <v>0</v>
      </c>
      <c r="AF61" s="109">
        <f t="shared" ref="AF61" si="224">SUM(T61+H61)</f>
        <v>1</v>
      </c>
      <c r="AG61" s="109">
        <f t="shared" si="212"/>
        <v>0</v>
      </c>
      <c r="AH61" s="110">
        <f t="shared" ref="AH61" si="225">SUM(AE61:AG61)</f>
        <v>1</v>
      </c>
      <c r="AI61" s="108">
        <f t="shared" si="201"/>
        <v>0</v>
      </c>
      <c r="AJ61" s="109">
        <f t="shared" si="202"/>
        <v>5305493</v>
      </c>
      <c r="AK61" s="109">
        <f t="shared" si="215"/>
        <v>0</v>
      </c>
      <c r="AL61" s="110">
        <f t="shared" ref="AL61" si="226">SUM(AI61:AK61)</f>
        <v>5305493</v>
      </c>
    </row>
    <row r="62" spans="1:38" s="345" customFormat="1" ht="31.5" x14ac:dyDescent="0.25">
      <c r="A62" s="371" t="s">
        <v>1125</v>
      </c>
      <c r="B62" s="371" t="s">
        <v>174</v>
      </c>
      <c r="C62" s="113">
        <f t="shared" ref="C62:F62" si="227">SUM(C58:C61)</f>
        <v>6861727</v>
      </c>
      <c r="D62" s="114">
        <f t="shared" si="227"/>
        <v>15920233</v>
      </c>
      <c r="E62" s="114">
        <f t="shared" si="227"/>
        <v>0</v>
      </c>
      <c r="F62" s="115">
        <f t="shared" si="227"/>
        <v>22781960</v>
      </c>
      <c r="G62" s="116">
        <f t="shared" ref="G62:N62" si="228">SUM(G58:G61)</f>
        <v>163966</v>
      </c>
      <c r="H62" s="122">
        <f t="shared" si="228"/>
        <v>2</v>
      </c>
      <c r="I62" s="122">
        <f t="shared" si="228"/>
        <v>0</v>
      </c>
      <c r="J62" s="115">
        <f t="shared" si="228"/>
        <v>163968</v>
      </c>
      <c r="K62" s="116">
        <f t="shared" si="228"/>
        <v>7025693</v>
      </c>
      <c r="L62" s="122">
        <f t="shared" si="228"/>
        <v>15920235</v>
      </c>
      <c r="M62" s="122">
        <f t="shared" si="228"/>
        <v>0</v>
      </c>
      <c r="N62" s="115">
        <f t="shared" si="228"/>
        <v>22945928</v>
      </c>
      <c r="O62" s="116">
        <f t="shared" ref="O62:Q62" si="229">SUM(O58:O61)</f>
        <v>9530679</v>
      </c>
      <c r="P62" s="114">
        <f t="shared" si="229"/>
        <v>2188015</v>
      </c>
      <c r="Q62" s="114">
        <f t="shared" si="229"/>
        <v>914279</v>
      </c>
      <c r="R62" s="117">
        <f t="shared" ref="R62:Z62" si="230">SUM(R58:R60)</f>
        <v>12632973</v>
      </c>
      <c r="S62" s="160">
        <f t="shared" si="230"/>
        <v>34491</v>
      </c>
      <c r="T62" s="122">
        <f t="shared" si="230"/>
        <v>39210</v>
      </c>
      <c r="U62" s="122">
        <f t="shared" si="230"/>
        <v>-839</v>
      </c>
      <c r="V62" s="115">
        <f t="shared" si="230"/>
        <v>72862</v>
      </c>
      <c r="W62" s="160">
        <f t="shared" si="230"/>
        <v>9565170</v>
      </c>
      <c r="X62" s="122">
        <f t="shared" si="230"/>
        <v>2227225</v>
      </c>
      <c r="Y62" s="122">
        <f t="shared" si="230"/>
        <v>913440</v>
      </c>
      <c r="Z62" s="115">
        <f t="shared" si="230"/>
        <v>12705835</v>
      </c>
      <c r="AA62" s="113">
        <f t="shared" ref="AA62:AL62" si="231">SUM(AA58:AA61)</f>
        <v>16392406</v>
      </c>
      <c r="AB62" s="114">
        <f t="shared" si="231"/>
        <v>18108248</v>
      </c>
      <c r="AC62" s="114">
        <f t="shared" si="231"/>
        <v>914279</v>
      </c>
      <c r="AD62" s="115">
        <f t="shared" si="231"/>
        <v>35414933</v>
      </c>
      <c r="AE62" s="159">
        <f t="shared" si="231"/>
        <v>198457</v>
      </c>
      <c r="AF62" s="122">
        <f t="shared" si="231"/>
        <v>39212</v>
      </c>
      <c r="AG62" s="122">
        <f t="shared" si="231"/>
        <v>-839</v>
      </c>
      <c r="AH62" s="158">
        <f t="shared" si="231"/>
        <v>236830</v>
      </c>
      <c r="AI62" s="159">
        <f t="shared" si="231"/>
        <v>16590863</v>
      </c>
      <c r="AJ62" s="122">
        <f t="shared" si="231"/>
        <v>18147460</v>
      </c>
      <c r="AK62" s="122">
        <f t="shared" si="231"/>
        <v>913440</v>
      </c>
      <c r="AL62" s="127">
        <f t="shared" si="231"/>
        <v>35651763</v>
      </c>
    </row>
    <row r="63" spans="1:38" s="345" customFormat="1" x14ac:dyDescent="0.25">
      <c r="A63" s="371" t="s">
        <v>314</v>
      </c>
      <c r="B63" s="371" t="s">
        <v>210</v>
      </c>
      <c r="C63" s="113">
        <f>'2 kiadás (kötelező, önként)'!C26</f>
        <v>8935206</v>
      </c>
      <c r="D63" s="114">
        <f>'2 kiadás (kötelező, önként)'!D26</f>
        <v>4858294</v>
      </c>
      <c r="E63" s="114">
        <f>'2 kiadás (kötelező, önként)'!E26</f>
        <v>914279</v>
      </c>
      <c r="F63" s="115">
        <f>SUM(C63:E63)</f>
        <v>14707779</v>
      </c>
      <c r="G63" s="116">
        <f>'2 kiadás (kötelező, önként)'!G26</f>
        <v>198441</v>
      </c>
      <c r="H63" s="122">
        <f>'2 kiadás (kötelező, önként)'!H26</f>
        <v>39206</v>
      </c>
      <c r="I63" s="122">
        <f>'2 kiadás (kötelező, önként)'!I26</f>
        <v>-839</v>
      </c>
      <c r="J63" s="116">
        <f>SUM(G63:I63)</f>
        <v>236808</v>
      </c>
      <c r="K63" s="113">
        <f t="shared" ref="K63" si="232">SUM(G63+C63)</f>
        <v>9133647</v>
      </c>
      <c r="L63" s="114">
        <f t="shared" ref="L63" si="233">SUM(H63+D63)</f>
        <v>4897500</v>
      </c>
      <c r="M63" s="114">
        <f t="shared" ref="M63" si="234">SUM(I63+E63)</f>
        <v>913440</v>
      </c>
      <c r="N63" s="117">
        <f t="shared" ref="N63" si="235">SUM(K63:M63)</f>
        <v>14944587</v>
      </c>
      <c r="O63" s="116"/>
      <c r="P63" s="114"/>
      <c r="Q63" s="114"/>
      <c r="R63" s="117">
        <f>SUM(O63:Q63)</f>
        <v>0</v>
      </c>
      <c r="S63" s="159"/>
      <c r="T63" s="114"/>
      <c r="U63" s="114"/>
      <c r="V63" s="117">
        <f>SUM(S63:U63)</f>
        <v>0</v>
      </c>
      <c r="W63" s="158">
        <f>SUM(S63+O63)</f>
        <v>0</v>
      </c>
      <c r="X63" s="114">
        <f>SUM(T63+P63)</f>
        <v>0</v>
      </c>
      <c r="Y63" s="114">
        <f>SUM(Q63+U63)</f>
        <v>0</v>
      </c>
      <c r="Z63" s="115">
        <f>SUM(W63:Y63)</f>
        <v>0</v>
      </c>
      <c r="AA63" s="113">
        <f>SUM(O63+C63)</f>
        <v>8935206</v>
      </c>
      <c r="AB63" s="114">
        <f>SUM(P63+D63)</f>
        <v>4858294</v>
      </c>
      <c r="AC63" s="114">
        <f>SUM(Q63+E63)</f>
        <v>914279</v>
      </c>
      <c r="AD63" s="115">
        <f>SUM(AA63:AC63)</f>
        <v>14707779</v>
      </c>
      <c r="AE63" s="113">
        <f t="shared" ref="AE63:AG63" si="236">SUM(S63+G63)</f>
        <v>198441</v>
      </c>
      <c r="AF63" s="114">
        <f t="shared" si="236"/>
        <v>39206</v>
      </c>
      <c r="AG63" s="114">
        <f t="shared" si="236"/>
        <v>-839</v>
      </c>
      <c r="AH63" s="115">
        <f t="shared" ref="AH63" si="237">SUM(AE63:AG63)</f>
        <v>236808</v>
      </c>
      <c r="AI63" s="113">
        <f t="shared" ref="AI63:AK63" si="238">SUM(W63+K63)</f>
        <v>9133647</v>
      </c>
      <c r="AJ63" s="114">
        <f t="shared" si="238"/>
        <v>4897500</v>
      </c>
      <c r="AK63" s="114">
        <f t="shared" si="238"/>
        <v>913440</v>
      </c>
      <c r="AL63" s="115">
        <f t="shared" ref="AL63" si="239">SUM(AI63:AK63)</f>
        <v>14944587</v>
      </c>
    </row>
    <row r="64" spans="1:38" s="380" customFormat="1" ht="16.5" thickBot="1" x14ac:dyDescent="0.3">
      <c r="A64" s="372" t="s">
        <v>489</v>
      </c>
      <c r="B64" s="372"/>
      <c r="C64" s="373"/>
      <c r="D64" s="374"/>
      <c r="E64" s="374"/>
      <c r="F64" s="375">
        <f>SUM(F51+F55)</f>
        <v>0</v>
      </c>
      <c r="G64" s="376"/>
      <c r="H64" s="374"/>
      <c r="I64" s="374"/>
      <c r="J64" s="376">
        <f>SUM(J51+J55)</f>
        <v>0</v>
      </c>
      <c r="K64" s="373"/>
      <c r="L64" s="374"/>
      <c r="M64" s="374"/>
      <c r="N64" s="377">
        <f>SUM(N51+N55)</f>
        <v>0</v>
      </c>
      <c r="O64" s="376"/>
      <c r="P64" s="374"/>
      <c r="Q64" s="374"/>
      <c r="R64" s="377">
        <f>SUM(R51+R55)</f>
        <v>0</v>
      </c>
      <c r="S64" s="378"/>
      <c r="T64" s="374"/>
      <c r="U64" s="374"/>
      <c r="V64" s="377">
        <f>SUM(V51+V55)</f>
        <v>0</v>
      </c>
      <c r="W64" s="379"/>
      <c r="X64" s="374"/>
      <c r="Y64" s="374"/>
      <c r="Z64" s="375">
        <f>SUM(Z51+Z55)</f>
        <v>0</v>
      </c>
      <c r="AA64" s="373"/>
      <c r="AB64" s="374"/>
      <c r="AC64" s="374"/>
      <c r="AD64" s="375">
        <f>SUM(AD51+AD55)</f>
        <v>0</v>
      </c>
      <c r="AE64" s="373"/>
      <c r="AF64" s="374"/>
      <c r="AG64" s="374"/>
      <c r="AH64" s="375">
        <f>SUM(AH51+AH55)</f>
        <v>0</v>
      </c>
      <c r="AI64" s="373"/>
      <c r="AJ64" s="374"/>
      <c r="AK64" s="374"/>
      <c r="AL64" s="375">
        <f>SUM(AL51+AL55)</f>
        <v>0</v>
      </c>
    </row>
    <row r="65" spans="1:38" s="380" customFormat="1" ht="29.25" customHeight="1" thickTop="1" x14ac:dyDescent="0.25">
      <c r="A65" s="381"/>
      <c r="B65" s="381"/>
      <c r="C65" s="381"/>
      <c r="D65" s="381"/>
      <c r="E65" s="381"/>
      <c r="F65" s="381"/>
      <c r="G65" s="381"/>
      <c r="H65" s="381"/>
      <c r="I65" s="381"/>
      <c r="J65" s="381"/>
      <c r="K65" s="381"/>
      <c r="L65" s="381"/>
      <c r="M65" s="381"/>
      <c r="N65" s="381"/>
      <c r="O65" s="381"/>
      <c r="P65" s="381"/>
      <c r="Q65" s="381"/>
      <c r="R65" s="381"/>
      <c r="S65" s="381"/>
      <c r="T65" s="381"/>
      <c r="U65" s="381"/>
      <c r="V65" s="381"/>
      <c r="W65" s="381"/>
      <c r="X65" s="381"/>
      <c r="Y65" s="381"/>
      <c r="Z65" s="381"/>
      <c r="AA65" s="381"/>
      <c r="AE65" s="381"/>
      <c r="AI65" s="381"/>
    </row>
    <row r="66" spans="1:38" s="380" customFormat="1" x14ac:dyDescent="0.25">
      <c r="A66" s="381"/>
      <c r="B66" s="381"/>
      <c r="C66" s="381"/>
      <c r="D66" s="381"/>
      <c r="E66" s="381"/>
      <c r="F66" s="381"/>
      <c r="G66" s="381"/>
      <c r="H66" s="381"/>
      <c r="I66" s="381"/>
      <c r="J66" s="381"/>
      <c r="K66" s="381"/>
      <c r="L66" s="381"/>
      <c r="M66" s="381"/>
      <c r="N66" s="381"/>
      <c r="O66" s="381"/>
      <c r="P66" s="381"/>
      <c r="Q66" s="381"/>
      <c r="R66" s="381"/>
      <c r="S66" s="381"/>
      <c r="T66" s="381"/>
      <c r="U66" s="381"/>
      <c r="V66" s="381"/>
      <c r="W66" s="381"/>
      <c r="X66" s="381"/>
      <c r="Y66" s="381"/>
      <c r="Z66" s="381"/>
      <c r="AA66" s="381"/>
      <c r="AB66" s="381"/>
      <c r="AC66" s="381"/>
      <c r="AD66" s="381"/>
      <c r="AE66" s="381"/>
      <c r="AF66" s="381"/>
      <c r="AG66" s="381"/>
      <c r="AH66" s="381"/>
      <c r="AI66" s="381"/>
      <c r="AJ66" s="381"/>
      <c r="AK66" s="381"/>
      <c r="AL66" s="381"/>
    </row>
    <row r="67" spans="1:38" s="380" customFormat="1" x14ac:dyDescent="0.25">
      <c r="A67" s="381"/>
    </row>
    <row r="68" spans="1:38" s="380" customFormat="1" x14ac:dyDescent="0.25">
      <c r="A68" s="381"/>
    </row>
    <row r="69" spans="1:38" s="380" customFormat="1" x14ac:dyDescent="0.25">
      <c r="A69" s="381"/>
    </row>
    <row r="70" spans="1:38" s="380" customFormat="1" x14ac:dyDescent="0.25"/>
    <row r="71" spans="1:38" s="380" customFormat="1" x14ac:dyDescent="0.25"/>
    <row r="72" spans="1:38" s="380" customFormat="1" x14ac:dyDescent="0.25">
      <c r="A72" s="382"/>
      <c r="B72" s="382"/>
    </row>
    <row r="73" spans="1:38" s="383" customFormat="1" x14ac:dyDescent="0.25">
      <c r="A73" s="29"/>
      <c r="B73" s="29"/>
      <c r="C73" s="380"/>
      <c r="D73" s="380"/>
      <c r="E73" s="380"/>
      <c r="F73" s="380"/>
      <c r="G73" s="380"/>
      <c r="H73" s="380"/>
      <c r="I73" s="380"/>
      <c r="J73" s="380"/>
      <c r="K73" s="380"/>
      <c r="L73" s="380"/>
      <c r="M73" s="380"/>
      <c r="N73" s="380"/>
      <c r="O73" s="380"/>
      <c r="P73" s="380"/>
      <c r="Q73" s="380"/>
      <c r="R73" s="380"/>
      <c r="S73" s="380"/>
      <c r="T73" s="380"/>
      <c r="U73" s="380"/>
      <c r="V73" s="380"/>
      <c r="W73" s="380"/>
      <c r="X73" s="380"/>
      <c r="Y73" s="380"/>
      <c r="Z73" s="380"/>
      <c r="AA73" s="380"/>
      <c r="AB73" s="380"/>
      <c r="AC73" s="380"/>
      <c r="AD73" s="380"/>
      <c r="AE73" s="380"/>
      <c r="AF73" s="380"/>
      <c r="AG73" s="380"/>
      <c r="AH73" s="380"/>
      <c r="AI73" s="380"/>
      <c r="AJ73" s="380"/>
      <c r="AK73" s="380"/>
      <c r="AL73" s="380"/>
    </row>
    <row r="74" spans="1:38" s="383" customFormat="1" x14ac:dyDescent="0.25">
      <c r="A74" s="384"/>
      <c r="B74" s="384"/>
      <c r="C74" s="380"/>
      <c r="D74" s="380"/>
      <c r="E74" s="380"/>
      <c r="F74" s="380"/>
      <c r="G74" s="380"/>
      <c r="H74" s="380"/>
      <c r="I74" s="380"/>
      <c r="J74" s="380"/>
      <c r="K74" s="380"/>
      <c r="L74" s="380"/>
      <c r="M74" s="380"/>
      <c r="N74" s="380"/>
      <c r="O74" s="380"/>
      <c r="P74" s="380"/>
      <c r="Q74" s="380"/>
      <c r="R74" s="380"/>
      <c r="S74" s="380"/>
      <c r="T74" s="380"/>
      <c r="U74" s="380"/>
      <c r="V74" s="380"/>
      <c r="W74" s="380"/>
      <c r="X74" s="380"/>
      <c r="Y74" s="380"/>
      <c r="Z74" s="380"/>
      <c r="AA74" s="380"/>
      <c r="AB74" s="380"/>
      <c r="AC74" s="380"/>
      <c r="AD74" s="380"/>
      <c r="AE74" s="380"/>
      <c r="AF74" s="380"/>
      <c r="AG74" s="380"/>
      <c r="AH74" s="380"/>
      <c r="AI74" s="380"/>
      <c r="AJ74" s="380"/>
      <c r="AK74" s="380"/>
      <c r="AL74" s="380"/>
    </row>
    <row r="75" spans="1:38" s="383" customFormat="1" x14ac:dyDescent="0.25">
      <c r="A75" s="385"/>
      <c r="B75" s="385"/>
    </row>
    <row r="76" spans="1:38" s="383" customFormat="1" x14ac:dyDescent="0.25">
      <c r="A76" s="386"/>
      <c r="B76" s="386"/>
    </row>
    <row r="77" spans="1:38" s="383" customFormat="1" x14ac:dyDescent="0.25">
      <c r="A77" s="387"/>
      <c r="B77" s="387"/>
    </row>
    <row r="78" spans="1:38" s="383" customFormat="1" x14ac:dyDescent="0.25">
      <c r="A78" s="385"/>
      <c r="B78" s="385"/>
    </row>
    <row r="79" spans="1:38" s="383" customFormat="1" x14ac:dyDescent="0.25">
      <c r="A79" s="386"/>
      <c r="B79" s="386"/>
    </row>
    <row r="80" spans="1:38" s="383" customFormat="1" x14ac:dyDescent="0.25">
      <c r="A80" s="386"/>
      <c r="B80" s="386"/>
    </row>
    <row r="81" spans="1:38" s="383" customFormat="1" x14ac:dyDescent="0.25">
      <c r="A81" s="385"/>
      <c r="B81" s="385"/>
    </row>
    <row r="82" spans="1:38" s="383" customFormat="1" x14ac:dyDescent="0.25">
      <c r="A82" s="386"/>
      <c r="B82" s="386"/>
    </row>
    <row r="83" spans="1:38" s="383" customFormat="1" x14ac:dyDescent="0.25">
      <c r="A83" s="386"/>
      <c r="B83" s="386"/>
    </row>
    <row r="84" spans="1:38" s="383" customFormat="1" x14ac:dyDescent="0.25">
      <c r="A84" s="386"/>
      <c r="B84" s="386"/>
    </row>
    <row r="85" spans="1:38" s="383" customFormat="1" x14ac:dyDescent="0.25">
      <c r="A85" s="386"/>
      <c r="B85" s="386"/>
    </row>
    <row r="86" spans="1:38" s="383" customFormat="1" x14ac:dyDescent="0.25">
      <c r="A86" s="385"/>
      <c r="B86" s="385"/>
    </row>
    <row r="87" spans="1:38" s="383" customFormat="1" x14ac:dyDescent="0.25">
      <c r="A87" s="386"/>
      <c r="B87" s="386"/>
    </row>
    <row r="88" spans="1:38" s="383" customFormat="1" x14ac:dyDescent="0.25">
      <c r="A88" s="386"/>
      <c r="B88" s="386"/>
    </row>
    <row r="89" spans="1:38" s="383" customFormat="1" x14ac:dyDescent="0.25">
      <c r="A89" s="386"/>
      <c r="B89" s="386"/>
    </row>
    <row r="90" spans="1:38" s="383" customFormat="1" x14ac:dyDescent="0.25">
      <c r="A90" s="386"/>
      <c r="B90" s="386"/>
    </row>
    <row r="91" spans="1:38" s="383" customFormat="1" x14ac:dyDescent="0.25">
      <c r="A91" s="386"/>
      <c r="B91" s="386"/>
    </row>
    <row r="92" spans="1:38" x14ac:dyDescent="0.25">
      <c r="A92" s="386"/>
      <c r="B92" s="386"/>
      <c r="C92" s="383"/>
      <c r="D92" s="383"/>
      <c r="E92" s="383"/>
      <c r="F92" s="383"/>
      <c r="G92" s="383"/>
      <c r="H92" s="383"/>
      <c r="I92" s="383"/>
      <c r="J92" s="383"/>
      <c r="K92" s="383"/>
      <c r="L92" s="383"/>
      <c r="M92" s="383"/>
      <c r="N92" s="383"/>
      <c r="O92" s="383"/>
      <c r="P92" s="383"/>
      <c r="Q92" s="383"/>
      <c r="R92" s="383"/>
      <c r="S92" s="383"/>
      <c r="T92" s="383"/>
      <c r="U92" s="383"/>
      <c r="V92" s="383"/>
      <c r="W92" s="383"/>
      <c r="X92" s="383"/>
      <c r="Y92" s="383"/>
      <c r="Z92" s="383"/>
      <c r="AA92" s="383"/>
      <c r="AB92" s="383"/>
      <c r="AC92" s="383"/>
      <c r="AD92" s="383"/>
      <c r="AE92" s="383"/>
      <c r="AF92" s="383"/>
      <c r="AG92" s="383"/>
      <c r="AH92" s="383"/>
      <c r="AI92" s="383"/>
      <c r="AJ92" s="383"/>
      <c r="AK92" s="383"/>
      <c r="AL92" s="383"/>
    </row>
    <row r="93" spans="1:38" x14ac:dyDescent="0.25">
      <c r="A93" s="386"/>
      <c r="B93" s="386"/>
      <c r="C93" s="383"/>
      <c r="D93" s="383"/>
      <c r="E93" s="383"/>
      <c r="F93" s="383"/>
      <c r="G93" s="383"/>
      <c r="H93" s="383"/>
      <c r="I93" s="383"/>
      <c r="J93" s="383"/>
      <c r="K93" s="383"/>
      <c r="L93" s="383"/>
      <c r="M93" s="383"/>
      <c r="N93" s="383"/>
      <c r="O93" s="383"/>
      <c r="P93" s="383"/>
      <c r="Q93" s="383"/>
      <c r="R93" s="383"/>
      <c r="S93" s="383"/>
      <c r="T93" s="383"/>
      <c r="U93" s="383"/>
      <c r="V93" s="383"/>
      <c r="W93" s="383"/>
      <c r="X93" s="383"/>
      <c r="Y93" s="383"/>
      <c r="Z93" s="383"/>
      <c r="AA93" s="383"/>
      <c r="AB93" s="383"/>
      <c r="AC93" s="383"/>
      <c r="AD93" s="383"/>
      <c r="AE93" s="383"/>
      <c r="AF93" s="383"/>
      <c r="AG93" s="383"/>
      <c r="AH93" s="383"/>
      <c r="AI93" s="383"/>
      <c r="AJ93" s="383"/>
      <c r="AK93" s="383"/>
      <c r="AL93" s="383"/>
    </row>
    <row r="94" spans="1:38" x14ac:dyDescent="0.25">
      <c r="A94" s="388"/>
      <c r="B94" s="388"/>
    </row>
    <row r="95" spans="1:38" x14ac:dyDescent="0.25">
      <c r="A95" s="388"/>
      <c r="B95" s="388"/>
    </row>
    <row r="96" spans="1:38" x14ac:dyDescent="0.25">
      <c r="A96" s="388"/>
      <c r="B96" s="388"/>
    </row>
    <row r="97" spans="1:2" x14ac:dyDescent="0.25">
      <c r="A97" s="388"/>
      <c r="B97" s="388"/>
    </row>
    <row r="98" spans="1:2" x14ac:dyDescent="0.25">
      <c r="A98" s="388"/>
      <c r="B98" s="388"/>
    </row>
    <row r="99" spans="1:2" x14ac:dyDescent="0.25">
      <c r="A99" s="388"/>
      <c r="B99" s="388"/>
    </row>
    <row r="100" spans="1:2" x14ac:dyDescent="0.25">
      <c r="A100" s="388"/>
      <c r="B100" s="388"/>
    </row>
    <row r="101" spans="1:2" x14ac:dyDescent="0.25">
      <c r="A101" s="388"/>
      <c r="B101" s="388"/>
    </row>
    <row r="102" spans="1:2" x14ac:dyDescent="0.25">
      <c r="A102" s="388"/>
      <c r="B102" s="388"/>
    </row>
    <row r="103" spans="1:2" x14ac:dyDescent="0.25">
      <c r="A103" s="388"/>
      <c r="B103" s="388"/>
    </row>
    <row r="104" spans="1:2" x14ac:dyDescent="0.25">
      <c r="A104" s="388"/>
      <c r="B104" s="388"/>
    </row>
    <row r="105" spans="1:2" x14ac:dyDescent="0.25">
      <c r="A105" s="388"/>
      <c r="B105" s="388"/>
    </row>
    <row r="106" spans="1:2" x14ac:dyDescent="0.25">
      <c r="A106" s="388"/>
      <c r="B106" s="388"/>
    </row>
    <row r="107" spans="1:2" x14ac:dyDescent="0.25">
      <c r="A107" s="388"/>
      <c r="B107" s="388"/>
    </row>
    <row r="108" spans="1:2" x14ac:dyDescent="0.25">
      <c r="A108" s="388"/>
      <c r="B108" s="388"/>
    </row>
    <row r="109" spans="1:2" x14ac:dyDescent="0.25">
      <c r="A109" s="388"/>
      <c r="B109" s="388"/>
    </row>
    <row r="110" spans="1:2" x14ac:dyDescent="0.25">
      <c r="A110" s="388"/>
      <c r="B110" s="388"/>
    </row>
    <row r="111" spans="1:2" x14ac:dyDescent="0.25">
      <c r="A111" s="388"/>
      <c r="B111" s="388"/>
    </row>
    <row r="112" spans="1:2" x14ac:dyDescent="0.25">
      <c r="A112" s="388"/>
      <c r="B112" s="388"/>
    </row>
    <row r="113" spans="1:2" x14ac:dyDescent="0.25">
      <c r="A113" s="388"/>
      <c r="B113" s="388"/>
    </row>
    <row r="114" spans="1:2" x14ac:dyDescent="0.25">
      <c r="A114" s="388"/>
      <c r="B114" s="388"/>
    </row>
    <row r="115" spans="1:2" x14ac:dyDescent="0.25">
      <c r="A115" s="388"/>
      <c r="B115" s="388"/>
    </row>
    <row r="116" spans="1:2" x14ac:dyDescent="0.25">
      <c r="A116" s="388"/>
      <c r="B116" s="388"/>
    </row>
    <row r="117" spans="1:2" x14ac:dyDescent="0.25">
      <c r="A117" s="388"/>
      <c r="B117" s="388"/>
    </row>
    <row r="118" spans="1:2" x14ac:dyDescent="0.25">
      <c r="A118" s="388"/>
      <c r="B118" s="388"/>
    </row>
    <row r="119" spans="1:2" x14ac:dyDescent="0.25">
      <c r="A119" s="388"/>
      <c r="B119" s="388"/>
    </row>
    <row r="120" spans="1:2" x14ac:dyDescent="0.25">
      <c r="A120" s="388"/>
      <c r="B120" s="388"/>
    </row>
    <row r="121" spans="1:2" x14ac:dyDescent="0.25">
      <c r="A121" s="388"/>
      <c r="B121" s="388"/>
    </row>
    <row r="122" spans="1:2" x14ac:dyDescent="0.25">
      <c r="A122" s="388"/>
      <c r="B122" s="388"/>
    </row>
    <row r="123" spans="1:2" x14ac:dyDescent="0.25">
      <c r="A123" s="388"/>
      <c r="B123" s="388"/>
    </row>
    <row r="124" spans="1:2" x14ac:dyDescent="0.25">
      <c r="A124" s="388"/>
      <c r="B124" s="388"/>
    </row>
    <row r="125" spans="1:2" x14ac:dyDescent="0.25">
      <c r="A125" s="388"/>
      <c r="B125" s="388"/>
    </row>
    <row r="126" spans="1:2" x14ac:dyDescent="0.25">
      <c r="A126" s="388"/>
      <c r="B126" s="388"/>
    </row>
    <row r="127" spans="1:2" x14ac:dyDescent="0.25">
      <c r="A127" s="388"/>
      <c r="B127" s="388"/>
    </row>
    <row r="128" spans="1:2" x14ac:dyDescent="0.25">
      <c r="A128" s="388"/>
      <c r="B128" s="388"/>
    </row>
    <row r="129" spans="1:2" x14ac:dyDescent="0.25">
      <c r="A129" s="388"/>
      <c r="B129" s="388"/>
    </row>
    <row r="130" spans="1:2" x14ac:dyDescent="0.25">
      <c r="A130" s="388"/>
      <c r="B130" s="388"/>
    </row>
    <row r="131" spans="1:2" x14ac:dyDescent="0.25">
      <c r="A131" s="388"/>
      <c r="B131" s="388"/>
    </row>
    <row r="132" spans="1:2" x14ac:dyDescent="0.25">
      <c r="A132" s="388"/>
      <c r="B132" s="388"/>
    </row>
    <row r="133" spans="1:2" x14ac:dyDescent="0.25">
      <c r="A133" s="388"/>
      <c r="B133" s="388"/>
    </row>
    <row r="134" spans="1:2" x14ac:dyDescent="0.25">
      <c r="A134" s="388"/>
      <c r="B134" s="388"/>
    </row>
    <row r="135" spans="1:2" x14ac:dyDescent="0.25">
      <c r="A135" s="388"/>
      <c r="B135" s="388"/>
    </row>
    <row r="136" spans="1:2" x14ac:dyDescent="0.25">
      <c r="A136" s="388"/>
      <c r="B136" s="388"/>
    </row>
    <row r="137" spans="1:2" x14ac:dyDescent="0.25">
      <c r="A137" s="388"/>
      <c r="B137" s="388"/>
    </row>
    <row r="138" spans="1:2" x14ac:dyDescent="0.25">
      <c r="A138" s="388"/>
      <c r="B138" s="388"/>
    </row>
    <row r="139" spans="1:2" x14ac:dyDescent="0.25">
      <c r="A139" s="388"/>
      <c r="B139" s="388"/>
    </row>
    <row r="140" spans="1:2" x14ac:dyDescent="0.25">
      <c r="A140" s="388"/>
      <c r="B140" s="388"/>
    </row>
    <row r="141" spans="1:2" x14ac:dyDescent="0.25">
      <c r="A141" s="388"/>
      <c r="B141" s="388"/>
    </row>
    <row r="142" spans="1:2" x14ac:dyDescent="0.25">
      <c r="A142" s="388"/>
      <c r="B142" s="388"/>
    </row>
    <row r="143" spans="1:2" x14ac:dyDescent="0.25">
      <c r="A143" s="388"/>
      <c r="B143" s="388"/>
    </row>
    <row r="144" spans="1:2" x14ac:dyDescent="0.25">
      <c r="A144" s="388"/>
      <c r="B144" s="388"/>
    </row>
    <row r="145" spans="1:2" x14ac:dyDescent="0.25">
      <c r="A145" s="388"/>
      <c r="B145" s="388"/>
    </row>
    <row r="146" spans="1:2" x14ac:dyDescent="0.25">
      <c r="A146" s="388"/>
      <c r="B146" s="388"/>
    </row>
    <row r="147" spans="1:2" x14ac:dyDescent="0.25">
      <c r="A147" s="388"/>
      <c r="B147" s="388"/>
    </row>
    <row r="148" spans="1:2" x14ac:dyDescent="0.25">
      <c r="A148" s="388"/>
      <c r="B148" s="388"/>
    </row>
    <row r="149" spans="1:2" x14ac:dyDescent="0.25">
      <c r="A149" s="388"/>
      <c r="B149" s="388"/>
    </row>
    <row r="150" spans="1:2" x14ac:dyDescent="0.25">
      <c r="A150" s="388"/>
      <c r="B150" s="388"/>
    </row>
    <row r="151" spans="1:2" x14ac:dyDescent="0.25">
      <c r="A151" s="388"/>
      <c r="B151" s="388"/>
    </row>
    <row r="152" spans="1:2" x14ac:dyDescent="0.25">
      <c r="A152" s="388"/>
      <c r="B152" s="388"/>
    </row>
    <row r="153" spans="1:2" x14ac:dyDescent="0.25">
      <c r="A153" s="388"/>
      <c r="B153" s="388"/>
    </row>
    <row r="154" spans="1:2" x14ac:dyDescent="0.25">
      <c r="A154" s="388"/>
      <c r="B154" s="388"/>
    </row>
    <row r="155" spans="1:2" x14ac:dyDescent="0.25">
      <c r="A155" s="388"/>
      <c r="B155" s="388"/>
    </row>
    <row r="156" spans="1:2" x14ac:dyDescent="0.25">
      <c r="A156" s="388"/>
      <c r="B156" s="388"/>
    </row>
    <row r="157" spans="1:2" x14ac:dyDescent="0.25">
      <c r="A157" s="388"/>
      <c r="B157" s="388"/>
    </row>
    <row r="158" spans="1:2" x14ac:dyDescent="0.25">
      <c r="A158" s="388"/>
      <c r="B158" s="388"/>
    </row>
    <row r="159" spans="1:2" x14ac:dyDescent="0.25">
      <c r="A159" s="388"/>
      <c r="B159" s="388"/>
    </row>
    <row r="160" spans="1:2" x14ac:dyDescent="0.25">
      <c r="A160" s="388"/>
      <c r="B160" s="388"/>
    </row>
    <row r="161" spans="1:2" x14ac:dyDescent="0.25">
      <c r="A161" s="388"/>
      <c r="B161" s="388"/>
    </row>
    <row r="162" spans="1:2" x14ac:dyDescent="0.25">
      <c r="A162" s="388"/>
      <c r="B162" s="388"/>
    </row>
    <row r="163" spans="1:2" x14ac:dyDescent="0.25">
      <c r="A163" s="388"/>
      <c r="B163" s="388"/>
    </row>
    <row r="164" spans="1:2" x14ac:dyDescent="0.25">
      <c r="A164" s="388"/>
      <c r="B164" s="388"/>
    </row>
    <row r="165" spans="1:2" x14ac:dyDescent="0.25">
      <c r="A165" s="388"/>
      <c r="B165" s="388"/>
    </row>
    <row r="166" spans="1:2" x14ac:dyDescent="0.25">
      <c r="A166" s="388"/>
      <c r="B166" s="388"/>
    </row>
    <row r="167" spans="1:2" x14ac:dyDescent="0.25">
      <c r="A167" s="388"/>
      <c r="B167" s="388"/>
    </row>
    <row r="168" spans="1:2" x14ac:dyDescent="0.25">
      <c r="A168" s="388"/>
      <c r="B168" s="388"/>
    </row>
    <row r="169" spans="1:2" x14ac:dyDescent="0.25">
      <c r="A169" s="388"/>
      <c r="B169" s="388"/>
    </row>
    <row r="170" spans="1:2" x14ac:dyDescent="0.25">
      <c r="A170" s="388"/>
      <c r="B170" s="388"/>
    </row>
    <row r="171" spans="1:2" x14ac:dyDescent="0.25">
      <c r="A171" s="388"/>
      <c r="B171" s="388"/>
    </row>
    <row r="172" spans="1:2" x14ac:dyDescent="0.25">
      <c r="A172" s="388"/>
      <c r="B172" s="388"/>
    </row>
    <row r="173" spans="1:2" x14ac:dyDescent="0.25">
      <c r="A173" s="388"/>
      <c r="B173" s="388"/>
    </row>
    <row r="174" spans="1:2" x14ac:dyDescent="0.25">
      <c r="A174" s="388"/>
      <c r="B174" s="388"/>
    </row>
    <row r="175" spans="1:2" x14ac:dyDescent="0.25">
      <c r="A175" s="388"/>
      <c r="B175" s="388"/>
    </row>
    <row r="176" spans="1:2" x14ac:dyDescent="0.25">
      <c r="A176" s="388"/>
      <c r="B176" s="388"/>
    </row>
    <row r="177" spans="1:2" x14ac:dyDescent="0.25">
      <c r="A177" s="388"/>
      <c r="B177" s="388"/>
    </row>
    <row r="178" spans="1:2" x14ac:dyDescent="0.25">
      <c r="A178" s="388"/>
      <c r="B178" s="388"/>
    </row>
    <row r="179" spans="1:2" x14ac:dyDescent="0.25">
      <c r="A179" s="388"/>
      <c r="B179" s="388"/>
    </row>
    <row r="180" spans="1:2" x14ac:dyDescent="0.25">
      <c r="A180" s="388"/>
      <c r="B180" s="388"/>
    </row>
    <row r="181" spans="1:2" x14ac:dyDescent="0.25">
      <c r="A181" s="388"/>
      <c r="B181" s="388"/>
    </row>
    <row r="182" spans="1:2" x14ac:dyDescent="0.25">
      <c r="A182" s="388"/>
      <c r="B182" s="388"/>
    </row>
    <row r="183" spans="1:2" x14ac:dyDescent="0.25">
      <c r="A183" s="388"/>
      <c r="B183" s="388"/>
    </row>
    <row r="184" spans="1:2" x14ac:dyDescent="0.25">
      <c r="A184" s="388"/>
      <c r="B184" s="388"/>
    </row>
    <row r="185" spans="1:2" x14ac:dyDescent="0.25">
      <c r="A185" s="388"/>
      <c r="B185" s="388"/>
    </row>
    <row r="186" spans="1:2" x14ac:dyDescent="0.25">
      <c r="A186" s="388"/>
      <c r="B186" s="388"/>
    </row>
    <row r="187" spans="1:2" x14ac:dyDescent="0.25">
      <c r="A187" s="388"/>
      <c r="B187" s="388"/>
    </row>
    <row r="188" spans="1:2" x14ac:dyDescent="0.25">
      <c r="A188" s="388"/>
      <c r="B188" s="388"/>
    </row>
    <row r="189" spans="1:2" x14ac:dyDescent="0.25">
      <c r="A189" s="388"/>
      <c r="B189" s="388"/>
    </row>
    <row r="190" spans="1:2" x14ac:dyDescent="0.25">
      <c r="A190" s="388"/>
      <c r="B190" s="388"/>
    </row>
    <row r="191" spans="1:2" x14ac:dyDescent="0.25">
      <c r="A191" s="388"/>
      <c r="B191" s="388"/>
    </row>
    <row r="192" spans="1:2" x14ac:dyDescent="0.25">
      <c r="A192" s="388"/>
      <c r="B192" s="388"/>
    </row>
    <row r="193" spans="1:2" x14ac:dyDescent="0.25">
      <c r="A193" s="388"/>
      <c r="B193" s="388"/>
    </row>
    <row r="194" spans="1:2" x14ac:dyDescent="0.25">
      <c r="A194" s="388"/>
      <c r="B194" s="388"/>
    </row>
    <row r="195" spans="1:2" x14ac:dyDescent="0.25">
      <c r="A195" s="388"/>
      <c r="B195" s="388"/>
    </row>
    <row r="196" spans="1:2" x14ac:dyDescent="0.25">
      <c r="A196" s="388"/>
      <c r="B196" s="388"/>
    </row>
    <row r="197" spans="1:2" x14ac:dyDescent="0.25">
      <c r="A197" s="388"/>
      <c r="B197" s="388"/>
    </row>
    <row r="198" spans="1:2" x14ac:dyDescent="0.25">
      <c r="A198" s="388"/>
      <c r="B198" s="388"/>
    </row>
    <row r="199" spans="1:2" x14ac:dyDescent="0.25">
      <c r="A199" s="388"/>
      <c r="B199" s="388"/>
    </row>
    <row r="200" spans="1:2" x14ac:dyDescent="0.25">
      <c r="A200" s="388"/>
      <c r="B200" s="388"/>
    </row>
    <row r="201" spans="1:2" x14ac:dyDescent="0.25">
      <c r="A201" s="388"/>
      <c r="B201" s="388"/>
    </row>
    <row r="202" spans="1:2" x14ac:dyDescent="0.25">
      <c r="A202" s="388"/>
      <c r="B202" s="388"/>
    </row>
    <row r="203" spans="1:2" x14ac:dyDescent="0.25">
      <c r="A203" s="388"/>
      <c r="B203" s="388"/>
    </row>
    <row r="204" spans="1:2" x14ac:dyDescent="0.25">
      <c r="A204" s="388"/>
      <c r="B204" s="388"/>
    </row>
    <row r="205" spans="1:2" x14ac:dyDescent="0.25">
      <c r="A205" s="388"/>
      <c r="B205" s="388"/>
    </row>
    <row r="206" spans="1:2" x14ac:dyDescent="0.25">
      <c r="A206" s="388"/>
      <c r="B206" s="388"/>
    </row>
    <row r="207" spans="1:2" x14ac:dyDescent="0.25">
      <c r="A207" s="388"/>
      <c r="B207" s="388"/>
    </row>
    <row r="208" spans="1:2" x14ac:dyDescent="0.25">
      <c r="A208" s="388"/>
      <c r="B208" s="388"/>
    </row>
    <row r="209" spans="1:2" x14ac:dyDescent="0.25">
      <c r="A209" s="388"/>
      <c r="B209" s="388"/>
    </row>
    <row r="210" spans="1:2" x14ac:dyDescent="0.25">
      <c r="A210" s="388"/>
      <c r="B210" s="388"/>
    </row>
    <row r="211" spans="1:2" x14ac:dyDescent="0.25">
      <c r="A211" s="388"/>
      <c r="B211" s="388"/>
    </row>
    <row r="212" spans="1:2" x14ac:dyDescent="0.25">
      <c r="A212" s="388"/>
      <c r="B212" s="388"/>
    </row>
    <row r="213" spans="1:2" x14ac:dyDescent="0.25">
      <c r="A213" s="388"/>
      <c r="B213" s="388"/>
    </row>
    <row r="214" spans="1:2" x14ac:dyDescent="0.25">
      <c r="A214" s="388"/>
      <c r="B214" s="388"/>
    </row>
    <row r="215" spans="1:2" x14ac:dyDescent="0.25">
      <c r="A215" s="388"/>
      <c r="B215" s="388"/>
    </row>
    <row r="216" spans="1:2" x14ac:dyDescent="0.25">
      <c r="A216" s="388"/>
      <c r="B216" s="388"/>
    </row>
    <row r="217" spans="1:2" x14ac:dyDescent="0.25">
      <c r="A217" s="388"/>
      <c r="B217" s="388"/>
    </row>
    <row r="218" spans="1:2" x14ac:dyDescent="0.25">
      <c r="A218" s="388"/>
      <c r="B218" s="388"/>
    </row>
    <row r="219" spans="1:2" x14ac:dyDescent="0.25">
      <c r="A219" s="388"/>
      <c r="B219" s="388"/>
    </row>
    <row r="220" spans="1:2" x14ac:dyDescent="0.25">
      <c r="A220" s="388"/>
      <c r="B220" s="388"/>
    </row>
    <row r="221" spans="1:2" x14ac:dyDescent="0.25">
      <c r="A221" s="388"/>
      <c r="B221" s="388"/>
    </row>
    <row r="222" spans="1:2" x14ac:dyDescent="0.25">
      <c r="A222" s="388"/>
      <c r="B222" s="388"/>
    </row>
    <row r="223" spans="1:2" x14ac:dyDescent="0.25">
      <c r="A223" s="388"/>
      <c r="B223" s="388"/>
    </row>
    <row r="224" spans="1:2" x14ac:dyDescent="0.25">
      <c r="A224" s="388"/>
      <c r="B224" s="388"/>
    </row>
    <row r="225" spans="1:2" x14ac:dyDescent="0.25">
      <c r="A225" s="388"/>
      <c r="B225" s="388"/>
    </row>
    <row r="226" spans="1:2" x14ac:dyDescent="0.25">
      <c r="A226" s="388"/>
      <c r="B226" s="388"/>
    </row>
    <row r="227" spans="1:2" x14ac:dyDescent="0.25">
      <c r="A227" s="388"/>
      <c r="B227" s="388"/>
    </row>
    <row r="228" spans="1:2" x14ac:dyDescent="0.25">
      <c r="A228" s="388"/>
      <c r="B228" s="388"/>
    </row>
    <row r="229" spans="1:2" x14ac:dyDescent="0.25">
      <c r="A229" s="388"/>
      <c r="B229" s="388"/>
    </row>
    <row r="230" spans="1:2" x14ac:dyDescent="0.25">
      <c r="A230" s="388"/>
      <c r="B230" s="388"/>
    </row>
    <row r="231" spans="1:2" x14ac:dyDescent="0.25">
      <c r="A231" s="388"/>
      <c r="B231" s="388"/>
    </row>
    <row r="232" spans="1:2" x14ac:dyDescent="0.25">
      <c r="A232" s="388"/>
      <c r="B232" s="388"/>
    </row>
    <row r="233" spans="1:2" x14ac:dyDescent="0.25">
      <c r="A233" s="388"/>
      <c r="B233" s="388"/>
    </row>
    <row r="234" spans="1:2" x14ac:dyDescent="0.25">
      <c r="A234" s="388"/>
      <c r="B234" s="388"/>
    </row>
    <row r="235" spans="1:2" x14ac:dyDescent="0.25">
      <c r="A235" s="388"/>
      <c r="B235" s="388"/>
    </row>
    <row r="236" spans="1:2" x14ac:dyDescent="0.25">
      <c r="A236" s="388"/>
      <c r="B236" s="388"/>
    </row>
    <row r="237" spans="1:2" x14ac:dyDescent="0.25">
      <c r="A237" s="388"/>
      <c r="B237" s="388"/>
    </row>
    <row r="238" spans="1:2" x14ac:dyDescent="0.25">
      <c r="A238" s="388"/>
      <c r="B238" s="388"/>
    </row>
    <row r="239" spans="1:2" x14ac:dyDescent="0.25">
      <c r="A239" s="388"/>
      <c r="B239" s="388"/>
    </row>
    <row r="240" spans="1:2" x14ac:dyDescent="0.25">
      <c r="A240" s="388"/>
      <c r="B240" s="388"/>
    </row>
    <row r="241" spans="1:2" x14ac:dyDescent="0.25">
      <c r="A241" s="388"/>
      <c r="B241" s="388"/>
    </row>
    <row r="242" spans="1:2" x14ac:dyDescent="0.25">
      <c r="A242" s="388"/>
      <c r="B242" s="388"/>
    </row>
    <row r="243" spans="1:2" x14ac:dyDescent="0.25">
      <c r="A243" s="388"/>
      <c r="B243" s="388"/>
    </row>
    <row r="244" spans="1:2" x14ac:dyDescent="0.25">
      <c r="A244" s="388"/>
      <c r="B244" s="388"/>
    </row>
    <row r="245" spans="1:2" x14ac:dyDescent="0.25">
      <c r="A245" s="388"/>
      <c r="B245" s="388"/>
    </row>
    <row r="246" spans="1:2" x14ac:dyDescent="0.25">
      <c r="A246" s="388"/>
      <c r="B246" s="388"/>
    </row>
    <row r="247" spans="1:2" x14ac:dyDescent="0.25">
      <c r="A247" s="388"/>
      <c r="B247" s="388"/>
    </row>
    <row r="248" spans="1:2" x14ac:dyDescent="0.25">
      <c r="A248" s="388"/>
      <c r="B248" s="388"/>
    </row>
    <row r="249" spans="1:2" x14ac:dyDescent="0.25">
      <c r="A249" s="388"/>
      <c r="B249" s="388"/>
    </row>
    <row r="250" spans="1:2" x14ac:dyDescent="0.25">
      <c r="A250" s="388"/>
      <c r="B250" s="388"/>
    </row>
    <row r="251" spans="1:2" x14ac:dyDescent="0.25">
      <c r="A251" s="388"/>
      <c r="B251" s="388"/>
    </row>
    <row r="252" spans="1:2" x14ac:dyDescent="0.25">
      <c r="A252" s="388"/>
      <c r="B252" s="388"/>
    </row>
    <row r="253" spans="1:2" x14ac:dyDescent="0.25">
      <c r="A253" s="388"/>
      <c r="B253" s="388"/>
    </row>
    <row r="254" spans="1:2" x14ac:dyDescent="0.25">
      <c r="A254" s="388"/>
      <c r="B254" s="388"/>
    </row>
    <row r="255" spans="1:2" x14ac:dyDescent="0.25">
      <c r="A255" s="388"/>
      <c r="B255" s="388"/>
    </row>
    <row r="256" spans="1:2" x14ac:dyDescent="0.25">
      <c r="A256" s="388"/>
      <c r="B256" s="388"/>
    </row>
    <row r="257" spans="1:2" x14ac:dyDescent="0.25">
      <c r="A257" s="388"/>
      <c r="B257" s="388"/>
    </row>
    <row r="258" spans="1:2" x14ac:dyDescent="0.25">
      <c r="A258" s="388"/>
      <c r="B258" s="388"/>
    </row>
    <row r="259" spans="1:2" x14ac:dyDescent="0.25">
      <c r="A259" s="388"/>
      <c r="B259" s="388"/>
    </row>
    <row r="260" spans="1:2" x14ac:dyDescent="0.25">
      <c r="A260" s="388"/>
      <c r="B260" s="388"/>
    </row>
    <row r="261" spans="1:2" x14ac:dyDescent="0.25">
      <c r="A261" s="388"/>
      <c r="B261" s="388"/>
    </row>
    <row r="262" spans="1:2" x14ac:dyDescent="0.25">
      <c r="A262" s="388"/>
      <c r="B262" s="388"/>
    </row>
    <row r="263" spans="1:2" x14ac:dyDescent="0.25">
      <c r="A263" s="388"/>
      <c r="B263" s="388"/>
    </row>
    <row r="264" spans="1:2" x14ac:dyDescent="0.25">
      <c r="A264" s="388"/>
      <c r="B264" s="388"/>
    </row>
    <row r="265" spans="1:2" x14ac:dyDescent="0.25">
      <c r="A265" s="388"/>
      <c r="B265" s="388"/>
    </row>
    <row r="266" spans="1:2" x14ac:dyDescent="0.25">
      <c r="A266" s="388"/>
      <c r="B266" s="388"/>
    </row>
    <row r="267" spans="1:2" x14ac:dyDescent="0.25">
      <c r="A267" s="388"/>
      <c r="B267" s="388"/>
    </row>
    <row r="268" spans="1:2" x14ac:dyDescent="0.25">
      <c r="A268" s="388"/>
      <c r="B268" s="388"/>
    </row>
    <row r="269" spans="1:2" x14ac:dyDescent="0.25">
      <c r="A269" s="388"/>
      <c r="B269" s="388"/>
    </row>
    <row r="270" spans="1:2" x14ac:dyDescent="0.25">
      <c r="A270" s="388"/>
      <c r="B270" s="388"/>
    </row>
    <row r="271" spans="1:2" x14ac:dyDescent="0.25">
      <c r="A271" s="388"/>
      <c r="B271" s="388"/>
    </row>
    <row r="272" spans="1:2" x14ac:dyDescent="0.25">
      <c r="A272" s="388"/>
      <c r="B272" s="388"/>
    </row>
    <row r="273" spans="1:2" x14ac:dyDescent="0.25">
      <c r="A273" s="388"/>
      <c r="B273" s="388"/>
    </row>
    <row r="274" spans="1:2" x14ac:dyDescent="0.25">
      <c r="A274" s="388"/>
      <c r="B274" s="388"/>
    </row>
    <row r="275" spans="1:2" x14ac:dyDescent="0.25">
      <c r="A275" s="388"/>
      <c r="B275" s="388"/>
    </row>
    <row r="276" spans="1:2" x14ac:dyDescent="0.25">
      <c r="A276" s="388"/>
      <c r="B276" s="388"/>
    </row>
    <row r="277" spans="1:2" x14ac:dyDescent="0.25">
      <c r="A277" s="388"/>
      <c r="B277" s="388"/>
    </row>
    <row r="278" spans="1:2" x14ac:dyDescent="0.25">
      <c r="A278" s="388"/>
      <c r="B278" s="388"/>
    </row>
    <row r="279" spans="1:2" x14ac:dyDescent="0.25">
      <c r="A279" s="388"/>
      <c r="B279" s="388"/>
    </row>
    <row r="280" spans="1:2" x14ac:dyDescent="0.25">
      <c r="A280" s="388"/>
      <c r="B280" s="388"/>
    </row>
    <row r="281" spans="1:2" x14ac:dyDescent="0.25">
      <c r="A281" s="388"/>
      <c r="B281" s="388"/>
    </row>
    <row r="282" spans="1:2" x14ac:dyDescent="0.25">
      <c r="A282" s="388"/>
      <c r="B282" s="388"/>
    </row>
    <row r="283" spans="1:2" x14ac:dyDescent="0.25">
      <c r="A283" s="388"/>
      <c r="B283" s="388"/>
    </row>
    <row r="284" spans="1:2" x14ac:dyDescent="0.25">
      <c r="A284" s="388"/>
      <c r="B284" s="388"/>
    </row>
    <row r="285" spans="1:2" x14ac:dyDescent="0.25">
      <c r="A285" s="388"/>
      <c r="B285" s="388"/>
    </row>
    <row r="286" spans="1:2" x14ac:dyDescent="0.25">
      <c r="A286" s="388"/>
      <c r="B286" s="388"/>
    </row>
    <row r="287" spans="1:2" x14ac:dyDescent="0.25">
      <c r="A287" s="388"/>
      <c r="B287" s="388"/>
    </row>
    <row r="288" spans="1:2" x14ac:dyDescent="0.25">
      <c r="A288" s="388"/>
      <c r="B288" s="388"/>
    </row>
    <row r="289" spans="1:2" x14ac:dyDescent="0.25">
      <c r="A289" s="388"/>
      <c r="B289" s="388"/>
    </row>
    <row r="290" spans="1:2" x14ac:dyDescent="0.25">
      <c r="A290" s="388"/>
      <c r="B290" s="388"/>
    </row>
    <row r="291" spans="1:2" x14ac:dyDescent="0.25">
      <c r="A291" s="388"/>
      <c r="B291" s="388"/>
    </row>
    <row r="292" spans="1:2" x14ac:dyDescent="0.25">
      <c r="A292" s="388"/>
      <c r="B292" s="388"/>
    </row>
    <row r="293" spans="1:2" x14ac:dyDescent="0.25">
      <c r="A293" s="388"/>
      <c r="B293" s="388"/>
    </row>
    <row r="294" spans="1:2" x14ac:dyDescent="0.25">
      <c r="A294" s="388"/>
      <c r="B294" s="388"/>
    </row>
    <row r="295" spans="1:2" x14ac:dyDescent="0.25">
      <c r="A295" s="388"/>
      <c r="B295" s="388"/>
    </row>
    <row r="296" spans="1:2" x14ac:dyDescent="0.25">
      <c r="A296" s="388"/>
      <c r="B296" s="388"/>
    </row>
    <row r="297" spans="1:2" x14ac:dyDescent="0.25">
      <c r="A297" s="388"/>
      <c r="B297" s="388"/>
    </row>
    <row r="298" spans="1:2" x14ac:dyDescent="0.25">
      <c r="A298" s="388"/>
      <c r="B298" s="388"/>
    </row>
    <row r="299" spans="1:2" x14ac:dyDescent="0.25">
      <c r="A299" s="388"/>
      <c r="B299" s="388"/>
    </row>
    <row r="300" spans="1:2" x14ac:dyDescent="0.25">
      <c r="A300" s="388"/>
      <c r="B300" s="388"/>
    </row>
    <row r="301" spans="1:2" x14ac:dyDescent="0.25">
      <c r="A301" s="388"/>
      <c r="B301" s="388"/>
    </row>
    <row r="302" spans="1:2" x14ac:dyDescent="0.25">
      <c r="A302" s="388"/>
      <c r="B302" s="388"/>
    </row>
    <row r="303" spans="1:2" x14ac:dyDescent="0.25">
      <c r="A303" s="388"/>
      <c r="B303" s="388"/>
    </row>
    <row r="304" spans="1:2" x14ac:dyDescent="0.25">
      <c r="A304" s="388"/>
      <c r="B304" s="388"/>
    </row>
    <row r="305" spans="1:2" x14ac:dyDescent="0.25">
      <c r="A305" s="388"/>
      <c r="B305" s="388"/>
    </row>
    <row r="306" spans="1:2" x14ac:dyDescent="0.25">
      <c r="A306" s="388"/>
      <c r="B306" s="388"/>
    </row>
    <row r="307" spans="1:2" x14ac:dyDescent="0.25">
      <c r="A307" s="388"/>
      <c r="B307" s="388"/>
    </row>
    <row r="308" spans="1:2" x14ac:dyDescent="0.25">
      <c r="A308" s="388"/>
      <c r="B308" s="388"/>
    </row>
    <row r="309" spans="1:2" x14ac:dyDescent="0.25">
      <c r="A309" s="388"/>
      <c r="B309" s="388"/>
    </row>
    <row r="310" spans="1:2" x14ac:dyDescent="0.25">
      <c r="A310" s="388"/>
      <c r="B310" s="388"/>
    </row>
    <row r="311" spans="1:2" x14ac:dyDescent="0.25">
      <c r="A311" s="388"/>
      <c r="B311" s="388"/>
    </row>
    <row r="312" spans="1:2" x14ac:dyDescent="0.25">
      <c r="A312" s="388"/>
      <c r="B312" s="388"/>
    </row>
    <row r="313" spans="1:2" x14ac:dyDescent="0.25">
      <c r="A313" s="388"/>
      <c r="B313" s="388"/>
    </row>
    <row r="314" spans="1:2" x14ac:dyDescent="0.25">
      <c r="A314" s="388"/>
      <c r="B314" s="388"/>
    </row>
    <row r="315" spans="1:2" x14ac:dyDescent="0.25">
      <c r="A315" s="388"/>
      <c r="B315" s="388"/>
    </row>
    <row r="316" spans="1:2" x14ac:dyDescent="0.25">
      <c r="A316" s="388"/>
      <c r="B316" s="388"/>
    </row>
    <row r="317" spans="1:2" x14ac:dyDescent="0.25">
      <c r="A317" s="388"/>
      <c r="B317" s="388"/>
    </row>
    <row r="318" spans="1:2" x14ac:dyDescent="0.25">
      <c r="A318" s="388"/>
      <c r="B318" s="388"/>
    </row>
    <row r="319" spans="1:2" x14ac:dyDescent="0.25">
      <c r="A319" s="388"/>
      <c r="B319" s="388"/>
    </row>
    <row r="320" spans="1:2" x14ac:dyDescent="0.25">
      <c r="A320" s="388"/>
      <c r="B320" s="388"/>
    </row>
    <row r="321" spans="1:2" x14ac:dyDescent="0.25">
      <c r="A321" s="388"/>
      <c r="B321" s="388"/>
    </row>
    <row r="322" spans="1:2" x14ac:dyDescent="0.25">
      <c r="A322" s="388"/>
      <c r="B322" s="388"/>
    </row>
    <row r="323" spans="1:2" x14ac:dyDescent="0.25">
      <c r="A323" s="388"/>
      <c r="B323" s="388"/>
    </row>
    <row r="324" spans="1:2" x14ac:dyDescent="0.25">
      <c r="A324" s="388"/>
      <c r="B324" s="388"/>
    </row>
    <row r="325" spans="1:2" x14ac:dyDescent="0.25">
      <c r="A325" s="388"/>
      <c r="B325" s="388"/>
    </row>
    <row r="326" spans="1:2" x14ac:dyDescent="0.25">
      <c r="A326" s="388"/>
      <c r="B326" s="388"/>
    </row>
    <row r="327" spans="1:2" x14ac:dyDescent="0.25">
      <c r="A327" s="388"/>
      <c r="B327" s="388"/>
    </row>
    <row r="328" spans="1:2" x14ac:dyDescent="0.25">
      <c r="A328" s="388"/>
      <c r="B328" s="388"/>
    </row>
    <row r="329" spans="1:2" x14ac:dyDescent="0.25">
      <c r="A329" s="388"/>
      <c r="B329" s="388"/>
    </row>
    <row r="330" spans="1:2" x14ac:dyDescent="0.25">
      <c r="A330" s="388"/>
      <c r="B330" s="388"/>
    </row>
    <row r="331" spans="1:2" x14ac:dyDescent="0.25">
      <c r="A331" s="388"/>
      <c r="B331" s="388"/>
    </row>
    <row r="332" spans="1:2" x14ac:dyDescent="0.25">
      <c r="A332" s="388"/>
      <c r="B332" s="388"/>
    </row>
    <row r="333" spans="1:2" x14ac:dyDescent="0.25">
      <c r="A333" s="388"/>
      <c r="B333" s="388"/>
    </row>
    <row r="334" spans="1:2" x14ac:dyDescent="0.25">
      <c r="A334" s="388"/>
      <c r="B334" s="388"/>
    </row>
    <row r="335" spans="1:2" x14ac:dyDescent="0.25">
      <c r="A335" s="388"/>
      <c r="B335" s="388"/>
    </row>
    <row r="336" spans="1:2" x14ac:dyDescent="0.25">
      <c r="A336" s="388"/>
      <c r="B336" s="388"/>
    </row>
    <row r="337" spans="1:2" x14ac:dyDescent="0.25">
      <c r="A337" s="388"/>
      <c r="B337" s="388"/>
    </row>
    <row r="338" spans="1:2" x14ac:dyDescent="0.25">
      <c r="A338" s="388"/>
      <c r="B338" s="388"/>
    </row>
    <row r="339" spans="1:2" x14ac:dyDescent="0.25">
      <c r="A339" s="388"/>
      <c r="B339" s="388"/>
    </row>
    <row r="340" spans="1:2" x14ac:dyDescent="0.25">
      <c r="A340" s="388"/>
      <c r="B340" s="388"/>
    </row>
    <row r="341" spans="1:2" x14ac:dyDescent="0.25">
      <c r="A341" s="388"/>
      <c r="B341" s="388"/>
    </row>
    <row r="342" spans="1:2" x14ac:dyDescent="0.25">
      <c r="A342" s="388"/>
      <c r="B342" s="388"/>
    </row>
    <row r="343" spans="1:2" x14ac:dyDescent="0.25">
      <c r="A343" s="388"/>
      <c r="B343" s="388"/>
    </row>
    <row r="344" spans="1:2" x14ac:dyDescent="0.25">
      <c r="A344" s="388"/>
      <c r="B344" s="388"/>
    </row>
    <row r="345" spans="1:2" x14ac:dyDescent="0.25">
      <c r="A345" s="388"/>
      <c r="B345" s="388"/>
    </row>
    <row r="346" spans="1:2" x14ac:dyDescent="0.25">
      <c r="A346" s="388"/>
      <c r="B346" s="388"/>
    </row>
    <row r="347" spans="1:2" x14ac:dyDescent="0.25">
      <c r="A347" s="388"/>
      <c r="B347" s="388"/>
    </row>
    <row r="348" spans="1:2" x14ac:dyDescent="0.25">
      <c r="A348" s="388"/>
      <c r="B348" s="388"/>
    </row>
    <row r="349" spans="1:2" x14ac:dyDescent="0.25">
      <c r="A349" s="388"/>
      <c r="B349" s="388"/>
    </row>
    <row r="350" spans="1:2" x14ac:dyDescent="0.25">
      <c r="A350" s="388"/>
      <c r="B350" s="388"/>
    </row>
    <row r="351" spans="1:2" x14ac:dyDescent="0.25">
      <c r="A351" s="388"/>
      <c r="B351" s="388"/>
    </row>
    <row r="352" spans="1:2" x14ac:dyDescent="0.25">
      <c r="A352" s="388"/>
      <c r="B352" s="388"/>
    </row>
    <row r="353" spans="1:2" x14ac:dyDescent="0.25">
      <c r="A353" s="388"/>
      <c r="B353" s="388"/>
    </row>
    <row r="354" spans="1:2" x14ac:dyDescent="0.25">
      <c r="A354" s="388"/>
      <c r="B354" s="388"/>
    </row>
    <row r="355" spans="1:2" x14ac:dyDescent="0.25">
      <c r="A355" s="388"/>
      <c r="B355" s="388"/>
    </row>
    <row r="356" spans="1:2" x14ac:dyDescent="0.25">
      <c r="A356" s="388"/>
      <c r="B356" s="388"/>
    </row>
    <row r="357" spans="1:2" x14ac:dyDescent="0.25">
      <c r="A357" s="388"/>
      <c r="B357" s="388"/>
    </row>
    <row r="358" spans="1:2" x14ac:dyDescent="0.25">
      <c r="A358" s="388"/>
      <c r="B358" s="388"/>
    </row>
    <row r="359" spans="1:2" x14ac:dyDescent="0.25">
      <c r="A359" s="388"/>
      <c r="B359" s="388"/>
    </row>
    <row r="360" spans="1:2" x14ac:dyDescent="0.25">
      <c r="A360" s="388"/>
      <c r="B360" s="388"/>
    </row>
    <row r="361" spans="1:2" x14ac:dyDescent="0.25">
      <c r="A361" s="388"/>
      <c r="B361" s="388"/>
    </row>
    <row r="362" spans="1:2" x14ac:dyDescent="0.25">
      <c r="A362" s="388"/>
      <c r="B362" s="388"/>
    </row>
    <row r="363" spans="1:2" x14ac:dyDescent="0.25">
      <c r="A363" s="388"/>
      <c r="B363" s="388"/>
    </row>
    <row r="364" spans="1:2" x14ac:dyDescent="0.25">
      <c r="A364" s="388"/>
      <c r="B364" s="388"/>
    </row>
    <row r="365" spans="1:2" x14ac:dyDescent="0.25">
      <c r="A365" s="388"/>
      <c r="B365" s="388"/>
    </row>
    <row r="366" spans="1:2" x14ac:dyDescent="0.25">
      <c r="A366" s="388"/>
      <c r="B366" s="388"/>
    </row>
    <row r="367" spans="1:2" x14ac:dyDescent="0.25">
      <c r="A367" s="388"/>
      <c r="B367" s="388"/>
    </row>
    <row r="368" spans="1:2" x14ac:dyDescent="0.25">
      <c r="A368" s="388"/>
      <c r="B368" s="388"/>
    </row>
    <row r="369" spans="1:2" x14ac:dyDescent="0.25">
      <c r="A369" s="388"/>
      <c r="B369" s="388"/>
    </row>
    <row r="370" spans="1:2" x14ac:dyDescent="0.25">
      <c r="A370" s="388"/>
      <c r="B370" s="388"/>
    </row>
    <row r="371" spans="1:2" x14ac:dyDescent="0.25">
      <c r="A371" s="388"/>
      <c r="B371" s="388"/>
    </row>
    <row r="372" spans="1:2" x14ac:dyDescent="0.25">
      <c r="A372" s="388"/>
      <c r="B372" s="388"/>
    </row>
    <row r="373" spans="1:2" x14ac:dyDescent="0.25">
      <c r="A373" s="388"/>
      <c r="B373" s="388"/>
    </row>
    <row r="374" spans="1:2" x14ac:dyDescent="0.25">
      <c r="A374" s="388"/>
      <c r="B374" s="388"/>
    </row>
    <row r="375" spans="1:2" x14ac:dyDescent="0.25">
      <c r="A375" s="388"/>
      <c r="B375" s="388"/>
    </row>
    <row r="376" spans="1:2" x14ac:dyDescent="0.25">
      <c r="A376" s="388"/>
      <c r="B376" s="388"/>
    </row>
    <row r="377" spans="1:2" x14ac:dyDescent="0.25">
      <c r="A377" s="388"/>
      <c r="B377" s="388"/>
    </row>
    <row r="378" spans="1:2" x14ac:dyDescent="0.25">
      <c r="A378" s="388"/>
      <c r="B378" s="388"/>
    </row>
    <row r="379" spans="1:2" x14ac:dyDescent="0.25">
      <c r="A379" s="388"/>
      <c r="B379" s="388"/>
    </row>
    <row r="380" spans="1:2" x14ac:dyDescent="0.25">
      <c r="A380" s="388"/>
      <c r="B380" s="388"/>
    </row>
    <row r="381" spans="1:2" x14ac:dyDescent="0.25">
      <c r="A381" s="388"/>
      <c r="B381" s="388"/>
    </row>
    <row r="382" spans="1:2" x14ac:dyDescent="0.25">
      <c r="A382" s="388"/>
      <c r="B382" s="388"/>
    </row>
    <row r="383" spans="1:2" x14ac:dyDescent="0.25">
      <c r="A383" s="388"/>
      <c r="B383" s="388"/>
    </row>
    <row r="384" spans="1:2" x14ac:dyDescent="0.25">
      <c r="A384" s="388"/>
      <c r="B384" s="388"/>
    </row>
    <row r="385" spans="1:2" x14ac:dyDescent="0.25">
      <c r="A385" s="388"/>
      <c r="B385" s="388"/>
    </row>
    <row r="386" spans="1:2" x14ac:dyDescent="0.25">
      <c r="A386" s="388"/>
      <c r="B386" s="388"/>
    </row>
    <row r="387" spans="1:2" x14ac:dyDescent="0.25">
      <c r="A387" s="388"/>
      <c r="B387" s="388"/>
    </row>
    <row r="388" spans="1:2" x14ac:dyDescent="0.25">
      <c r="A388" s="388"/>
      <c r="B388" s="388"/>
    </row>
    <row r="389" spans="1:2" x14ac:dyDescent="0.25">
      <c r="A389" s="388"/>
      <c r="B389" s="388"/>
    </row>
    <row r="390" spans="1:2" x14ac:dyDescent="0.25">
      <c r="A390" s="388"/>
      <c r="B390" s="388"/>
    </row>
    <row r="391" spans="1:2" x14ac:dyDescent="0.25">
      <c r="A391" s="388"/>
      <c r="B391" s="388"/>
    </row>
    <row r="392" spans="1:2" x14ac:dyDescent="0.25">
      <c r="A392" s="388"/>
      <c r="B392" s="388"/>
    </row>
    <row r="393" spans="1:2" x14ac:dyDescent="0.25">
      <c r="A393" s="388"/>
      <c r="B393" s="388"/>
    </row>
    <row r="394" spans="1:2" x14ac:dyDescent="0.25">
      <c r="A394" s="388"/>
      <c r="B394" s="388"/>
    </row>
    <row r="395" spans="1:2" x14ac:dyDescent="0.25">
      <c r="A395" s="388"/>
      <c r="B395" s="388"/>
    </row>
    <row r="396" spans="1:2" x14ac:dyDescent="0.25">
      <c r="A396" s="388"/>
      <c r="B396" s="388"/>
    </row>
    <row r="397" spans="1:2" x14ac:dyDescent="0.25">
      <c r="A397" s="388"/>
      <c r="B397" s="388"/>
    </row>
    <row r="398" spans="1:2" x14ac:dyDescent="0.25">
      <c r="A398" s="388"/>
      <c r="B398" s="388"/>
    </row>
    <row r="399" spans="1:2" x14ac:dyDescent="0.25">
      <c r="A399" s="388"/>
      <c r="B399" s="388"/>
    </row>
    <row r="400" spans="1:2" x14ac:dyDescent="0.25">
      <c r="A400" s="388"/>
      <c r="B400" s="388"/>
    </row>
    <row r="401" spans="1:2" x14ac:dyDescent="0.25">
      <c r="A401" s="388"/>
      <c r="B401" s="388"/>
    </row>
    <row r="402" spans="1:2" x14ac:dyDescent="0.25">
      <c r="A402" s="388"/>
      <c r="B402" s="388"/>
    </row>
    <row r="403" spans="1:2" x14ac:dyDescent="0.25">
      <c r="A403" s="388"/>
      <c r="B403" s="388"/>
    </row>
    <row r="404" spans="1:2" x14ac:dyDescent="0.25">
      <c r="A404" s="388"/>
      <c r="B404" s="388"/>
    </row>
    <row r="405" spans="1:2" x14ac:dyDescent="0.25">
      <c r="A405" s="388"/>
      <c r="B405" s="388"/>
    </row>
    <row r="406" spans="1:2" x14ac:dyDescent="0.25">
      <c r="A406" s="388"/>
      <c r="B406" s="388"/>
    </row>
    <row r="407" spans="1:2" x14ac:dyDescent="0.25">
      <c r="A407" s="388"/>
      <c r="B407" s="388"/>
    </row>
    <row r="408" spans="1:2" x14ac:dyDescent="0.25">
      <c r="A408" s="388"/>
      <c r="B408" s="388"/>
    </row>
    <row r="409" spans="1:2" x14ac:dyDescent="0.25">
      <c r="A409" s="388"/>
      <c r="B409" s="388"/>
    </row>
    <row r="410" spans="1:2" x14ac:dyDescent="0.25">
      <c r="A410" s="388"/>
      <c r="B410" s="388"/>
    </row>
    <row r="411" spans="1:2" x14ac:dyDescent="0.25">
      <c r="A411" s="388"/>
      <c r="B411" s="388"/>
    </row>
    <row r="412" spans="1:2" x14ac:dyDescent="0.25">
      <c r="A412" s="388"/>
      <c r="B412" s="388"/>
    </row>
    <row r="413" spans="1:2" x14ac:dyDescent="0.25">
      <c r="A413" s="388"/>
      <c r="B413" s="388"/>
    </row>
    <row r="414" spans="1:2" x14ac:dyDescent="0.25">
      <c r="A414" s="388"/>
      <c r="B414" s="388"/>
    </row>
    <row r="415" spans="1:2" x14ac:dyDescent="0.25">
      <c r="A415" s="388"/>
      <c r="B415" s="388"/>
    </row>
    <row r="416" spans="1:2" x14ac:dyDescent="0.25">
      <c r="A416" s="388"/>
      <c r="B416" s="388"/>
    </row>
    <row r="417" spans="1:2" x14ac:dyDescent="0.25">
      <c r="A417" s="388"/>
      <c r="B417" s="388"/>
    </row>
    <row r="418" spans="1:2" x14ac:dyDescent="0.25">
      <c r="A418" s="388"/>
      <c r="B418" s="388"/>
    </row>
    <row r="419" spans="1:2" x14ac:dyDescent="0.25">
      <c r="A419" s="388"/>
      <c r="B419" s="388"/>
    </row>
    <row r="420" spans="1:2" x14ac:dyDescent="0.25">
      <c r="A420" s="388"/>
      <c r="B420" s="388"/>
    </row>
    <row r="421" spans="1:2" x14ac:dyDescent="0.25">
      <c r="A421" s="388"/>
      <c r="B421" s="388"/>
    </row>
    <row r="422" spans="1:2" x14ac:dyDescent="0.25">
      <c r="A422" s="388"/>
      <c r="B422" s="388"/>
    </row>
    <row r="423" spans="1:2" x14ac:dyDescent="0.25">
      <c r="A423" s="388"/>
      <c r="B423" s="388"/>
    </row>
    <row r="424" spans="1:2" x14ac:dyDescent="0.25">
      <c r="A424" s="388"/>
      <c r="B424" s="388"/>
    </row>
    <row r="425" spans="1:2" x14ac:dyDescent="0.25">
      <c r="A425" s="388"/>
      <c r="B425" s="388"/>
    </row>
    <row r="426" spans="1:2" x14ac:dyDescent="0.25">
      <c r="A426" s="388"/>
      <c r="B426" s="388"/>
    </row>
    <row r="427" spans="1:2" x14ac:dyDescent="0.25">
      <c r="A427" s="388"/>
      <c r="B427" s="388"/>
    </row>
    <row r="428" spans="1:2" x14ac:dyDescent="0.25">
      <c r="A428" s="388"/>
      <c r="B428" s="388"/>
    </row>
    <row r="429" spans="1:2" x14ac:dyDescent="0.25">
      <c r="A429" s="388"/>
      <c r="B429" s="388"/>
    </row>
    <row r="430" spans="1:2" x14ac:dyDescent="0.25">
      <c r="A430" s="388"/>
      <c r="B430" s="388"/>
    </row>
    <row r="431" spans="1:2" x14ac:dyDescent="0.25">
      <c r="A431" s="388"/>
      <c r="B431" s="388"/>
    </row>
    <row r="432" spans="1:2" x14ac:dyDescent="0.25">
      <c r="A432" s="388"/>
      <c r="B432" s="388"/>
    </row>
    <row r="433" spans="1:2" x14ac:dyDescent="0.25">
      <c r="A433" s="388"/>
      <c r="B433" s="388"/>
    </row>
    <row r="434" spans="1:2" x14ac:dyDescent="0.25">
      <c r="A434" s="388"/>
      <c r="B434" s="388"/>
    </row>
    <row r="435" spans="1:2" x14ac:dyDescent="0.25">
      <c r="A435" s="388"/>
      <c r="B435" s="388"/>
    </row>
    <row r="436" spans="1:2" x14ac:dyDescent="0.25">
      <c r="A436" s="388"/>
      <c r="B436" s="388"/>
    </row>
    <row r="437" spans="1:2" x14ac:dyDescent="0.25">
      <c r="A437" s="388"/>
      <c r="B437" s="388"/>
    </row>
    <row r="438" spans="1:2" x14ac:dyDescent="0.25">
      <c r="A438" s="388"/>
      <c r="B438" s="388"/>
    </row>
    <row r="439" spans="1:2" x14ac:dyDescent="0.25">
      <c r="A439" s="388"/>
      <c r="B439" s="388"/>
    </row>
    <row r="440" spans="1:2" x14ac:dyDescent="0.25">
      <c r="A440" s="388"/>
      <c r="B440" s="388"/>
    </row>
    <row r="441" spans="1:2" x14ac:dyDescent="0.25">
      <c r="A441" s="388"/>
      <c r="B441" s="388"/>
    </row>
    <row r="442" spans="1:2" x14ac:dyDescent="0.25">
      <c r="A442" s="388"/>
      <c r="B442" s="388"/>
    </row>
    <row r="443" spans="1:2" x14ac:dyDescent="0.25">
      <c r="A443" s="388"/>
      <c r="B443" s="388"/>
    </row>
    <row r="444" spans="1:2" x14ac:dyDescent="0.25">
      <c r="A444" s="388"/>
      <c r="B444" s="388"/>
    </row>
    <row r="445" spans="1:2" x14ac:dyDescent="0.25">
      <c r="A445" s="388"/>
      <c r="B445" s="388"/>
    </row>
    <row r="446" spans="1:2" x14ac:dyDescent="0.25">
      <c r="A446" s="388"/>
      <c r="B446" s="388"/>
    </row>
    <row r="447" spans="1:2" x14ac:dyDescent="0.25">
      <c r="A447" s="388"/>
      <c r="B447" s="388"/>
    </row>
    <row r="448" spans="1:2" x14ac:dyDescent="0.25">
      <c r="A448" s="388"/>
      <c r="B448" s="388"/>
    </row>
    <row r="449" spans="1:2" x14ac:dyDescent="0.25">
      <c r="A449" s="388"/>
      <c r="B449" s="388"/>
    </row>
    <row r="450" spans="1:2" x14ac:dyDescent="0.25">
      <c r="A450" s="388"/>
      <c r="B450" s="388"/>
    </row>
    <row r="451" spans="1:2" x14ac:dyDescent="0.25">
      <c r="A451" s="388"/>
      <c r="B451" s="388"/>
    </row>
    <row r="452" spans="1:2" x14ac:dyDescent="0.25">
      <c r="A452" s="388"/>
      <c r="B452" s="388"/>
    </row>
    <row r="453" spans="1:2" x14ac:dyDescent="0.25">
      <c r="A453" s="388"/>
      <c r="B453" s="388"/>
    </row>
    <row r="454" spans="1:2" x14ac:dyDescent="0.25">
      <c r="A454" s="388"/>
      <c r="B454" s="388"/>
    </row>
    <row r="455" spans="1:2" x14ac:dyDescent="0.25">
      <c r="A455" s="388"/>
      <c r="B455" s="388"/>
    </row>
    <row r="456" spans="1:2" x14ac:dyDescent="0.25">
      <c r="A456" s="388"/>
      <c r="B456" s="388"/>
    </row>
    <row r="457" spans="1:2" x14ac:dyDescent="0.25">
      <c r="A457" s="388"/>
      <c r="B457" s="388"/>
    </row>
    <row r="458" spans="1:2" x14ac:dyDescent="0.25">
      <c r="A458" s="388"/>
      <c r="B458" s="388"/>
    </row>
    <row r="459" spans="1:2" x14ac:dyDescent="0.25">
      <c r="A459" s="388"/>
      <c r="B459" s="388"/>
    </row>
    <row r="460" spans="1:2" x14ac:dyDescent="0.25">
      <c r="A460" s="388"/>
      <c r="B460" s="388"/>
    </row>
    <row r="461" spans="1:2" x14ac:dyDescent="0.25">
      <c r="A461" s="388"/>
      <c r="B461" s="388"/>
    </row>
    <row r="462" spans="1:2" x14ac:dyDescent="0.25">
      <c r="A462" s="388"/>
      <c r="B462" s="388"/>
    </row>
    <row r="463" spans="1:2" x14ac:dyDescent="0.25">
      <c r="A463" s="388"/>
      <c r="B463" s="388"/>
    </row>
    <row r="464" spans="1:2" x14ac:dyDescent="0.25">
      <c r="A464" s="388"/>
      <c r="B464" s="388"/>
    </row>
    <row r="465" spans="1:2" x14ac:dyDescent="0.25">
      <c r="A465" s="388"/>
      <c r="B465" s="388"/>
    </row>
    <row r="466" spans="1:2" x14ac:dyDescent="0.25">
      <c r="A466" s="388"/>
      <c r="B466" s="388"/>
    </row>
    <row r="467" spans="1:2" x14ac:dyDescent="0.25">
      <c r="A467" s="388"/>
      <c r="B467" s="388"/>
    </row>
    <row r="468" spans="1:2" x14ac:dyDescent="0.25">
      <c r="A468" s="388"/>
      <c r="B468" s="388"/>
    </row>
    <row r="469" spans="1:2" x14ac:dyDescent="0.25">
      <c r="A469" s="388"/>
      <c r="B469" s="388"/>
    </row>
    <row r="470" spans="1:2" x14ac:dyDescent="0.25">
      <c r="A470" s="388"/>
      <c r="B470" s="388"/>
    </row>
    <row r="471" spans="1:2" x14ac:dyDescent="0.25">
      <c r="A471" s="388"/>
      <c r="B471" s="388"/>
    </row>
    <row r="472" spans="1:2" x14ac:dyDescent="0.25">
      <c r="A472" s="388"/>
      <c r="B472" s="388"/>
    </row>
    <row r="473" spans="1:2" x14ac:dyDescent="0.25">
      <c r="A473" s="388"/>
      <c r="B473" s="388"/>
    </row>
    <row r="474" spans="1:2" x14ac:dyDescent="0.25">
      <c r="A474" s="388"/>
      <c r="B474" s="388"/>
    </row>
    <row r="475" spans="1:2" x14ac:dyDescent="0.25">
      <c r="A475" s="388"/>
      <c r="B475" s="388"/>
    </row>
    <row r="476" spans="1:2" x14ac:dyDescent="0.25">
      <c r="A476" s="388"/>
      <c r="B476" s="388"/>
    </row>
    <row r="477" spans="1:2" x14ac:dyDescent="0.25">
      <c r="A477" s="388"/>
      <c r="B477" s="388"/>
    </row>
    <row r="478" spans="1:2" x14ac:dyDescent="0.25">
      <c r="A478" s="388"/>
      <c r="B478" s="388"/>
    </row>
    <row r="479" spans="1:2" x14ac:dyDescent="0.25">
      <c r="A479" s="388"/>
      <c r="B479" s="388"/>
    </row>
    <row r="480" spans="1:2" x14ac:dyDescent="0.25">
      <c r="A480" s="388"/>
      <c r="B480" s="388"/>
    </row>
    <row r="481" spans="1:2" x14ac:dyDescent="0.25">
      <c r="A481" s="388"/>
      <c r="B481" s="388"/>
    </row>
    <row r="482" spans="1:2" x14ac:dyDescent="0.25">
      <c r="A482" s="388"/>
      <c r="B482" s="388"/>
    </row>
    <row r="483" spans="1:2" x14ac:dyDescent="0.25">
      <c r="A483" s="388"/>
      <c r="B483" s="388"/>
    </row>
    <row r="484" spans="1:2" x14ac:dyDescent="0.25">
      <c r="A484" s="388"/>
      <c r="B484" s="388"/>
    </row>
    <row r="485" spans="1:2" x14ac:dyDescent="0.25">
      <c r="A485" s="388"/>
      <c r="B485" s="388"/>
    </row>
    <row r="486" spans="1:2" x14ac:dyDescent="0.25">
      <c r="A486" s="388"/>
      <c r="B486" s="388"/>
    </row>
    <row r="487" spans="1:2" x14ac:dyDescent="0.25">
      <c r="A487" s="388"/>
      <c r="B487" s="388"/>
    </row>
    <row r="488" spans="1:2" x14ac:dyDescent="0.25">
      <c r="A488" s="388"/>
      <c r="B488" s="388"/>
    </row>
    <row r="489" spans="1:2" x14ac:dyDescent="0.25">
      <c r="A489" s="388"/>
      <c r="B489" s="388"/>
    </row>
    <row r="490" spans="1:2" x14ac:dyDescent="0.25">
      <c r="A490" s="388"/>
      <c r="B490" s="388"/>
    </row>
    <row r="491" spans="1:2" x14ac:dyDescent="0.25">
      <c r="A491" s="388"/>
      <c r="B491" s="388"/>
    </row>
    <row r="492" spans="1:2" x14ac:dyDescent="0.25">
      <c r="A492" s="388"/>
      <c r="B492" s="388"/>
    </row>
    <row r="493" spans="1:2" x14ac:dyDescent="0.25">
      <c r="A493" s="388"/>
      <c r="B493" s="388"/>
    </row>
    <row r="494" spans="1:2" x14ac:dyDescent="0.25">
      <c r="A494" s="388"/>
      <c r="B494" s="388"/>
    </row>
    <row r="495" spans="1:2" x14ac:dyDescent="0.25">
      <c r="A495" s="388"/>
      <c r="B495" s="388"/>
    </row>
    <row r="496" spans="1:2" x14ac:dyDescent="0.25">
      <c r="A496" s="388"/>
      <c r="B496" s="388"/>
    </row>
    <row r="497" spans="1:2" x14ac:dyDescent="0.25">
      <c r="A497" s="388"/>
      <c r="B497" s="388"/>
    </row>
    <row r="498" spans="1:2" x14ac:dyDescent="0.25">
      <c r="A498" s="388"/>
      <c r="B498" s="388"/>
    </row>
    <row r="499" spans="1:2" x14ac:dyDescent="0.25">
      <c r="A499" s="388"/>
      <c r="B499" s="388"/>
    </row>
    <row r="500" spans="1:2" x14ac:dyDescent="0.25">
      <c r="A500" s="388"/>
      <c r="B500" s="388"/>
    </row>
    <row r="501" spans="1:2" x14ac:dyDescent="0.25">
      <c r="A501" s="388"/>
      <c r="B501" s="388"/>
    </row>
    <row r="502" spans="1:2" x14ac:dyDescent="0.25">
      <c r="A502" s="388"/>
      <c r="B502" s="388"/>
    </row>
    <row r="503" spans="1:2" x14ac:dyDescent="0.25">
      <c r="A503" s="388"/>
      <c r="B503" s="388"/>
    </row>
    <row r="504" spans="1:2" x14ac:dyDescent="0.25">
      <c r="A504" s="388"/>
      <c r="B504" s="388"/>
    </row>
    <row r="505" spans="1:2" x14ac:dyDescent="0.25">
      <c r="A505" s="388"/>
      <c r="B505" s="388"/>
    </row>
    <row r="506" spans="1:2" x14ac:dyDescent="0.25">
      <c r="A506" s="388"/>
      <c r="B506" s="388"/>
    </row>
    <row r="507" spans="1:2" x14ac:dyDescent="0.25">
      <c r="A507" s="388"/>
      <c r="B507" s="388"/>
    </row>
    <row r="508" spans="1:2" x14ac:dyDescent="0.25">
      <c r="A508" s="388"/>
      <c r="B508" s="388"/>
    </row>
    <row r="509" spans="1:2" x14ac:dyDescent="0.25">
      <c r="A509" s="388"/>
      <c r="B509" s="388"/>
    </row>
    <row r="510" spans="1:2" x14ac:dyDescent="0.25">
      <c r="A510" s="388"/>
      <c r="B510" s="388"/>
    </row>
    <row r="511" spans="1:2" x14ac:dyDescent="0.25">
      <c r="A511" s="388"/>
      <c r="B511" s="388"/>
    </row>
    <row r="512" spans="1:2" x14ac:dyDescent="0.25">
      <c r="A512" s="388"/>
      <c r="B512" s="388"/>
    </row>
    <row r="513" spans="1:2" x14ac:dyDescent="0.25">
      <c r="A513" s="388"/>
      <c r="B513" s="388"/>
    </row>
    <row r="514" spans="1:2" x14ac:dyDescent="0.25">
      <c r="A514" s="388"/>
      <c r="B514" s="388"/>
    </row>
    <row r="515" spans="1:2" x14ac:dyDescent="0.25">
      <c r="A515" s="388"/>
      <c r="B515" s="388"/>
    </row>
    <row r="516" spans="1:2" x14ac:dyDescent="0.25">
      <c r="A516" s="388"/>
      <c r="B516" s="388"/>
    </row>
    <row r="517" spans="1:2" x14ac:dyDescent="0.25">
      <c r="A517" s="388"/>
      <c r="B517" s="388"/>
    </row>
    <row r="518" spans="1:2" x14ac:dyDescent="0.25">
      <c r="A518" s="388"/>
      <c r="B518" s="388"/>
    </row>
    <row r="519" spans="1:2" x14ac:dyDescent="0.25">
      <c r="A519" s="388"/>
      <c r="B519" s="388"/>
    </row>
    <row r="520" spans="1:2" x14ac:dyDescent="0.25">
      <c r="A520" s="388"/>
      <c r="B520" s="388"/>
    </row>
    <row r="521" spans="1:2" x14ac:dyDescent="0.25">
      <c r="A521" s="388"/>
      <c r="B521" s="388"/>
    </row>
    <row r="522" spans="1:2" x14ac:dyDescent="0.25">
      <c r="A522" s="388"/>
      <c r="B522" s="388"/>
    </row>
    <row r="523" spans="1:2" x14ac:dyDescent="0.25">
      <c r="A523" s="388"/>
      <c r="B523" s="388"/>
    </row>
    <row r="524" spans="1:2" x14ac:dyDescent="0.25">
      <c r="A524" s="388"/>
      <c r="B524" s="388"/>
    </row>
    <row r="525" spans="1:2" x14ac:dyDescent="0.25">
      <c r="A525" s="388"/>
      <c r="B525" s="388"/>
    </row>
    <row r="526" spans="1:2" x14ac:dyDescent="0.25">
      <c r="A526" s="388"/>
      <c r="B526" s="388"/>
    </row>
    <row r="527" spans="1:2" x14ac:dyDescent="0.25">
      <c r="A527" s="388"/>
      <c r="B527" s="388"/>
    </row>
    <row r="528" spans="1:2" x14ac:dyDescent="0.25">
      <c r="A528" s="388"/>
      <c r="B528" s="388"/>
    </row>
    <row r="529" spans="1:2" x14ac:dyDescent="0.25">
      <c r="A529" s="388"/>
      <c r="B529" s="388"/>
    </row>
    <row r="530" spans="1:2" x14ac:dyDescent="0.25">
      <c r="A530" s="388"/>
      <c r="B530" s="388"/>
    </row>
    <row r="531" spans="1:2" x14ac:dyDescent="0.25">
      <c r="A531" s="388"/>
      <c r="B531" s="388"/>
    </row>
    <row r="532" spans="1:2" x14ac:dyDescent="0.25">
      <c r="A532" s="388"/>
      <c r="B532" s="388"/>
    </row>
    <row r="533" spans="1:2" x14ac:dyDescent="0.25">
      <c r="A533" s="388"/>
      <c r="B533" s="388"/>
    </row>
    <row r="534" spans="1:2" x14ac:dyDescent="0.25">
      <c r="A534" s="388"/>
      <c r="B534" s="388"/>
    </row>
    <row r="535" spans="1:2" x14ac:dyDescent="0.25">
      <c r="A535" s="388"/>
      <c r="B535" s="388"/>
    </row>
    <row r="536" spans="1:2" x14ac:dyDescent="0.25">
      <c r="A536" s="388"/>
      <c r="B536" s="388"/>
    </row>
    <row r="537" spans="1:2" x14ac:dyDescent="0.25">
      <c r="A537" s="388"/>
      <c r="B537" s="388"/>
    </row>
    <row r="538" spans="1:2" x14ac:dyDescent="0.25">
      <c r="A538" s="388"/>
      <c r="B538" s="388"/>
    </row>
    <row r="539" spans="1:2" x14ac:dyDescent="0.25">
      <c r="A539" s="388"/>
      <c r="B539" s="388"/>
    </row>
    <row r="540" spans="1:2" x14ac:dyDescent="0.25">
      <c r="A540" s="388"/>
      <c r="B540" s="388"/>
    </row>
    <row r="541" spans="1:2" x14ac:dyDescent="0.25">
      <c r="A541" s="388"/>
      <c r="B541" s="388"/>
    </row>
    <row r="542" spans="1:2" x14ac:dyDescent="0.25">
      <c r="A542" s="388"/>
      <c r="B542" s="388"/>
    </row>
    <row r="543" spans="1:2" x14ac:dyDescent="0.25">
      <c r="A543" s="388"/>
      <c r="B543" s="388"/>
    </row>
    <row r="544" spans="1:2" x14ac:dyDescent="0.25">
      <c r="A544" s="388"/>
      <c r="B544" s="388"/>
    </row>
    <row r="545" spans="1:2" x14ac:dyDescent="0.25">
      <c r="A545" s="388"/>
      <c r="B545" s="388"/>
    </row>
    <row r="546" spans="1:2" x14ac:dyDescent="0.25">
      <c r="A546" s="388"/>
      <c r="B546" s="388"/>
    </row>
    <row r="547" spans="1:2" x14ac:dyDescent="0.25">
      <c r="A547" s="388"/>
      <c r="B547" s="388"/>
    </row>
    <row r="548" spans="1:2" x14ac:dyDescent="0.25">
      <c r="A548" s="388"/>
      <c r="B548" s="388"/>
    </row>
    <row r="549" spans="1:2" x14ac:dyDescent="0.25">
      <c r="A549" s="388"/>
      <c r="B549" s="388"/>
    </row>
    <row r="550" spans="1:2" x14ac:dyDescent="0.25">
      <c r="A550" s="388"/>
      <c r="B550" s="388"/>
    </row>
    <row r="551" spans="1:2" x14ac:dyDescent="0.25">
      <c r="A551" s="388"/>
      <c r="B551" s="388"/>
    </row>
    <row r="552" spans="1:2" x14ac:dyDescent="0.25">
      <c r="A552" s="388"/>
      <c r="B552" s="388"/>
    </row>
    <row r="553" spans="1:2" x14ac:dyDescent="0.25">
      <c r="A553" s="388"/>
      <c r="B553" s="388"/>
    </row>
    <row r="554" spans="1:2" x14ac:dyDescent="0.25">
      <c r="A554" s="388"/>
      <c r="B554" s="388"/>
    </row>
    <row r="555" spans="1:2" x14ac:dyDescent="0.25">
      <c r="A555" s="388"/>
      <c r="B555" s="388"/>
    </row>
    <row r="556" spans="1:2" x14ac:dyDescent="0.25">
      <c r="A556" s="388"/>
      <c r="B556" s="388"/>
    </row>
    <row r="557" spans="1:2" x14ac:dyDescent="0.25">
      <c r="A557" s="388"/>
      <c r="B557" s="388"/>
    </row>
    <row r="558" spans="1:2" x14ac:dyDescent="0.25">
      <c r="A558" s="388"/>
      <c r="B558" s="388"/>
    </row>
    <row r="559" spans="1:2" x14ac:dyDescent="0.25">
      <c r="A559" s="388"/>
      <c r="B559" s="388"/>
    </row>
    <row r="560" spans="1:2" x14ac:dyDescent="0.25">
      <c r="A560" s="388"/>
      <c r="B560" s="388"/>
    </row>
    <row r="561" spans="1:2" x14ac:dyDescent="0.25">
      <c r="A561" s="388"/>
      <c r="B561" s="388"/>
    </row>
    <row r="562" spans="1:2" x14ac:dyDescent="0.25">
      <c r="A562" s="388"/>
      <c r="B562" s="388"/>
    </row>
    <row r="563" spans="1:2" x14ac:dyDescent="0.25">
      <c r="A563" s="388"/>
      <c r="B563" s="388"/>
    </row>
    <row r="564" spans="1:2" x14ac:dyDescent="0.25">
      <c r="A564" s="388"/>
      <c r="B564" s="388"/>
    </row>
    <row r="565" spans="1:2" x14ac:dyDescent="0.25">
      <c r="A565" s="388"/>
      <c r="B565" s="388"/>
    </row>
    <row r="566" spans="1:2" x14ac:dyDescent="0.25">
      <c r="A566" s="388"/>
      <c r="B566" s="388"/>
    </row>
    <row r="567" spans="1:2" x14ac:dyDescent="0.25">
      <c r="A567" s="388"/>
      <c r="B567" s="388"/>
    </row>
    <row r="568" spans="1:2" x14ac:dyDescent="0.25">
      <c r="A568" s="388"/>
      <c r="B568" s="388"/>
    </row>
    <row r="569" spans="1:2" x14ac:dyDescent="0.25">
      <c r="A569" s="388"/>
      <c r="B569" s="388"/>
    </row>
    <row r="570" spans="1:2" x14ac:dyDescent="0.25">
      <c r="A570" s="388"/>
      <c r="B570" s="388"/>
    </row>
    <row r="571" spans="1:2" x14ac:dyDescent="0.25">
      <c r="A571" s="388"/>
      <c r="B571" s="388"/>
    </row>
    <row r="572" spans="1:2" x14ac:dyDescent="0.25">
      <c r="A572" s="388"/>
      <c r="B572" s="388"/>
    </row>
    <row r="573" spans="1:2" x14ac:dyDescent="0.25">
      <c r="A573" s="388"/>
      <c r="B573" s="388"/>
    </row>
    <row r="574" spans="1:2" x14ac:dyDescent="0.25">
      <c r="A574" s="388"/>
      <c r="B574" s="388"/>
    </row>
    <row r="575" spans="1:2" x14ac:dyDescent="0.25">
      <c r="A575" s="388"/>
      <c r="B575" s="388"/>
    </row>
    <row r="576" spans="1:2" x14ac:dyDescent="0.25">
      <c r="A576" s="388"/>
      <c r="B576" s="388"/>
    </row>
    <row r="577" spans="1:2" x14ac:dyDescent="0.25">
      <c r="A577" s="388"/>
      <c r="B577" s="388"/>
    </row>
    <row r="578" spans="1:2" x14ac:dyDescent="0.25">
      <c r="A578" s="388"/>
      <c r="B578" s="388"/>
    </row>
    <row r="579" spans="1:2" x14ac:dyDescent="0.25">
      <c r="A579" s="388"/>
      <c r="B579" s="388"/>
    </row>
    <row r="580" spans="1:2" x14ac:dyDescent="0.25">
      <c r="A580" s="388"/>
      <c r="B580" s="388"/>
    </row>
    <row r="581" spans="1:2" x14ac:dyDescent="0.25">
      <c r="A581" s="388"/>
      <c r="B581" s="388"/>
    </row>
    <row r="582" spans="1:2" x14ac:dyDescent="0.25">
      <c r="A582" s="388"/>
      <c r="B582" s="388"/>
    </row>
    <row r="583" spans="1:2" x14ac:dyDescent="0.25">
      <c r="A583" s="388"/>
      <c r="B583" s="388"/>
    </row>
    <row r="584" spans="1:2" x14ac:dyDescent="0.25">
      <c r="A584" s="388"/>
      <c r="B584" s="388"/>
    </row>
    <row r="585" spans="1:2" x14ac:dyDescent="0.25">
      <c r="A585" s="388"/>
      <c r="B585" s="388"/>
    </row>
    <row r="586" spans="1:2" x14ac:dyDescent="0.25">
      <c r="A586" s="388"/>
      <c r="B586" s="388"/>
    </row>
    <row r="587" spans="1:2" x14ac:dyDescent="0.25">
      <c r="A587" s="388"/>
      <c r="B587" s="388"/>
    </row>
    <row r="588" spans="1:2" x14ac:dyDescent="0.25">
      <c r="A588" s="388"/>
      <c r="B588" s="388"/>
    </row>
    <row r="589" spans="1:2" x14ac:dyDescent="0.25">
      <c r="A589" s="388"/>
      <c r="B589" s="388"/>
    </row>
    <row r="590" spans="1:2" x14ac:dyDescent="0.25">
      <c r="A590" s="388"/>
      <c r="B590" s="388"/>
    </row>
    <row r="591" spans="1:2" x14ac:dyDescent="0.25">
      <c r="A591" s="388"/>
      <c r="B591" s="388"/>
    </row>
    <row r="592" spans="1:2" x14ac:dyDescent="0.25">
      <c r="A592" s="388"/>
      <c r="B592" s="388"/>
    </row>
    <row r="593" spans="1:2" x14ac:dyDescent="0.25">
      <c r="A593" s="388"/>
      <c r="B593" s="388"/>
    </row>
    <row r="594" spans="1:2" x14ac:dyDescent="0.25">
      <c r="A594" s="388"/>
      <c r="B594" s="388"/>
    </row>
    <row r="595" spans="1:2" x14ac:dyDescent="0.25">
      <c r="A595" s="388"/>
      <c r="B595" s="388"/>
    </row>
    <row r="596" spans="1:2" x14ac:dyDescent="0.25">
      <c r="A596" s="388"/>
      <c r="B596" s="388"/>
    </row>
    <row r="597" spans="1:2" x14ac:dyDescent="0.25">
      <c r="A597" s="388"/>
      <c r="B597" s="388"/>
    </row>
    <row r="598" spans="1:2" x14ac:dyDescent="0.25">
      <c r="A598" s="388"/>
      <c r="B598" s="388"/>
    </row>
    <row r="599" spans="1:2" x14ac:dyDescent="0.25">
      <c r="A599" s="388"/>
      <c r="B599" s="388"/>
    </row>
    <row r="600" spans="1:2" x14ac:dyDescent="0.25">
      <c r="A600" s="388"/>
      <c r="B600" s="388"/>
    </row>
    <row r="601" spans="1:2" x14ac:dyDescent="0.25">
      <c r="A601" s="388"/>
      <c r="B601" s="388"/>
    </row>
    <row r="602" spans="1:2" x14ac:dyDescent="0.25">
      <c r="A602" s="388"/>
      <c r="B602" s="388"/>
    </row>
    <row r="603" spans="1:2" x14ac:dyDescent="0.25">
      <c r="A603" s="388"/>
      <c r="B603" s="388"/>
    </row>
    <row r="604" spans="1:2" x14ac:dyDescent="0.25">
      <c r="A604" s="388"/>
      <c r="B604" s="388"/>
    </row>
    <row r="605" spans="1:2" x14ac:dyDescent="0.25">
      <c r="A605" s="388"/>
      <c r="B605" s="388"/>
    </row>
    <row r="606" spans="1:2" x14ac:dyDescent="0.25">
      <c r="A606" s="388"/>
      <c r="B606" s="388"/>
    </row>
    <row r="607" spans="1:2" x14ac:dyDescent="0.25">
      <c r="A607" s="388"/>
      <c r="B607" s="388"/>
    </row>
    <row r="608" spans="1:2" x14ac:dyDescent="0.25">
      <c r="A608" s="388"/>
      <c r="B608" s="388"/>
    </row>
    <row r="609" spans="1:2" x14ac:dyDescent="0.25">
      <c r="A609" s="388"/>
      <c r="B609" s="388"/>
    </row>
    <row r="610" spans="1:2" x14ac:dyDescent="0.25">
      <c r="A610" s="388"/>
      <c r="B610" s="388"/>
    </row>
    <row r="611" spans="1:2" x14ac:dyDescent="0.25">
      <c r="A611" s="388"/>
      <c r="B611" s="388"/>
    </row>
    <row r="612" spans="1:2" x14ac:dyDescent="0.25">
      <c r="A612" s="388"/>
      <c r="B612" s="388"/>
    </row>
    <row r="613" spans="1:2" x14ac:dyDescent="0.25">
      <c r="A613" s="388"/>
      <c r="B613" s="388"/>
    </row>
    <row r="614" spans="1:2" x14ac:dyDescent="0.25">
      <c r="A614" s="388"/>
      <c r="B614" s="388"/>
    </row>
    <row r="615" spans="1:2" x14ac:dyDescent="0.25">
      <c r="A615" s="388"/>
      <c r="B615" s="388"/>
    </row>
    <row r="616" spans="1:2" x14ac:dyDescent="0.25">
      <c r="A616" s="388"/>
      <c r="B616" s="388"/>
    </row>
    <row r="617" spans="1:2" x14ac:dyDescent="0.25">
      <c r="A617" s="388"/>
      <c r="B617" s="388"/>
    </row>
    <row r="618" spans="1:2" x14ac:dyDescent="0.25">
      <c r="A618" s="388"/>
      <c r="B618" s="388"/>
    </row>
    <row r="619" spans="1:2" x14ac:dyDescent="0.25">
      <c r="A619" s="388"/>
      <c r="B619" s="388"/>
    </row>
    <row r="620" spans="1:2" x14ac:dyDescent="0.25">
      <c r="A620" s="388"/>
      <c r="B620" s="388"/>
    </row>
    <row r="621" spans="1:2" x14ac:dyDescent="0.25">
      <c r="A621" s="388"/>
      <c r="B621" s="388"/>
    </row>
    <row r="622" spans="1:2" x14ac:dyDescent="0.25">
      <c r="A622" s="388"/>
      <c r="B622" s="388"/>
    </row>
    <row r="623" spans="1:2" x14ac:dyDescent="0.25">
      <c r="A623" s="388"/>
      <c r="B623" s="388"/>
    </row>
    <row r="624" spans="1:2" x14ac:dyDescent="0.25">
      <c r="A624" s="388"/>
      <c r="B624" s="388"/>
    </row>
    <row r="625" spans="1:2" x14ac:dyDescent="0.25">
      <c r="A625" s="388"/>
      <c r="B625" s="388"/>
    </row>
    <row r="626" spans="1:2" x14ac:dyDescent="0.25">
      <c r="A626" s="388"/>
      <c r="B626" s="388"/>
    </row>
    <row r="627" spans="1:2" x14ac:dyDescent="0.25">
      <c r="A627" s="388"/>
      <c r="B627" s="388"/>
    </row>
    <row r="628" spans="1:2" x14ac:dyDescent="0.25">
      <c r="A628" s="388"/>
      <c r="B628" s="388"/>
    </row>
    <row r="629" spans="1:2" x14ac:dyDescent="0.25">
      <c r="A629" s="388"/>
      <c r="B629" s="388"/>
    </row>
    <row r="630" spans="1:2" x14ac:dyDescent="0.25">
      <c r="A630" s="388"/>
      <c r="B630" s="388"/>
    </row>
    <row r="631" spans="1:2" x14ac:dyDescent="0.25">
      <c r="A631" s="388"/>
      <c r="B631" s="388"/>
    </row>
    <row r="632" spans="1:2" x14ac:dyDescent="0.25">
      <c r="A632" s="388"/>
      <c r="B632" s="388"/>
    </row>
    <row r="633" spans="1:2" x14ac:dyDescent="0.25">
      <c r="A633" s="388"/>
      <c r="B633" s="388"/>
    </row>
    <row r="634" spans="1:2" x14ac:dyDescent="0.25">
      <c r="A634" s="388"/>
      <c r="B634" s="388"/>
    </row>
    <row r="635" spans="1:2" x14ac:dyDescent="0.25">
      <c r="A635" s="388"/>
      <c r="B635" s="388"/>
    </row>
    <row r="636" spans="1:2" x14ac:dyDescent="0.25">
      <c r="A636" s="388"/>
      <c r="B636" s="388"/>
    </row>
    <row r="637" spans="1:2" x14ac:dyDescent="0.25">
      <c r="A637" s="388"/>
      <c r="B637" s="388"/>
    </row>
    <row r="638" spans="1:2" x14ac:dyDescent="0.25">
      <c r="A638" s="388"/>
      <c r="B638" s="388"/>
    </row>
    <row r="639" spans="1:2" x14ac:dyDescent="0.25">
      <c r="A639" s="388"/>
      <c r="B639" s="388"/>
    </row>
    <row r="640" spans="1:2" x14ac:dyDescent="0.25">
      <c r="A640" s="388"/>
      <c r="B640" s="388"/>
    </row>
    <row r="641" spans="1:2" x14ac:dyDescent="0.25">
      <c r="A641" s="388"/>
      <c r="B641" s="388"/>
    </row>
    <row r="642" spans="1:2" x14ac:dyDescent="0.25">
      <c r="A642" s="388"/>
      <c r="B642" s="388"/>
    </row>
    <row r="643" spans="1:2" x14ac:dyDescent="0.25">
      <c r="A643" s="388"/>
      <c r="B643" s="388"/>
    </row>
    <row r="644" spans="1:2" x14ac:dyDescent="0.25">
      <c r="A644" s="388"/>
      <c r="B644" s="388"/>
    </row>
    <row r="645" spans="1:2" x14ac:dyDescent="0.25">
      <c r="A645" s="388"/>
      <c r="B645" s="388"/>
    </row>
    <row r="646" spans="1:2" x14ac:dyDescent="0.25">
      <c r="A646" s="388"/>
      <c r="B646" s="388"/>
    </row>
    <row r="647" spans="1:2" x14ac:dyDescent="0.25">
      <c r="A647" s="388"/>
      <c r="B647" s="388"/>
    </row>
    <row r="648" spans="1:2" x14ac:dyDescent="0.25">
      <c r="A648" s="388"/>
      <c r="B648" s="388"/>
    </row>
    <row r="649" spans="1:2" x14ac:dyDescent="0.25">
      <c r="A649" s="388"/>
      <c r="B649" s="388"/>
    </row>
    <row r="650" spans="1:2" x14ac:dyDescent="0.25">
      <c r="A650" s="388"/>
      <c r="B650" s="388"/>
    </row>
    <row r="651" spans="1:2" x14ac:dyDescent="0.25">
      <c r="A651" s="388"/>
      <c r="B651" s="388"/>
    </row>
    <row r="652" spans="1:2" x14ac:dyDescent="0.25">
      <c r="A652" s="388"/>
      <c r="B652" s="388"/>
    </row>
    <row r="653" spans="1:2" x14ac:dyDescent="0.25">
      <c r="A653" s="388"/>
      <c r="B653" s="388"/>
    </row>
    <row r="654" spans="1:2" x14ac:dyDescent="0.25">
      <c r="A654" s="388"/>
      <c r="B654" s="388"/>
    </row>
    <row r="655" spans="1:2" x14ac:dyDescent="0.25">
      <c r="A655" s="388"/>
      <c r="B655" s="388"/>
    </row>
    <row r="656" spans="1:2" x14ac:dyDescent="0.25">
      <c r="A656" s="388"/>
      <c r="B656" s="388"/>
    </row>
    <row r="657" spans="1:2" x14ac:dyDescent="0.25">
      <c r="A657" s="388"/>
      <c r="B657" s="388"/>
    </row>
    <row r="658" spans="1:2" x14ac:dyDescent="0.25">
      <c r="A658" s="388"/>
      <c r="B658" s="388"/>
    </row>
    <row r="659" spans="1:2" x14ac:dyDescent="0.25">
      <c r="A659" s="388"/>
      <c r="B659" s="388"/>
    </row>
    <row r="660" spans="1:2" x14ac:dyDescent="0.25">
      <c r="A660" s="388"/>
      <c r="B660" s="388"/>
    </row>
    <row r="661" spans="1:2" x14ac:dyDescent="0.25">
      <c r="A661" s="388"/>
      <c r="B661" s="388"/>
    </row>
    <row r="662" spans="1:2" x14ac:dyDescent="0.25">
      <c r="A662" s="388"/>
      <c r="B662" s="388"/>
    </row>
    <row r="663" spans="1:2" x14ac:dyDescent="0.25">
      <c r="A663" s="388"/>
      <c r="B663" s="388"/>
    </row>
    <row r="664" spans="1:2" x14ac:dyDescent="0.25">
      <c r="A664" s="388"/>
      <c r="B664" s="388"/>
    </row>
    <row r="665" spans="1:2" x14ac:dyDescent="0.25">
      <c r="A665" s="388"/>
      <c r="B665" s="388"/>
    </row>
    <row r="666" spans="1:2" x14ac:dyDescent="0.25">
      <c r="A666" s="388"/>
      <c r="B666" s="388"/>
    </row>
    <row r="667" spans="1:2" x14ac:dyDescent="0.25">
      <c r="A667" s="388"/>
      <c r="B667" s="388"/>
    </row>
    <row r="668" spans="1:2" x14ac:dyDescent="0.25">
      <c r="A668" s="388"/>
      <c r="B668" s="388"/>
    </row>
    <row r="669" spans="1:2" x14ac:dyDescent="0.25">
      <c r="A669" s="388"/>
      <c r="B669" s="388"/>
    </row>
    <row r="670" spans="1:2" x14ac:dyDescent="0.25">
      <c r="A670" s="388"/>
      <c r="B670" s="388"/>
    </row>
    <row r="671" spans="1:2" x14ac:dyDescent="0.25">
      <c r="A671" s="388"/>
      <c r="B671" s="388"/>
    </row>
    <row r="672" spans="1:2" x14ac:dyDescent="0.25">
      <c r="A672" s="388"/>
      <c r="B672" s="388"/>
    </row>
    <row r="673" spans="1:2" x14ac:dyDescent="0.25">
      <c r="A673" s="388"/>
      <c r="B673" s="388"/>
    </row>
    <row r="674" spans="1:2" x14ac:dyDescent="0.25">
      <c r="A674" s="388"/>
      <c r="B674" s="388"/>
    </row>
    <row r="675" spans="1:2" x14ac:dyDescent="0.25">
      <c r="A675" s="388"/>
      <c r="B675" s="388"/>
    </row>
    <row r="676" spans="1:2" x14ac:dyDescent="0.25">
      <c r="A676" s="388"/>
      <c r="B676" s="388"/>
    </row>
    <row r="677" spans="1:2" x14ac:dyDescent="0.25">
      <c r="A677" s="388"/>
      <c r="B677" s="388"/>
    </row>
    <row r="678" spans="1:2" x14ac:dyDescent="0.25">
      <c r="A678" s="388"/>
      <c r="B678" s="388"/>
    </row>
    <row r="679" spans="1:2" x14ac:dyDescent="0.25">
      <c r="A679" s="388"/>
      <c r="B679" s="388"/>
    </row>
    <row r="680" spans="1:2" x14ac:dyDescent="0.25">
      <c r="A680" s="388"/>
      <c r="B680" s="388"/>
    </row>
    <row r="681" spans="1:2" x14ac:dyDescent="0.25">
      <c r="A681" s="388"/>
      <c r="B681" s="388"/>
    </row>
    <row r="682" spans="1:2" x14ac:dyDescent="0.25">
      <c r="A682" s="388"/>
      <c r="B682" s="388"/>
    </row>
    <row r="683" spans="1:2" x14ac:dyDescent="0.25">
      <c r="A683" s="388"/>
      <c r="B683" s="388"/>
    </row>
    <row r="684" spans="1:2" x14ac:dyDescent="0.25">
      <c r="A684" s="388"/>
      <c r="B684" s="388"/>
    </row>
    <row r="685" spans="1:2" x14ac:dyDescent="0.25">
      <c r="A685" s="388"/>
      <c r="B685" s="388"/>
    </row>
    <row r="686" spans="1:2" x14ac:dyDescent="0.25">
      <c r="A686" s="388"/>
      <c r="B686" s="388"/>
    </row>
    <row r="687" spans="1:2" x14ac:dyDescent="0.25">
      <c r="A687" s="388"/>
      <c r="B687" s="388"/>
    </row>
    <row r="688" spans="1:2" x14ac:dyDescent="0.25">
      <c r="A688" s="388"/>
      <c r="B688" s="388"/>
    </row>
    <row r="689" spans="1:2" x14ac:dyDescent="0.25">
      <c r="A689" s="388"/>
      <c r="B689" s="388"/>
    </row>
    <row r="690" spans="1:2" x14ac:dyDescent="0.25">
      <c r="A690" s="388"/>
      <c r="B690" s="388"/>
    </row>
    <row r="691" spans="1:2" x14ac:dyDescent="0.25">
      <c r="A691" s="388"/>
      <c r="B691" s="388"/>
    </row>
    <row r="692" spans="1:2" x14ac:dyDescent="0.25">
      <c r="A692" s="388"/>
      <c r="B692" s="388"/>
    </row>
    <row r="693" spans="1:2" x14ac:dyDescent="0.25">
      <c r="A693" s="388"/>
      <c r="B693" s="388"/>
    </row>
    <row r="694" spans="1:2" x14ac:dyDescent="0.25">
      <c r="A694" s="388"/>
      <c r="B694" s="388"/>
    </row>
    <row r="695" spans="1:2" x14ac:dyDescent="0.25">
      <c r="A695" s="388"/>
      <c r="B695" s="388"/>
    </row>
    <row r="696" spans="1:2" x14ac:dyDescent="0.25">
      <c r="A696" s="388"/>
      <c r="B696" s="388"/>
    </row>
    <row r="697" spans="1:2" x14ac:dyDescent="0.25">
      <c r="A697" s="388"/>
      <c r="B697" s="388"/>
    </row>
    <row r="698" spans="1:2" x14ac:dyDescent="0.25">
      <c r="A698" s="388"/>
      <c r="B698" s="388"/>
    </row>
    <row r="699" spans="1:2" x14ac:dyDescent="0.25">
      <c r="A699" s="388"/>
      <c r="B699" s="388"/>
    </row>
    <row r="700" spans="1:2" x14ac:dyDescent="0.25">
      <c r="A700" s="388"/>
      <c r="B700" s="388"/>
    </row>
    <row r="701" spans="1:2" x14ac:dyDescent="0.25">
      <c r="A701" s="388"/>
      <c r="B701" s="388"/>
    </row>
    <row r="702" spans="1:2" x14ac:dyDescent="0.25">
      <c r="A702" s="388"/>
      <c r="B702" s="388"/>
    </row>
    <row r="703" spans="1:2" x14ac:dyDescent="0.25">
      <c r="A703" s="388"/>
      <c r="B703" s="388"/>
    </row>
    <row r="704" spans="1:2" x14ac:dyDescent="0.25">
      <c r="A704" s="388"/>
      <c r="B704" s="388"/>
    </row>
    <row r="705" spans="1:2" x14ac:dyDescent="0.25">
      <c r="A705" s="388"/>
      <c r="B705" s="388"/>
    </row>
    <row r="706" spans="1:2" x14ac:dyDescent="0.25">
      <c r="A706" s="388"/>
      <c r="B706" s="388"/>
    </row>
    <row r="707" spans="1:2" x14ac:dyDescent="0.25">
      <c r="A707" s="388"/>
      <c r="B707" s="388"/>
    </row>
    <row r="708" spans="1:2" x14ac:dyDescent="0.25">
      <c r="A708" s="388"/>
      <c r="B708" s="388"/>
    </row>
    <row r="709" spans="1:2" x14ac:dyDescent="0.25">
      <c r="A709" s="388"/>
      <c r="B709" s="388"/>
    </row>
    <row r="710" spans="1:2" x14ac:dyDescent="0.25">
      <c r="A710" s="388"/>
      <c r="B710" s="388"/>
    </row>
    <row r="711" spans="1:2" x14ac:dyDescent="0.25">
      <c r="A711" s="388"/>
      <c r="B711" s="388"/>
    </row>
    <row r="712" spans="1:2" x14ac:dyDescent="0.25">
      <c r="A712" s="388"/>
      <c r="B712" s="388"/>
    </row>
    <row r="713" spans="1:2" x14ac:dyDescent="0.25">
      <c r="A713" s="388"/>
      <c r="B713" s="388"/>
    </row>
    <row r="714" spans="1:2" x14ac:dyDescent="0.25">
      <c r="A714" s="388"/>
      <c r="B714" s="388"/>
    </row>
    <row r="715" spans="1:2" x14ac:dyDescent="0.25">
      <c r="A715" s="388"/>
      <c r="B715" s="388"/>
    </row>
    <row r="716" spans="1:2" x14ac:dyDescent="0.25">
      <c r="A716" s="388"/>
      <c r="B716" s="388"/>
    </row>
    <row r="717" spans="1:2" x14ac:dyDescent="0.25">
      <c r="A717" s="388"/>
      <c r="B717" s="388"/>
    </row>
    <row r="718" spans="1:2" x14ac:dyDescent="0.25">
      <c r="A718" s="388"/>
      <c r="B718" s="388"/>
    </row>
    <row r="719" spans="1:2" x14ac:dyDescent="0.25">
      <c r="A719" s="388"/>
      <c r="B719" s="388"/>
    </row>
    <row r="720" spans="1:2" x14ac:dyDescent="0.25">
      <c r="A720" s="388"/>
      <c r="B720" s="388"/>
    </row>
    <row r="721" spans="1:2" x14ac:dyDescent="0.25">
      <c r="A721" s="388"/>
      <c r="B721" s="388"/>
    </row>
    <row r="722" spans="1:2" x14ac:dyDescent="0.25">
      <c r="A722" s="388"/>
      <c r="B722" s="388"/>
    </row>
    <row r="723" spans="1:2" x14ac:dyDescent="0.25">
      <c r="A723" s="388"/>
      <c r="B723" s="388"/>
    </row>
    <row r="724" spans="1:2" x14ac:dyDescent="0.25">
      <c r="A724" s="388"/>
      <c r="B724" s="388"/>
    </row>
    <row r="725" spans="1:2" x14ac:dyDescent="0.25">
      <c r="A725" s="388"/>
      <c r="B725" s="388"/>
    </row>
    <row r="726" spans="1:2" x14ac:dyDescent="0.25">
      <c r="A726" s="388"/>
      <c r="B726" s="388"/>
    </row>
    <row r="727" spans="1:2" x14ac:dyDescent="0.25">
      <c r="A727" s="388"/>
      <c r="B727" s="388"/>
    </row>
    <row r="728" spans="1:2" x14ac:dyDescent="0.25">
      <c r="A728" s="388"/>
      <c r="B728" s="388"/>
    </row>
    <row r="729" spans="1:2" x14ac:dyDescent="0.25">
      <c r="A729" s="388"/>
      <c r="B729" s="388"/>
    </row>
    <row r="730" spans="1:2" x14ac:dyDescent="0.25">
      <c r="A730" s="388"/>
      <c r="B730" s="388"/>
    </row>
    <row r="731" spans="1:2" x14ac:dyDescent="0.25">
      <c r="A731" s="388"/>
      <c r="B731" s="388"/>
    </row>
    <row r="732" spans="1:2" x14ac:dyDescent="0.25">
      <c r="A732" s="388"/>
      <c r="B732" s="388"/>
    </row>
    <row r="733" spans="1:2" x14ac:dyDescent="0.25">
      <c r="A733" s="388"/>
      <c r="B733" s="388"/>
    </row>
    <row r="734" spans="1:2" x14ac:dyDescent="0.25">
      <c r="A734" s="388"/>
      <c r="B734" s="388"/>
    </row>
    <row r="735" spans="1:2" x14ac:dyDescent="0.25">
      <c r="A735" s="388"/>
      <c r="B735" s="388"/>
    </row>
    <row r="736" spans="1:2" x14ac:dyDescent="0.25">
      <c r="A736" s="388"/>
      <c r="B736" s="388"/>
    </row>
    <row r="737" spans="1:2" x14ac:dyDescent="0.25">
      <c r="A737" s="388"/>
      <c r="B737" s="388"/>
    </row>
    <row r="738" spans="1:2" x14ac:dyDescent="0.25">
      <c r="A738" s="388"/>
      <c r="B738" s="388"/>
    </row>
    <row r="739" spans="1:2" x14ac:dyDescent="0.25">
      <c r="A739" s="388"/>
      <c r="B739" s="388"/>
    </row>
    <row r="740" spans="1:2" x14ac:dyDescent="0.25">
      <c r="A740" s="388"/>
      <c r="B740" s="388"/>
    </row>
    <row r="741" spans="1:2" x14ac:dyDescent="0.25">
      <c r="A741" s="388"/>
      <c r="B741" s="388"/>
    </row>
    <row r="742" spans="1:2" x14ac:dyDescent="0.25">
      <c r="A742" s="388"/>
      <c r="B742" s="388"/>
    </row>
    <row r="743" spans="1:2" x14ac:dyDescent="0.25">
      <c r="A743" s="388"/>
      <c r="B743" s="388"/>
    </row>
    <row r="744" spans="1:2" x14ac:dyDescent="0.25">
      <c r="A744" s="388"/>
      <c r="B744" s="388"/>
    </row>
    <row r="745" spans="1:2" x14ac:dyDescent="0.25">
      <c r="A745" s="388"/>
      <c r="B745" s="388"/>
    </row>
    <row r="746" spans="1:2" x14ac:dyDescent="0.25">
      <c r="A746" s="388"/>
      <c r="B746" s="388"/>
    </row>
    <row r="747" spans="1:2" x14ac:dyDescent="0.25">
      <c r="A747" s="388"/>
      <c r="B747" s="388"/>
    </row>
    <row r="748" spans="1:2" x14ac:dyDescent="0.25">
      <c r="A748" s="388"/>
      <c r="B748" s="388"/>
    </row>
    <row r="749" spans="1:2" x14ac:dyDescent="0.25">
      <c r="A749" s="388"/>
      <c r="B749" s="388"/>
    </row>
    <row r="750" spans="1:2" x14ac:dyDescent="0.25">
      <c r="A750" s="388"/>
      <c r="B750" s="388"/>
    </row>
    <row r="751" spans="1:2" x14ac:dyDescent="0.25">
      <c r="A751" s="388"/>
      <c r="B751" s="388"/>
    </row>
    <row r="752" spans="1:2" x14ac:dyDescent="0.25">
      <c r="A752" s="388"/>
      <c r="B752" s="388"/>
    </row>
    <row r="753" spans="1:2" x14ac:dyDescent="0.25">
      <c r="A753" s="388"/>
      <c r="B753" s="388"/>
    </row>
    <row r="754" spans="1:2" x14ac:dyDescent="0.25">
      <c r="A754" s="388"/>
      <c r="B754" s="388"/>
    </row>
    <row r="755" spans="1:2" x14ac:dyDescent="0.25">
      <c r="A755" s="388"/>
      <c r="B755" s="388"/>
    </row>
    <row r="756" spans="1:2" x14ac:dyDescent="0.25">
      <c r="A756" s="388"/>
      <c r="B756" s="388"/>
    </row>
    <row r="757" spans="1:2" x14ac:dyDescent="0.25">
      <c r="A757" s="388"/>
      <c r="B757" s="388"/>
    </row>
    <row r="758" spans="1:2" x14ac:dyDescent="0.25">
      <c r="A758" s="388"/>
      <c r="B758" s="388"/>
    </row>
    <row r="759" spans="1:2" x14ac:dyDescent="0.25">
      <c r="A759" s="388"/>
      <c r="B759" s="388"/>
    </row>
    <row r="760" spans="1:2" x14ac:dyDescent="0.25">
      <c r="A760" s="388"/>
      <c r="B760" s="388"/>
    </row>
    <row r="761" spans="1:2" x14ac:dyDescent="0.25">
      <c r="A761" s="388"/>
      <c r="B761" s="388"/>
    </row>
    <row r="762" spans="1:2" x14ac:dyDescent="0.25">
      <c r="A762" s="388"/>
      <c r="B762" s="388"/>
    </row>
    <row r="763" spans="1:2" x14ac:dyDescent="0.25">
      <c r="A763" s="388"/>
      <c r="B763" s="388"/>
    </row>
    <row r="764" spans="1:2" x14ac:dyDescent="0.25">
      <c r="A764" s="388"/>
      <c r="B764" s="388"/>
    </row>
    <row r="765" spans="1:2" x14ac:dyDescent="0.25">
      <c r="A765" s="388"/>
      <c r="B765" s="388"/>
    </row>
    <row r="766" spans="1:2" x14ac:dyDescent="0.25">
      <c r="A766" s="388"/>
      <c r="B766" s="388"/>
    </row>
    <row r="767" spans="1:2" x14ac:dyDescent="0.25">
      <c r="A767" s="388"/>
      <c r="B767" s="388"/>
    </row>
    <row r="768" spans="1:2" x14ac:dyDescent="0.25">
      <c r="A768" s="388"/>
      <c r="B768" s="388"/>
    </row>
    <row r="769" spans="1:2" x14ac:dyDescent="0.25">
      <c r="A769" s="388"/>
      <c r="B769" s="388"/>
    </row>
    <row r="770" spans="1:2" x14ac:dyDescent="0.25">
      <c r="A770" s="388"/>
      <c r="B770" s="388"/>
    </row>
    <row r="771" spans="1:2" x14ac:dyDescent="0.25">
      <c r="A771" s="388"/>
      <c r="B771" s="388"/>
    </row>
    <row r="772" spans="1:2" x14ac:dyDescent="0.25">
      <c r="A772" s="388"/>
      <c r="B772" s="388"/>
    </row>
    <row r="773" spans="1:2" x14ac:dyDescent="0.25">
      <c r="A773" s="388"/>
      <c r="B773" s="388"/>
    </row>
    <row r="774" spans="1:2" x14ac:dyDescent="0.25">
      <c r="A774" s="388"/>
      <c r="B774" s="388"/>
    </row>
    <row r="775" spans="1:2" x14ac:dyDescent="0.25">
      <c r="A775" s="388"/>
      <c r="B775" s="388"/>
    </row>
    <row r="776" spans="1:2" x14ac:dyDescent="0.25">
      <c r="A776" s="388"/>
      <c r="B776" s="388"/>
    </row>
    <row r="777" spans="1:2" x14ac:dyDescent="0.25">
      <c r="A777" s="388"/>
      <c r="B777" s="388"/>
    </row>
    <row r="778" spans="1:2" x14ac:dyDescent="0.25">
      <c r="A778" s="388"/>
      <c r="B778" s="388"/>
    </row>
    <row r="779" spans="1:2" x14ac:dyDescent="0.25">
      <c r="A779" s="388"/>
      <c r="B779" s="388"/>
    </row>
    <row r="780" spans="1:2" x14ac:dyDescent="0.25">
      <c r="A780" s="388"/>
      <c r="B780" s="388"/>
    </row>
    <row r="781" spans="1:2" x14ac:dyDescent="0.25">
      <c r="A781" s="388"/>
      <c r="B781" s="388"/>
    </row>
    <row r="782" spans="1:2" x14ac:dyDescent="0.25">
      <c r="A782" s="388"/>
      <c r="B782" s="388"/>
    </row>
    <row r="783" spans="1:2" x14ac:dyDescent="0.25">
      <c r="A783" s="388"/>
      <c r="B783" s="388"/>
    </row>
    <row r="784" spans="1:2" x14ac:dyDescent="0.25">
      <c r="A784" s="388"/>
      <c r="B784" s="388"/>
    </row>
    <row r="785" spans="1:2" x14ac:dyDescent="0.25">
      <c r="A785" s="388"/>
      <c r="B785" s="388"/>
    </row>
    <row r="786" spans="1:2" x14ac:dyDescent="0.25">
      <c r="A786" s="388"/>
      <c r="B786" s="388"/>
    </row>
    <row r="787" spans="1:2" x14ac:dyDescent="0.25">
      <c r="A787" s="388"/>
      <c r="B787" s="388"/>
    </row>
    <row r="788" spans="1:2" x14ac:dyDescent="0.25">
      <c r="A788" s="388"/>
      <c r="B788" s="388"/>
    </row>
    <row r="789" spans="1:2" x14ac:dyDescent="0.25">
      <c r="A789" s="388"/>
      <c r="B789" s="388"/>
    </row>
    <row r="790" spans="1:2" x14ac:dyDescent="0.25">
      <c r="A790" s="388"/>
      <c r="B790" s="388"/>
    </row>
    <row r="791" spans="1:2" x14ac:dyDescent="0.25">
      <c r="A791" s="388"/>
      <c r="B791" s="388"/>
    </row>
    <row r="792" spans="1:2" x14ac:dyDescent="0.25">
      <c r="A792" s="388"/>
      <c r="B792" s="388"/>
    </row>
    <row r="793" spans="1:2" x14ac:dyDescent="0.25">
      <c r="A793" s="388"/>
      <c r="B793" s="388"/>
    </row>
    <row r="794" spans="1:2" x14ac:dyDescent="0.25">
      <c r="A794" s="388"/>
      <c r="B794" s="388"/>
    </row>
    <row r="795" spans="1:2" x14ac:dyDescent="0.25">
      <c r="A795" s="388"/>
      <c r="B795" s="388"/>
    </row>
    <row r="796" spans="1:2" x14ac:dyDescent="0.25">
      <c r="A796" s="388"/>
      <c r="B796" s="388"/>
    </row>
    <row r="797" spans="1:2" x14ac:dyDescent="0.25">
      <c r="A797" s="388"/>
      <c r="B797" s="388"/>
    </row>
    <row r="798" spans="1:2" x14ac:dyDescent="0.25">
      <c r="A798" s="388"/>
      <c r="B798" s="388"/>
    </row>
    <row r="799" spans="1:2" x14ac:dyDescent="0.25">
      <c r="A799" s="388"/>
      <c r="B799" s="388"/>
    </row>
    <row r="800" spans="1:2" x14ac:dyDescent="0.25">
      <c r="A800" s="388"/>
      <c r="B800" s="388"/>
    </row>
    <row r="801" spans="1:2" x14ac:dyDescent="0.25">
      <c r="A801" s="388"/>
      <c r="B801" s="388"/>
    </row>
    <row r="802" spans="1:2" x14ac:dyDescent="0.25">
      <c r="A802" s="388"/>
      <c r="B802" s="388"/>
    </row>
    <row r="803" spans="1:2" x14ac:dyDescent="0.25">
      <c r="A803" s="388"/>
      <c r="B803" s="388"/>
    </row>
    <row r="804" spans="1:2" x14ac:dyDescent="0.25">
      <c r="A804" s="388"/>
      <c r="B804" s="388"/>
    </row>
    <row r="805" spans="1:2" x14ac:dyDescent="0.25">
      <c r="A805" s="388"/>
      <c r="B805" s="388"/>
    </row>
    <row r="806" spans="1:2" x14ac:dyDescent="0.25">
      <c r="A806" s="388"/>
      <c r="B806" s="388"/>
    </row>
    <row r="807" spans="1:2" x14ac:dyDescent="0.25">
      <c r="A807" s="388"/>
      <c r="B807" s="388"/>
    </row>
    <row r="808" spans="1:2" x14ac:dyDescent="0.25">
      <c r="A808" s="388"/>
      <c r="B808" s="388"/>
    </row>
    <row r="809" spans="1:2" x14ac:dyDescent="0.25">
      <c r="A809" s="388"/>
      <c r="B809" s="388"/>
    </row>
    <row r="810" spans="1:2" x14ac:dyDescent="0.25">
      <c r="A810" s="388"/>
      <c r="B810" s="388"/>
    </row>
    <row r="811" spans="1:2" x14ac:dyDescent="0.25">
      <c r="A811" s="388"/>
      <c r="B811" s="388"/>
    </row>
    <row r="812" spans="1:2" x14ac:dyDescent="0.25">
      <c r="A812" s="388"/>
      <c r="B812" s="388"/>
    </row>
    <row r="813" spans="1:2" x14ac:dyDescent="0.25">
      <c r="A813" s="388"/>
      <c r="B813" s="388"/>
    </row>
    <row r="814" spans="1:2" x14ac:dyDescent="0.25">
      <c r="A814" s="388"/>
      <c r="B814" s="388"/>
    </row>
    <row r="815" spans="1:2" x14ac:dyDescent="0.25">
      <c r="A815" s="388"/>
      <c r="B815" s="388"/>
    </row>
    <row r="816" spans="1:2" x14ac:dyDescent="0.25">
      <c r="A816" s="388"/>
      <c r="B816" s="388"/>
    </row>
    <row r="817" spans="1:2" x14ac:dyDescent="0.25">
      <c r="A817" s="388"/>
      <c r="B817" s="388"/>
    </row>
    <row r="818" spans="1:2" x14ac:dyDescent="0.25">
      <c r="A818" s="388"/>
      <c r="B818" s="388"/>
    </row>
    <row r="819" spans="1:2" x14ac:dyDescent="0.25">
      <c r="A819" s="388"/>
      <c r="B819" s="388"/>
    </row>
    <row r="820" spans="1:2" x14ac:dyDescent="0.25">
      <c r="A820" s="388"/>
      <c r="B820" s="388"/>
    </row>
    <row r="821" spans="1:2" x14ac:dyDescent="0.25">
      <c r="A821" s="388"/>
      <c r="B821" s="388"/>
    </row>
    <row r="822" spans="1:2" x14ac:dyDescent="0.25">
      <c r="A822" s="388"/>
      <c r="B822" s="388"/>
    </row>
    <row r="823" spans="1:2" x14ac:dyDescent="0.25">
      <c r="A823" s="388"/>
      <c r="B823" s="388"/>
    </row>
    <row r="824" spans="1:2" x14ac:dyDescent="0.25">
      <c r="A824" s="388"/>
      <c r="B824" s="388"/>
    </row>
    <row r="825" spans="1:2" x14ac:dyDescent="0.25">
      <c r="A825" s="388"/>
      <c r="B825" s="388"/>
    </row>
    <row r="826" spans="1:2" x14ac:dyDescent="0.25">
      <c r="A826" s="388"/>
      <c r="B826" s="388"/>
    </row>
    <row r="827" spans="1:2" x14ac:dyDescent="0.25">
      <c r="A827" s="388"/>
      <c r="B827" s="388"/>
    </row>
    <row r="828" spans="1:2" x14ac:dyDescent="0.25">
      <c r="A828" s="388"/>
      <c r="B828" s="388"/>
    </row>
    <row r="829" spans="1:2" x14ac:dyDescent="0.25">
      <c r="A829" s="388"/>
      <c r="B829" s="388"/>
    </row>
    <row r="830" spans="1:2" x14ac:dyDescent="0.25">
      <c r="A830" s="388"/>
      <c r="B830" s="388"/>
    </row>
    <row r="831" spans="1:2" x14ac:dyDescent="0.25">
      <c r="A831" s="388"/>
      <c r="B831" s="388"/>
    </row>
    <row r="832" spans="1:2" x14ac:dyDescent="0.25">
      <c r="A832" s="388"/>
      <c r="B832" s="388"/>
    </row>
    <row r="833" spans="1:2" x14ac:dyDescent="0.25">
      <c r="A833" s="388"/>
      <c r="B833" s="388"/>
    </row>
    <row r="834" spans="1:2" x14ac:dyDescent="0.25">
      <c r="A834" s="388"/>
      <c r="B834" s="388"/>
    </row>
    <row r="835" spans="1:2" x14ac:dyDescent="0.25">
      <c r="A835" s="388"/>
      <c r="B835" s="388"/>
    </row>
    <row r="836" spans="1:2" x14ac:dyDescent="0.25">
      <c r="A836" s="388"/>
      <c r="B836" s="388"/>
    </row>
    <row r="837" spans="1:2" x14ac:dyDescent="0.25">
      <c r="A837" s="388"/>
      <c r="B837" s="388"/>
    </row>
    <row r="838" spans="1:2" x14ac:dyDescent="0.25">
      <c r="A838" s="388"/>
      <c r="B838" s="388"/>
    </row>
    <row r="839" spans="1:2" x14ac:dyDescent="0.25">
      <c r="A839" s="388"/>
      <c r="B839" s="388"/>
    </row>
    <row r="840" spans="1:2" x14ac:dyDescent="0.25">
      <c r="A840" s="388"/>
      <c r="B840" s="388"/>
    </row>
    <row r="841" spans="1:2" x14ac:dyDescent="0.25">
      <c r="A841" s="388"/>
      <c r="B841" s="388"/>
    </row>
    <row r="842" spans="1:2" x14ac:dyDescent="0.25">
      <c r="A842" s="388"/>
      <c r="B842" s="388"/>
    </row>
    <row r="843" spans="1:2" x14ac:dyDescent="0.25">
      <c r="A843" s="388"/>
      <c r="B843" s="388"/>
    </row>
    <row r="844" spans="1:2" x14ac:dyDescent="0.25">
      <c r="A844" s="388"/>
      <c r="B844" s="388"/>
    </row>
    <row r="845" spans="1:2" x14ac:dyDescent="0.25">
      <c r="A845" s="388"/>
      <c r="B845" s="388"/>
    </row>
    <row r="846" spans="1:2" x14ac:dyDescent="0.25">
      <c r="A846" s="388"/>
      <c r="B846" s="388"/>
    </row>
    <row r="847" spans="1:2" x14ac:dyDescent="0.25">
      <c r="A847" s="388"/>
      <c r="B847" s="388"/>
    </row>
    <row r="848" spans="1:2" x14ac:dyDescent="0.25">
      <c r="A848" s="388"/>
      <c r="B848" s="388"/>
    </row>
    <row r="849" spans="1:2" x14ac:dyDescent="0.25">
      <c r="A849" s="388"/>
      <c r="B849" s="388"/>
    </row>
    <row r="850" spans="1:2" x14ac:dyDescent="0.25">
      <c r="A850" s="388"/>
      <c r="B850" s="388"/>
    </row>
    <row r="851" spans="1:2" x14ac:dyDescent="0.25">
      <c r="A851" s="388"/>
      <c r="B851" s="388"/>
    </row>
    <row r="852" spans="1:2" x14ac:dyDescent="0.25">
      <c r="A852" s="388"/>
      <c r="B852" s="388"/>
    </row>
    <row r="853" spans="1:2" x14ac:dyDescent="0.25">
      <c r="A853" s="388"/>
      <c r="B853" s="388"/>
    </row>
    <row r="854" spans="1:2" x14ac:dyDescent="0.25">
      <c r="A854" s="388"/>
      <c r="B854" s="388"/>
    </row>
    <row r="855" spans="1:2" x14ac:dyDescent="0.25">
      <c r="A855" s="388"/>
      <c r="B855" s="388"/>
    </row>
    <row r="856" spans="1:2" x14ac:dyDescent="0.25">
      <c r="A856" s="388"/>
      <c r="B856" s="388"/>
    </row>
    <row r="857" spans="1:2" x14ac:dyDescent="0.25">
      <c r="A857" s="388"/>
      <c r="B857" s="388"/>
    </row>
    <row r="858" spans="1:2" x14ac:dyDescent="0.25">
      <c r="A858" s="388"/>
      <c r="B858" s="388"/>
    </row>
    <row r="859" spans="1:2" x14ac:dyDescent="0.25">
      <c r="A859" s="388"/>
      <c r="B859" s="388"/>
    </row>
    <row r="860" spans="1:2" x14ac:dyDescent="0.25">
      <c r="A860" s="388"/>
      <c r="B860" s="388"/>
    </row>
    <row r="861" spans="1:2" x14ac:dyDescent="0.25">
      <c r="A861" s="388"/>
      <c r="B861" s="388"/>
    </row>
    <row r="862" spans="1:2" x14ac:dyDescent="0.25">
      <c r="A862" s="388"/>
      <c r="B862" s="388"/>
    </row>
    <row r="863" spans="1:2" x14ac:dyDescent="0.25">
      <c r="A863" s="388"/>
      <c r="B863" s="388"/>
    </row>
    <row r="864" spans="1:2" x14ac:dyDescent="0.25">
      <c r="A864" s="388"/>
      <c r="B864" s="388"/>
    </row>
    <row r="865" spans="1:2" x14ac:dyDescent="0.25">
      <c r="A865" s="388"/>
      <c r="B865" s="388"/>
    </row>
    <row r="866" spans="1:2" x14ac:dyDescent="0.25">
      <c r="A866" s="388"/>
      <c r="B866" s="388"/>
    </row>
    <row r="867" spans="1:2" x14ac:dyDescent="0.25">
      <c r="A867" s="388"/>
      <c r="B867" s="388"/>
    </row>
    <row r="868" spans="1:2" x14ac:dyDescent="0.25">
      <c r="A868" s="388"/>
      <c r="B868" s="388"/>
    </row>
    <row r="869" spans="1:2" x14ac:dyDescent="0.25">
      <c r="A869" s="388"/>
      <c r="B869" s="388"/>
    </row>
    <row r="870" spans="1:2" x14ac:dyDescent="0.25">
      <c r="A870" s="388"/>
      <c r="B870" s="388"/>
    </row>
    <row r="871" spans="1:2" x14ac:dyDescent="0.25">
      <c r="A871" s="388"/>
      <c r="B871" s="388"/>
    </row>
    <row r="872" spans="1:2" x14ac:dyDescent="0.25">
      <c r="A872" s="388"/>
      <c r="B872" s="388"/>
    </row>
    <row r="873" spans="1:2" x14ac:dyDescent="0.25">
      <c r="A873" s="388"/>
      <c r="B873" s="388"/>
    </row>
    <row r="874" spans="1:2" x14ac:dyDescent="0.25">
      <c r="A874" s="388"/>
      <c r="B874" s="388"/>
    </row>
    <row r="875" spans="1:2" x14ac:dyDescent="0.25">
      <c r="A875" s="388"/>
      <c r="B875" s="388"/>
    </row>
    <row r="876" spans="1:2" x14ac:dyDescent="0.25">
      <c r="A876" s="388"/>
      <c r="B876" s="388"/>
    </row>
    <row r="877" spans="1:2" x14ac:dyDescent="0.25">
      <c r="A877" s="388"/>
      <c r="B877" s="388"/>
    </row>
    <row r="878" spans="1:2" x14ac:dyDescent="0.25">
      <c r="A878" s="388"/>
      <c r="B878" s="388"/>
    </row>
    <row r="879" spans="1:2" x14ac:dyDescent="0.25">
      <c r="A879" s="388"/>
      <c r="B879" s="388"/>
    </row>
    <row r="880" spans="1:2" x14ac:dyDescent="0.25">
      <c r="A880" s="388"/>
      <c r="B880" s="388"/>
    </row>
    <row r="881" spans="1:2" x14ac:dyDescent="0.25">
      <c r="A881" s="388"/>
      <c r="B881" s="388"/>
    </row>
    <row r="882" spans="1:2" x14ac:dyDescent="0.25">
      <c r="A882" s="388"/>
      <c r="B882" s="388"/>
    </row>
    <row r="883" spans="1:2" x14ac:dyDescent="0.25">
      <c r="A883" s="388"/>
      <c r="B883" s="388"/>
    </row>
    <row r="884" spans="1:2" x14ac:dyDescent="0.25">
      <c r="A884" s="388"/>
      <c r="B884" s="388"/>
    </row>
    <row r="885" spans="1:2" x14ac:dyDescent="0.25">
      <c r="A885" s="388"/>
      <c r="B885" s="388"/>
    </row>
    <row r="886" spans="1:2" x14ac:dyDescent="0.25">
      <c r="A886" s="388"/>
      <c r="B886" s="388"/>
    </row>
    <row r="887" spans="1:2" x14ac:dyDescent="0.25">
      <c r="A887" s="388"/>
      <c r="B887" s="388"/>
    </row>
    <row r="888" spans="1:2" x14ac:dyDescent="0.25">
      <c r="A888" s="388"/>
      <c r="B888" s="388"/>
    </row>
    <row r="889" spans="1:2" x14ac:dyDescent="0.25">
      <c r="A889" s="388"/>
      <c r="B889" s="388"/>
    </row>
    <row r="890" spans="1:2" x14ac:dyDescent="0.25">
      <c r="A890" s="388"/>
      <c r="B890" s="388"/>
    </row>
    <row r="891" spans="1:2" x14ac:dyDescent="0.25">
      <c r="A891" s="388"/>
      <c r="B891" s="388"/>
    </row>
    <row r="892" spans="1:2" x14ac:dyDescent="0.25">
      <c r="A892" s="388"/>
      <c r="B892" s="388"/>
    </row>
    <row r="893" spans="1:2" x14ac:dyDescent="0.25">
      <c r="A893" s="388"/>
      <c r="B893" s="388"/>
    </row>
    <row r="894" spans="1:2" x14ac:dyDescent="0.25">
      <c r="A894" s="388"/>
      <c r="B894" s="388"/>
    </row>
    <row r="895" spans="1:2" x14ac:dyDescent="0.25">
      <c r="A895" s="388"/>
      <c r="B895" s="388"/>
    </row>
    <row r="896" spans="1:2" x14ac:dyDescent="0.25">
      <c r="A896" s="388"/>
      <c r="B896" s="388"/>
    </row>
    <row r="897" spans="1:2" x14ac:dyDescent="0.25">
      <c r="A897" s="388"/>
      <c r="B897" s="388"/>
    </row>
    <row r="898" spans="1:2" x14ac:dyDescent="0.25">
      <c r="A898" s="388"/>
      <c r="B898" s="388"/>
    </row>
    <row r="899" spans="1:2" x14ac:dyDescent="0.25">
      <c r="A899" s="388"/>
      <c r="B899" s="388"/>
    </row>
    <row r="900" spans="1:2" x14ac:dyDescent="0.25">
      <c r="A900" s="388"/>
      <c r="B900" s="388"/>
    </row>
    <row r="901" spans="1:2" x14ac:dyDescent="0.25">
      <c r="A901" s="388"/>
      <c r="B901" s="388"/>
    </row>
    <row r="902" spans="1:2" x14ac:dyDescent="0.25">
      <c r="A902" s="388"/>
      <c r="B902" s="388"/>
    </row>
    <row r="903" spans="1:2" x14ac:dyDescent="0.25">
      <c r="A903" s="388"/>
      <c r="B903" s="388"/>
    </row>
    <row r="904" spans="1:2" x14ac:dyDescent="0.25">
      <c r="A904" s="388"/>
      <c r="B904" s="388"/>
    </row>
    <row r="905" spans="1:2" x14ac:dyDescent="0.25">
      <c r="A905" s="388"/>
      <c r="B905" s="388"/>
    </row>
    <row r="906" spans="1:2" x14ac:dyDescent="0.25">
      <c r="A906" s="388"/>
      <c r="B906" s="388"/>
    </row>
    <row r="907" spans="1:2" x14ac:dyDescent="0.25">
      <c r="A907" s="388"/>
      <c r="B907" s="388"/>
    </row>
    <row r="908" spans="1:2" x14ac:dyDescent="0.25">
      <c r="A908" s="388"/>
      <c r="B908" s="388"/>
    </row>
    <row r="909" spans="1:2" x14ac:dyDescent="0.25">
      <c r="A909" s="388"/>
      <c r="B909" s="388"/>
    </row>
    <row r="910" spans="1:2" x14ac:dyDescent="0.25">
      <c r="A910" s="388"/>
      <c r="B910" s="388"/>
    </row>
    <row r="911" spans="1:2" x14ac:dyDescent="0.25">
      <c r="A911" s="388"/>
      <c r="B911" s="388"/>
    </row>
    <row r="912" spans="1:2" x14ac:dyDescent="0.25">
      <c r="A912" s="388"/>
      <c r="B912" s="388"/>
    </row>
    <row r="913" spans="1:2" x14ac:dyDescent="0.25">
      <c r="A913" s="388"/>
      <c r="B913" s="388"/>
    </row>
    <row r="914" spans="1:2" x14ac:dyDescent="0.25">
      <c r="A914" s="388"/>
      <c r="B914" s="388"/>
    </row>
    <row r="915" spans="1:2" x14ac:dyDescent="0.25">
      <c r="A915" s="388"/>
      <c r="B915" s="388"/>
    </row>
    <row r="916" spans="1:2" x14ac:dyDescent="0.25">
      <c r="A916" s="388"/>
      <c r="B916" s="388"/>
    </row>
    <row r="917" spans="1:2" x14ac:dyDescent="0.25">
      <c r="A917" s="388"/>
      <c r="B917" s="388"/>
    </row>
    <row r="918" spans="1:2" x14ac:dyDescent="0.25">
      <c r="A918" s="388"/>
      <c r="B918" s="388"/>
    </row>
    <row r="919" spans="1:2" x14ac:dyDescent="0.25">
      <c r="A919" s="388"/>
      <c r="B919" s="388"/>
    </row>
    <row r="920" spans="1:2" x14ac:dyDescent="0.25">
      <c r="A920" s="388"/>
      <c r="B920" s="388"/>
    </row>
    <row r="921" spans="1:2" x14ac:dyDescent="0.25">
      <c r="A921" s="388"/>
      <c r="B921" s="388"/>
    </row>
    <row r="922" spans="1:2" x14ac:dyDescent="0.25">
      <c r="A922" s="388"/>
      <c r="B922" s="388"/>
    </row>
    <row r="923" spans="1:2" x14ac:dyDescent="0.25">
      <c r="A923" s="388"/>
      <c r="B923" s="388"/>
    </row>
    <row r="924" spans="1:2" x14ac:dyDescent="0.25">
      <c r="A924" s="388"/>
      <c r="B924" s="388"/>
    </row>
    <row r="925" spans="1:2" x14ac:dyDescent="0.25">
      <c r="A925" s="388"/>
      <c r="B925" s="388"/>
    </row>
    <row r="926" spans="1:2" x14ac:dyDescent="0.25">
      <c r="A926" s="388"/>
      <c r="B926" s="388"/>
    </row>
    <row r="927" spans="1:2" x14ac:dyDescent="0.25">
      <c r="A927" s="388"/>
      <c r="B927" s="388"/>
    </row>
    <row r="928" spans="1:2" x14ac:dyDescent="0.25">
      <c r="A928" s="388"/>
      <c r="B928" s="388"/>
    </row>
    <row r="929" spans="1:2" x14ac:dyDescent="0.25">
      <c r="A929" s="388"/>
      <c r="B929" s="388"/>
    </row>
    <row r="930" spans="1:2" x14ac:dyDescent="0.25">
      <c r="A930" s="388"/>
      <c r="B930" s="388"/>
    </row>
    <row r="931" spans="1:2" x14ac:dyDescent="0.25">
      <c r="A931" s="388"/>
      <c r="B931" s="388"/>
    </row>
    <row r="932" spans="1:2" x14ac:dyDescent="0.25">
      <c r="A932" s="388"/>
      <c r="B932" s="388"/>
    </row>
    <row r="933" spans="1:2" x14ac:dyDescent="0.25">
      <c r="A933" s="388"/>
      <c r="B933" s="388"/>
    </row>
    <row r="934" spans="1:2" x14ac:dyDescent="0.25">
      <c r="A934" s="388"/>
      <c r="B934" s="388"/>
    </row>
    <row r="935" spans="1:2" x14ac:dyDescent="0.25">
      <c r="A935" s="388"/>
      <c r="B935" s="388"/>
    </row>
    <row r="936" spans="1:2" x14ac:dyDescent="0.25">
      <c r="A936" s="388"/>
      <c r="B936" s="388"/>
    </row>
    <row r="937" spans="1:2" x14ac:dyDescent="0.25">
      <c r="A937" s="388"/>
      <c r="B937" s="388"/>
    </row>
    <row r="938" spans="1:2" x14ac:dyDescent="0.25">
      <c r="A938" s="388"/>
      <c r="B938" s="388"/>
    </row>
    <row r="939" spans="1:2" x14ac:dyDescent="0.25">
      <c r="A939" s="388"/>
      <c r="B939" s="388"/>
    </row>
    <row r="940" spans="1:2" x14ac:dyDescent="0.25">
      <c r="A940" s="388"/>
      <c r="B940" s="388"/>
    </row>
    <row r="941" spans="1:2" x14ac:dyDescent="0.25">
      <c r="A941" s="388"/>
      <c r="B941" s="388"/>
    </row>
    <row r="942" spans="1:2" x14ac:dyDescent="0.25">
      <c r="A942" s="388"/>
      <c r="B942" s="388"/>
    </row>
    <row r="943" spans="1:2" x14ac:dyDescent="0.25">
      <c r="A943" s="388"/>
      <c r="B943" s="388"/>
    </row>
    <row r="944" spans="1:2" x14ac:dyDescent="0.25">
      <c r="A944" s="388"/>
      <c r="B944" s="388"/>
    </row>
    <row r="945" spans="1:2" x14ac:dyDescent="0.25">
      <c r="A945" s="388"/>
      <c r="B945" s="388"/>
    </row>
    <row r="946" spans="1:2" x14ac:dyDescent="0.25">
      <c r="A946" s="388"/>
      <c r="B946" s="388"/>
    </row>
    <row r="947" spans="1:2" x14ac:dyDescent="0.25">
      <c r="A947" s="388"/>
      <c r="B947" s="388"/>
    </row>
    <row r="948" spans="1:2" x14ac:dyDescent="0.25">
      <c r="A948" s="388"/>
      <c r="B948" s="388"/>
    </row>
    <row r="949" spans="1:2" x14ac:dyDescent="0.25">
      <c r="A949" s="388"/>
      <c r="B949" s="388"/>
    </row>
    <row r="950" spans="1:2" x14ac:dyDescent="0.25">
      <c r="A950" s="388"/>
      <c r="B950" s="388"/>
    </row>
    <row r="951" spans="1:2" x14ac:dyDescent="0.25">
      <c r="A951" s="388"/>
      <c r="B951" s="388"/>
    </row>
    <row r="952" spans="1:2" x14ac:dyDescent="0.25">
      <c r="A952" s="388"/>
      <c r="B952" s="388"/>
    </row>
    <row r="953" spans="1:2" x14ac:dyDescent="0.25">
      <c r="A953" s="388"/>
      <c r="B953" s="388"/>
    </row>
    <row r="954" spans="1:2" x14ac:dyDescent="0.25">
      <c r="A954" s="388"/>
      <c r="B954" s="388"/>
    </row>
    <row r="955" spans="1:2" x14ac:dyDescent="0.25">
      <c r="A955" s="388"/>
      <c r="B955" s="388"/>
    </row>
    <row r="956" spans="1:2" x14ac:dyDescent="0.25">
      <c r="A956" s="388"/>
      <c r="B956" s="388"/>
    </row>
    <row r="957" spans="1:2" x14ac:dyDescent="0.25">
      <c r="A957" s="388"/>
      <c r="B957" s="388"/>
    </row>
    <row r="958" spans="1:2" x14ac:dyDescent="0.25">
      <c r="A958" s="388"/>
      <c r="B958" s="388"/>
    </row>
    <row r="959" spans="1:2" x14ac:dyDescent="0.25">
      <c r="A959" s="388"/>
      <c r="B959" s="388"/>
    </row>
    <row r="960" spans="1:2" x14ac:dyDescent="0.25">
      <c r="A960" s="388"/>
      <c r="B960" s="388"/>
    </row>
    <row r="961" spans="1:2" x14ac:dyDescent="0.25">
      <c r="A961" s="388"/>
      <c r="B961" s="388"/>
    </row>
    <row r="962" spans="1:2" x14ac:dyDescent="0.25">
      <c r="A962" s="388"/>
      <c r="B962" s="388"/>
    </row>
    <row r="963" spans="1:2" x14ac:dyDescent="0.25">
      <c r="A963" s="388"/>
      <c r="B963" s="388"/>
    </row>
    <row r="964" spans="1:2" x14ac:dyDescent="0.25">
      <c r="A964" s="388"/>
      <c r="B964" s="388"/>
    </row>
    <row r="965" spans="1:2" x14ac:dyDescent="0.25">
      <c r="A965" s="388"/>
      <c r="B965" s="388"/>
    </row>
    <row r="966" spans="1:2" x14ac:dyDescent="0.25">
      <c r="A966" s="388"/>
      <c r="B966" s="388"/>
    </row>
    <row r="967" spans="1:2" x14ac:dyDescent="0.25">
      <c r="A967" s="388"/>
      <c r="B967" s="388"/>
    </row>
    <row r="968" spans="1:2" x14ac:dyDescent="0.25">
      <c r="A968" s="388"/>
      <c r="B968" s="388"/>
    </row>
    <row r="969" spans="1:2" x14ac:dyDescent="0.25">
      <c r="A969" s="388"/>
      <c r="B969" s="388"/>
    </row>
    <row r="970" spans="1:2" x14ac:dyDescent="0.25">
      <c r="A970" s="388"/>
      <c r="B970" s="388"/>
    </row>
    <row r="971" spans="1:2" x14ac:dyDescent="0.25">
      <c r="A971" s="388"/>
      <c r="B971" s="388"/>
    </row>
    <row r="972" spans="1:2" x14ac:dyDescent="0.25">
      <c r="A972" s="388"/>
      <c r="B972" s="388"/>
    </row>
    <row r="973" spans="1:2" x14ac:dyDescent="0.25">
      <c r="A973" s="388"/>
      <c r="B973" s="388"/>
    </row>
    <row r="974" spans="1:2" x14ac:dyDescent="0.25">
      <c r="A974" s="388"/>
      <c r="B974" s="388"/>
    </row>
    <row r="975" spans="1:2" x14ac:dyDescent="0.25">
      <c r="A975" s="388"/>
      <c r="B975" s="388"/>
    </row>
    <row r="976" spans="1:2" x14ac:dyDescent="0.25">
      <c r="A976" s="388"/>
      <c r="B976" s="388"/>
    </row>
    <row r="977" spans="1:2" x14ac:dyDescent="0.25">
      <c r="A977" s="388"/>
      <c r="B977" s="388"/>
    </row>
    <row r="978" spans="1:2" x14ac:dyDescent="0.25">
      <c r="A978" s="388"/>
      <c r="B978" s="388"/>
    </row>
    <row r="979" spans="1:2" x14ac:dyDescent="0.25">
      <c r="A979" s="388"/>
      <c r="B979" s="388"/>
    </row>
    <row r="980" spans="1:2" x14ac:dyDescent="0.25">
      <c r="A980" s="388"/>
      <c r="B980" s="388"/>
    </row>
    <row r="981" spans="1:2" x14ac:dyDescent="0.25">
      <c r="A981" s="388"/>
      <c r="B981" s="388"/>
    </row>
    <row r="982" spans="1:2" x14ac:dyDescent="0.25">
      <c r="A982" s="388"/>
      <c r="B982" s="388"/>
    </row>
    <row r="983" spans="1:2" x14ac:dyDescent="0.25">
      <c r="A983" s="388"/>
      <c r="B983" s="388"/>
    </row>
    <row r="984" spans="1:2" x14ac:dyDescent="0.25">
      <c r="A984" s="388"/>
      <c r="B984" s="388"/>
    </row>
    <row r="985" spans="1:2" x14ac:dyDescent="0.25">
      <c r="A985" s="388"/>
      <c r="B985" s="388"/>
    </row>
    <row r="986" spans="1:2" x14ac:dyDescent="0.25">
      <c r="A986" s="388"/>
      <c r="B986" s="388"/>
    </row>
    <row r="987" spans="1:2" x14ac:dyDescent="0.25">
      <c r="A987" s="388"/>
      <c r="B987" s="388"/>
    </row>
    <row r="988" spans="1:2" x14ac:dyDescent="0.25">
      <c r="A988" s="388"/>
      <c r="B988" s="388"/>
    </row>
    <row r="989" spans="1:2" x14ac:dyDescent="0.25">
      <c r="A989" s="388"/>
      <c r="B989" s="388"/>
    </row>
    <row r="990" spans="1:2" x14ac:dyDescent="0.25">
      <c r="A990" s="388"/>
      <c r="B990" s="388"/>
    </row>
    <row r="991" spans="1:2" x14ac:dyDescent="0.25">
      <c r="A991" s="388"/>
      <c r="B991" s="388"/>
    </row>
    <row r="992" spans="1:2" x14ac:dyDescent="0.25">
      <c r="A992" s="388"/>
      <c r="B992" s="388"/>
    </row>
    <row r="993" spans="1:2" x14ac:dyDescent="0.25">
      <c r="A993" s="388"/>
      <c r="B993" s="388"/>
    </row>
    <row r="994" spans="1:2" x14ac:dyDescent="0.25">
      <c r="A994" s="388"/>
      <c r="B994" s="388"/>
    </row>
    <row r="995" spans="1:2" x14ac:dyDescent="0.25">
      <c r="A995" s="388"/>
      <c r="B995" s="388"/>
    </row>
    <row r="996" spans="1:2" x14ac:dyDescent="0.25">
      <c r="A996" s="388"/>
      <c r="B996" s="388"/>
    </row>
    <row r="997" spans="1:2" x14ac:dyDescent="0.25">
      <c r="A997" s="388"/>
      <c r="B997" s="388"/>
    </row>
    <row r="998" spans="1:2" x14ac:dyDescent="0.25">
      <c r="A998" s="388"/>
      <c r="B998" s="388"/>
    </row>
    <row r="999" spans="1:2" x14ac:dyDescent="0.25">
      <c r="A999" s="388"/>
      <c r="B999" s="388"/>
    </row>
    <row r="1000" spans="1:2" x14ac:dyDescent="0.25">
      <c r="A1000" s="388"/>
      <c r="B1000" s="388"/>
    </row>
    <row r="1001" spans="1:2" x14ac:dyDescent="0.25">
      <c r="A1001" s="388"/>
      <c r="B1001" s="388"/>
    </row>
    <row r="1002" spans="1:2" x14ac:dyDescent="0.25">
      <c r="A1002" s="388"/>
      <c r="B1002" s="388"/>
    </row>
    <row r="1003" spans="1:2" x14ac:dyDescent="0.25">
      <c r="A1003" s="388"/>
      <c r="B1003" s="388"/>
    </row>
    <row r="1004" spans="1:2" x14ac:dyDescent="0.25">
      <c r="A1004" s="388"/>
      <c r="B1004" s="388"/>
    </row>
    <row r="1005" spans="1:2" x14ac:dyDescent="0.25">
      <c r="A1005" s="388"/>
      <c r="B1005" s="388"/>
    </row>
    <row r="1006" spans="1:2" x14ac:dyDescent="0.25">
      <c r="A1006" s="388"/>
      <c r="B1006" s="388"/>
    </row>
    <row r="1007" spans="1:2" x14ac:dyDescent="0.25">
      <c r="A1007" s="388"/>
      <c r="B1007" s="388"/>
    </row>
    <row r="1008" spans="1:2" x14ac:dyDescent="0.25">
      <c r="A1008" s="388"/>
      <c r="B1008" s="388"/>
    </row>
    <row r="1009" spans="1:2" x14ac:dyDescent="0.25">
      <c r="A1009" s="388"/>
      <c r="B1009" s="388"/>
    </row>
    <row r="1010" spans="1:2" x14ac:dyDescent="0.25">
      <c r="A1010" s="388"/>
      <c r="B1010" s="388"/>
    </row>
    <row r="1011" spans="1:2" x14ac:dyDescent="0.25">
      <c r="A1011" s="388"/>
      <c r="B1011" s="388"/>
    </row>
    <row r="1012" spans="1:2" x14ac:dyDescent="0.25">
      <c r="A1012" s="388"/>
      <c r="B1012" s="388"/>
    </row>
    <row r="1013" spans="1:2" x14ac:dyDescent="0.25">
      <c r="A1013" s="388"/>
      <c r="B1013" s="388"/>
    </row>
    <row r="1014" spans="1:2" x14ac:dyDescent="0.25">
      <c r="A1014" s="388"/>
      <c r="B1014" s="388"/>
    </row>
    <row r="1015" spans="1:2" x14ac:dyDescent="0.25">
      <c r="A1015" s="388"/>
      <c r="B1015" s="388"/>
    </row>
    <row r="1016" spans="1:2" x14ac:dyDescent="0.25">
      <c r="A1016" s="388"/>
      <c r="B1016" s="388"/>
    </row>
    <row r="1017" spans="1:2" x14ac:dyDescent="0.25">
      <c r="A1017" s="388"/>
      <c r="B1017" s="388"/>
    </row>
    <row r="1018" spans="1:2" x14ac:dyDescent="0.25">
      <c r="A1018" s="388"/>
      <c r="B1018" s="388"/>
    </row>
    <row r="1019" spans="1:2" x14ac:dyDescent="0.25">
      <c r="A1019" s="388"/>
      <c r="B1019" s="388"/>
    </row>
    <row r="1020" spans="1:2" x14ac:dyDescent="0.25">
      <c r="A1020" s="388"/>
      <c r="B1020" s="388"/>
    </row>
    <row r="1021" spans="1:2" x14ac:dyDescent="0.25">
      <c r="A1021" s="388"/>
      <c r="B1021" s="388"/>
    </row>
    <row r="1022" spans="1:2" x14ac:dyDescent="0.25">
      <c r="A1022" s="388"/>
      <c r="B1022" s="388"/>
    </row>
    <row r="1023" spans="1:2" x14ac:dyDescent="0.25">
      <c r="A1023" s="388"/>
      <c r="B1023" s="388"/>
    </row>
    <row r="1024" spans="1:2" x14ac:dyDescent="0.25">
      <c r="A1024" s="388"/>
      <c r="B1024" s="388"/>
    </row>
    <row r="1025" spans="1:2" x14ac:dyDescent="0.25">
      <c r="A1025" s="388"/>
      <c r="B1025" s="388"/>
    </row>
    <row r="1026" spans="1:2" x14ac:dyDescent="0.25">
      <c r="A1026" s="388"/>
      <c r="B1026" s="388"/>
    </row>
    <row r="1027" spans="1:2" x14ac:dyDescent="0.25">
      <c r="A1027" s="388"/>
      <c r="B1027" s="388"/>
    </row>
    <row r="1028" spans="1:2" x14ac:dyDescent="0.25">
      <c r="A1028" s="388"/>
      <c r="B1028" s="388"/>
    </row>
    <row r="1029" spans="1:2" x14ac:dyDescent="0.25">
      <c r="A1029" s="388"/>
      <c r="B1029" s="388"/>
    </row>
    <row r="1030" spans="1:2" x14ac:dyDescent="0.25">
      <c r="A1030" s="388"/>
      <c r="B1030" s="388"/>
    </row>
    <row r="1031" spans="1:2" x14ac:dyDescent="0.25">
      <c r="A1031" s="388"/>
      <c r="B1031" s="388"/>
    </row>
    <row r="1032" spans="1:2" x14ac:dyDescent="0.25">
      <c r="A1032" s="388"/>
      <c r="B1032" s="388"/>
    </row>
    <row r="1033" spans="1:2" x14ac:dyDescent="0.25">
      <c r="A1033" s="388"/>
      <c r="B1033" s="388"/>
    </row>
    <row r="1034" spans="1:2" x14ac:dyDescent="0.25">
      <c r="A1034" s="388"/>
      <c r="B1034" s="388"/>
    </row>
    <row r="1035" spans="1:2" x14ac:dyDescent="0.25">
      <c r="A1035" s="388"/>
      <c r="B1035" s="388"/>
    </row>
    <row r="1036" spans="1:2" x14ac:dyDescent="0.25">
      <c r="A1036" s="388"/>
      <c r="B1036" s="388"/>
    </row>
    <row r="1037" spans="1:2" x14ac:dyDescent="0.25">
      <c r="A1037" s="388"/>
      <c r="B1037" s="388"/>
    </row>
    <row r="1038" spans="1:2" x14ac:dyDescent="0.25">
      <c r="A1038" s="388"/>
      <c r="B1038" s="388"/>
    </row>
    <row r="1039" spans="1:2" x14ac:dyDescent="0.25">
      <c r="A1039" s="388"/>
      <c r="B1039" s="388"/>
    </row>
    <row r="1040" spans="1:2" x14ac:dyDescent="0.25">
      <c r="A1040" s="388"/>
      <c r="B1040" s="388"/>
    </row>
    <row r="1041" spans="1:2" x14ac:dyDescent="0.25">
      <c r="A1041" s="388"/>
      <c r="B1041" s="388"/>
    </row>
    <row r="1042" spans="1:2" x14ac:dyDescent="0.25">
      <c r="A1042" s="388"/>
      <c r="B1042" s="388"/>
    </row>
    <row r="1043" spans="1:2" x14ac:dyDescent="0.25">
      <c r="A1043" s="388"/>
      <c r="B1043" s="388"/>
    </row>
    <row r="1044" spans="1:2" x14ac:dyDescent="0.25">
      <c r="A1044" s="388"/>
      <c r="B1044" s="388"/>
    </row>
    <row r="1045" spans="1:2" x14ac:dyDescent="0.25">
      <c r="A1045" s="388"/>
      <c r="B1045" s="388"/>
    </row>
    <row r="1046" spans="1:2" x14ac:dyDescent="0.25">
      <c r="A1046" s="388"/>
      <c r="B1046" s="388"/>
    </row>
    <row r="1047" spans="1:2" x14ac:dyDescent="0.25">
      <c r="A1047" s="388"/>
      <c r="B1047" s="388"/>
    </row>
    <row r="1048" spans="1:2" x14ac:dyDescent="0.25">
      <c r="A1048" s="388"/>
      <c r="B1048" s="388"/>
    </row>
    <row r="1049" spans="1:2" x14ac:dyDescent="0.25">
      <c r="A1049" s="388"/>
      <c r="B1049" s="388"/>
    </row>
    <row r="1050" spans="1:2" x14ac:dyDescent="0.25">
      <c r="A1050" s="388"/>
      <c r="B1050" s="388"/>
    </row>
    <row r="1051" spans="1:2" x14ac:dyDescent="0.25">
      <c r="A1051" s="388"/>
      <c r="B1051" s="388"/>
    </row>
    <row r="1052" spans="1:2" x14ac:dyDescent="0.25">
      <c r="A1052" s="388"/>
      <c r="B1052" s="388"/>
    </row>
    <row r="1053" spans="1:2" x14ac:dyDescent="0.25">
      <c r="A1053" s="388"/>
      <c r="B1053" s="388"/>
    </row>
    <row r="1054" spans="1:2" x14ac:dyDescent="0.25">
      <c r="A1054" s="388"/>
      <c r="B1054" s="388"/>
    </row>
    <row r="1055" spans="1:2" x14ac:dyDescent="0.25">
      <c r="A1055" s="388"/>
      <c r="B1055" s="388"/>
    </row>
    <row r="1056" spans="1:2" x14ac:dyDescent="0.25">
      <c r="A1056" s="388"/>
      <c r="B1056" s="388"/>
    </row>
    <row r="1057" spans="1:2" x14ac:dyDescent="0.25">
      <c r="A1057" s="388"/>
      <c r="B1057" s="388"/>
    </row>
    <row r="1058" spans="1:2" x14ac:dyDescent="0.25">
      <c r="A1058" s="388"/>
      <c r="B1058" s="388"/>
    </row>
    <row r="1059" spans="1:2" x14ac:dyDescent="0.25">
      <c r="A1059" s="388"/>
      <c r="B1059" s="388"/>
    </row>
    <row r="1060" spans="1:2" x14ac:dyDescent="0.25">
      <c r="A1060" s="388"/>
      <c r="B1060" s="388"/>
    </row>
    <row r="1061" spans="1:2" x14ac:dyDescent="0.25">
      <c r="A1061" s="388"/>
      <c r="B1061" s="388"/>
    </row>
    <row r="1062" spans="1:2" x14ac:dyDescent="0.25">
      <c r="A1062" s="388"/>
      <c r="B1062" s="388"/>
    </row>
    <row r="1063" spans="1:2" x14ac:dyDescent="0.25">
      <c r="A1063" s="388"/>
      <c r="B1063" s="388"/>
    </row>
    <row r="1064" spans="1:2" x14ac:dyDescent="0.25">
      <c r="A1064" s="388"/>
      <c r="B1064" s="388"/>
    </row>
    <row r="1065" spans="1:2" x14ac:dyDescent="0.25">
      <c r="A1065" s="388"/>
      <c r="B1065" s="388"/>
    </row>
    <row r="1066" spans="1:2" x14ac:dyDescent="0.25">
      <c r="A1066" s="388"/>
      <c r="B1066" s="388"/>
    </row>
    <row r="1067" spans="1:2" x14ac:dyDescent="0.25">
      <c r="A1067" s="388"/>
      <c r="B1067" s="388"/>
    </row>
    <row r="1068" spans="1:2" x14ac:dyDescent="0.25">
      <c r="A1068" s="388"/>
      <c r="B1068" s="388"/>
    </row>
    <row r="1069" spans="1:2" x14ac:dyDescent="0.25">
      <c r="A1069" s="388"/>
      <c r="B1069" s="388"/>
    </row>
    <row r="1070" spans="1:2" x14ac:dyDescent="0.25">
      <c r="A1070" s="388"/>
      <c r="B1070" s="388"/>
    </row>
    <row r="1071" spans="1:2" x14ac:dyDescent="0.25">
      <c r="A1071" s="388"/>
      <c r="B1071" s="388"/>
    </row>
    <row r="1072" spans="1:2" x14ac:dyDescent="0.25">
      <c r="A1072" s="388"/>
      <c r="B1072" s="388"/>
    </row>
    <row r="1073" spans="1:2" x14ac:dyDescent="0.25">
      <c r="A1073" s="388"/>
      <c r="B1073" s="388"/>
    </row>
    <row r="1074" spans="1:2" x14ac:dyDescent="0.25">
      <c r="A1074" s="388"/>
      <c r="B1074" s="388"/>
    </row>
    <row r="1075" spans="1:2" x14ac:dyDescent="0.25">
      <c r="A1075" s="388"/>
      <c r="B1075" s="388"/>
    </row>
    <row r="1076" spans="1:2" x14ac:dyDescent="0.25">
      <c r="A1076" s="388"/>
      <c r="B1076" s="388"/>
    </row>
    <row r="1077" spans="1:2" x14ac:dyDescent="0.25">
      <c r="A1077" s="388"/>
      <c r="B1077" s="388"/>
    </row>
    <row r="1078" spans="1:2" x14ac:dyDescent="0.25">
      <c r="A1078" s="388"/>
      <c r="B1078" s="388"/>
    </row>
    <row r="1079" spans="1:2" x14ac:dyDescent="0.25">
      <c r="A1079" s="388"/>
      <c r="B1079" s="388"/>
    </row>
    <row r="1080" spans="1:2" x14ac:dyDescent="0.25">
      <c r="A1080" s="388"/>
      <c r="B1080" s="388"/>
    </row>
    <row r="1081" spans="1:2" x14ac:dyDescent="0.25">
      <c r="A1081" s="388"/>
      <c r="B1081" s="388"/>
    </row>
    <row r="1082" spans="1:2" x14ac:dyDescent="0.25">
      <c r="A1082" s="388"/>
      <c r="B1082" s="388"/>
    </row>
    <row r="1083" spans="1:2" x14ac:dyDescent="0.25">
      <c r="A1083" s="388"/>
      <c r="B1083" s="388"/>
    </row>
    <row r="1084" spans="1:2" x14ac:dyDescent="0.25">
      <c r="A1084" s="388"/>
      <c r="B1084" s="388"/>
    </row>
    <row r="1085" spans="1:2" x14ac:dyDescent="0.25">
      <c r="A1085" s="388"/>
      <c r="B1085" s="388"/>
    </row>
    <row r="1086" spans="1:2" x14ac:dyDescent="0.25">
      <c r="A1086" s="388"/>
      <c r="B1086" s="388"/>
    </row>
    <row r="1087" spans="1:2" x14ac:dyDescent="0.25">
      <c r="A1087" s="388"/>
      <c r="B1087" s="388"/>
    </row>
    <row r="1088" spans="1:2" x14ac:dyDescent="0.25">
      <c r="A1088" s="388"/>
      <c r="B1088" s="388"/>
    </row>
    <row r="1089" spans="1:2" x14ac:dyDescent="0.25">
      <c r="A1089" s="388"/>
      <c r="B1089" s="388"/>
    </row>
    <row r="1090" spans="1:2" x14ac:dyDescent="0.25">
      <c r="A1090" s="388"/>
      <c r="B1090" s="388"/>
    </row>
    <row r="1091" spans="1:2" x14ac:dyDescent="0.25">
      <c r="A1091" s="388"/>
      <c r="B1091" s="388"/>
    </row>
    <row r="1092" spans="1:2" x14ac:dyDescent="0.25">
      <c r="A1092" s="388"/>
      <c r="B1092" s="388"/>
    </row>
    <row r="1093" spans="1:2" x14ac:dyDescent="0.25">
      <c r="A1093" s="388"/>
      <c r="B1093" s="388"/>
    </row>
    <row r="1094" spans="1:2" x14ac:dyDescent="0.25">
      <c r="A1094" s="388"/>
      <c r="B1094" s="388"/>
    </row>
    <row r="1095" spans="1:2" x14ac:dyDescent="0.25">
      <c r="A1095" s="388"/>
      <c r="B1095" s="388"/>
    </row>
    <row r="1096" spans="1:2" x14ac:dyDescent="0.25">
      <c r="A1096" s="388"/>
      <c r="B1096" s="388"/>
    </row>
    <row r="1097" spans="1:2" x14ac:dyDescent="0.25">
      <c r="A1097" s="388"/>
      <c r="B1097" s="388"/>
    </row>
    <row r="1098" spans="1:2" x14ac:dyDescent="0.25">
      <c r="A1098" s="388"/>
      <c r="B1098" s="388"/>
    </row>
    <row r="1099" spans="1:2" x14ac:dyDescent="0.25">
      <c r="A1099" s="388"/>
      <c r="B1099" s="388"/>
    </row>
    <row r="1100" spans="1:2" x14ac:dyDescent="0.25">
      <c r="A1100" s="388"/>
      <c r="B1100" s="388"/>
    </row>
    <row r="1101" spans="1:2" x14ac:dyDescent="0.25">
      <c r="A1101" s="388"/>
      <c r="B1101" s="388"/>
    </row>
    <row r="1102" spans="1:2" x14ac:dyDescent="0.25">
      <c r="A1102" s="388"/>
      <c r="B1102" s="388"/>
    </row>
    <row r="1103" spans="1:2" x14ac:dyDescent="0.25">
      <c r="A1103" s="388"/>
      <c r="B1103" s="388"/>
    </row>
    <row r="1104" spans="1:2" x14ac:dyDescent="0.25">
      <c r="A1104" s="388"/>
      <c r="B1104" s="388"/>
    </row>
    <row r="1105" spans="1:2" x14ac:dyDescent="0.25">
      <c r="A1105" s="388"/>
      <c r="B1105" s="388"/>
    </row>
    <row r="1106" spans="1:2" x14ac:dyDescent="0.25">
      <c r="A1106" s="388"/>
      <c r="B1106" s="388"/>
    </row>
    <row r="1107" spans="1:2" x14ac:dyDescent="0.25">
      <c r="A1107" s="388"/>
      <c r="B1107" s="388"/>
    </row>
    <row r="1108" spans="1:2" x14ac:dyDescent="0.25">
      <c r="A1108" s="388"/>
      <c r="B1108" s="388"/>
    </row>
    <row r="1109" spans="1:2" x14ac:dyDescent="0.25">
      <c r="A1109" s="388"/>
      <c r="B1109" s="388"/>
    </row>
    <row r="1110" spans="1:2" x14ac:dyDescent="0.25">
      <c r="A1110" s="388"/>
      <c r="B1110" s="388"/>
    </row>
    <row r="1111" spans="1:2" x14ac:dyDescent="0.25">
      <c r="A1111" s="388"/>
      <c r="B1111" s="388"/>
    </row>
    <row r="1112" spans="1:2" x14ac:dyDescent="0.25">
      <c r="A1112" s="388"/>
      <c r="B1112" s="388"/>
    </row>
    <row r="1113" spans="1:2" x14ac:dyDescent="0.25">
      <c r="A1113" s="388"/>
      <c r="B1113" s="388"/>
    </row>
    <row r="1114" spans="1:2" x14ac:dyDescent="0.25">
      <c r="A1114" s="388"/>
      <c r="B1114" s="388"/>
    </row>
    <row r="1115" spans="1:2" x14ac:dyDescent="0.25">
      <c r="A1115" s="388"/>
      <c r="B1115" s="388"/>
    </row>
    <row r="1116" spans="1:2" x14ac:dyDescent="0.25">
      <c r="A1116" s="388"/>
      <c r="B1116" s="388"/>
    </row>
    <row r="1117" spans="1:2" x14ac:dyDescent="0.25">
      <c r="A1117" s="388"/>
      <c r="B1117" s="388"/>
    </row>
    <row r="1118" spans="1:2" x14ac:dyDescent="0.25">
      <c r="A1118" s="388"/>
      <c r="B1118" s="388"/>
    </row>
    <row r="1119" spans="1:2" x14ac:dyDescent="0.25">
      <c r="A1119" s="388"/>
      <c r="B1119" s="388"/>
    </row>
    <row r="1120" spans="1:2" x14ac:dyDescent="0.25">
      <c r="A1120" s="388"/>
      <c r="B1120" s="388"/>
    </row>
    <row r="1121" spans="1:2" x14ac:dyDescent="0.25">
      <c r="A1121" s="388"/>
      <c r="B1121" s="388"/>
    </row>
    <row r="1122" spans="1:2" x14ac:dyDescent="0.25">
      <c r="A1122" s="388"/>
      <c r="B1122" s="388"/>
    </row>
    <row r="1123" spans="1:2" x14ac:dyDescent="0.25">
      <c r="A1123" s="388"/>
      <c r="B1123" s="388"/>
    </row>
    <row r="1124" spans="1:2" x14ac:dyDescent="0.25">
      <c r="A1124" s="388"/>
      <c r="B1124" s="388"/>
    </row>
    <row r="1125" spans="1:2" x14ac:dyDescent="0.25">
      <c r="A1125" s="388"/>
      <c r="B1125" s="388"/>
    </row>
    <row r="1126" spans="1:2" x14ac:dyDescent="0.25">
      <c r="A1126" s="388"/>
      <c r="B1126" s="388"/>
    </row>
    <row r="1127" spans="1:2" x14ac:dyDescent="0.25">
      <c r="A1127" s="388"/>
      <c r="B1127" s="388"/>
    </row>
    <row r="1128" spans="1:2" x14ac:dyDescent="0.25">
      <c r="A1128" s="388"/>
      <c r="B1128" s="388"/>
    </row>
    <row r="1129" spans="1:2" x14ac:dyDescent="0.25">
      <c r="A1129" s="388"/>
      <c r="B1129" s="388"/>
    </row>
    <row r="1130" spans="1:2" x14ac:dyDescent="0.25">
      <c r="A1130" s="388"/>
      <c r="B1130" s="388"/>
    </row>
    <row r="1131" spans="1:2" x14ac:dyDescent="0.25">
      <c r="A1131" s="388"/>
      <c r="B1131" s="388"/>
    </row>
    <row r="1132" spans="1:2" x14ac:dyDescent="0.25">
      <c r="A1132" s="388"/>
      <c r="B1132" s="388"/>
    </row>
    <row r="1133" spans="1:2" x14ac:dyDescent="0.25">
      <c r="A1133" s="388"/>
      <c r="B1133" s="388"/>
    </row>
    <row r="1134" spans="1:2" x14ac:dyDescent="0.25">
      <c r="A1134" s="388"/>
      <c r="B1134" s="388"/>
    </row>
    <row r="1135" spans="1:2" x14ac:dyDescent="0.25">
      <c r="A1135" s="388"/>
      <c r="B1135" s="388"/>
    </row>
    <row r="1136" spans="1:2" x14ac:dyDescent="0.25">
      <c r="A1136" s="388"/>
      <c r="B1136" s="388"/>
    </row>
    <row r="1137" spans="1:2" x14ac:dyDescent="0.25">
      <c r="A1137" s="388"/>
      <c r="B1137" s="388"/>
    </row>
    <row r="1138" spans="1:2" x14ac:dyDescent="0.25">
      <c r="A1138" s="388"/>
      <c r="B1138" s="388"/>
    </row>
    <row r="1139" spans="1:2" x14ac:dyDescent="0.25">
      <c r="A1139" s="388"/>
      <c r="B1139" s="388"/>
    </row>
    <row r="1140" spans="1:2" x14ac:dyDescent="0.25">
      <c r="A1140" s="388"/>
      <c r="B1140" s="388"/>
    </row>
    <row r="1141" spans="1:2" x14ac:dyDescent="0.25">
      <c r="A1141" s="388"/>
      <c r="B1141" s="388"/>
    </row>
    <row r="1142" spans="1:2" x14ac:dyDescent="0.25">
      <c r="A1142" s="388"/>
      <c r="B1142" s="388"/>
    </row>
    <row r="1143" spans="1:2" x14ac:dyDescent="0.25">
      <c r="A1143" s="388"/>
      <c r="B1143" s="388"/>
    </row>
    <row r="1144" spans="1:2" x14ac:dyDescent="0.25">
      <c r="A1144" s="388"/>
      <c r="B1144" s="388"/>
    </row>
    <row r="1145" spans="1:2" x14ac:dyDescent="0.25">
      <c r="A1145" s="388"/>
      <c r="B1145" s="388"/>
    </row>
    <row r="1146" spans="1:2" x14ac:dyDescent="0.25">
      <c r="A1146" s="388"/>
      <c r="B1146" s="388"/>
    </row>
    <row r="1147" spans="1:2" x14ac:dyDescent="0.25">
      <c r="A1147" s="388"/>
      <c r="B1147" s="388"/>
    </row>
    <row r="1148" spans="1:2" x14ac:dyDescent="0.25">
      <c r="A1148" s="388"/>
      <c r="B1148" s="388"/>
    </row>
    <row r="1149" spans="1:2" x14ac:dyDescent="0.25">
      <c r="A1149" s="388"/>
      <c r="B1149" s="388"/>
    </row>
    <row r="1150" spans="1:2" x14ac:dyDescent="0.25">
      <c r="A1150" s="388"/>
      <c r="B1150" s="388"/>
    </row>
    <row r="1151" spans="1:2" x14ac:dyDescent="0.25">
      <c r="A1151" s="388"/>
      <c r="B1151" s="388"/>
    </row>
    <row r="1152" spans="1:2" x14ac:dyDescent="0.25">
      <c r="A1152" s="388"/>
      <c r="B1152" s="388"/>
    </row>
    <row r="1153" spans="1:2" x14ac:dyDescent="0.25">
      <c r="A1153" s="388"/>
      <c r="B1153" s="388"/>
    </row>
    <row r="1154" spans="1:2" x14ac:dyDescent="0.25">
      <c r="A1154" s="388"/>
      <c r="B1154" s="388"/>
    </row>
    <row r="1155" spans="1:2" x14ac:dyDescent="0.25">
      <c r="A1155" s="388"/>
      <c r="B1155" s="388"/>
    </row>
    <row r="1156" spans="1:2" x14ac:dyDescent="0.25">
      <c r="A1156" s="388"/>
      <c r="B1156" s="388"/>
    </row>
    <row r="1157" spans="1:2" x14ac:dyDescent="0.25">
      <c r="A1157" s="388"/>
      <c r="B1157" s="388"/>
    </row>
    <row r="1158" spans="1:2" x14ac:dyDescent="0.25">
      <c r="A1158" s="388"/>
      <c r="B1158" s="388"/>
    </row>
    <row r="1159" spans="1:2" x14ac:dyDescent="0.25">
      <c r="A1159" s="388"/>
      <c r="B1159" s="388"/>
    </row>
    <row r="1160" spans="1:2" x14ac:dyDescent="0.25">
      <c r="A1160" s="388"/>
      <c r="B1160" s="388"/>
    </row>
    <row r="1161" spans="1:2" x14ac:dyDescent="0.25">
      <c r="A1161" s="388"/>
      <c r="B1161" s="388"/>
    </row>
    <row r="1162" spans="1:2" x14ac:dyDescent="0.25">
      <c r="A1162" s="388"/>
      <c r="B1162" s="388"/>
    </row>
    <row r="1163" spans="1:2" x14ac:dyDescent="0.25">
      <c r="A1163" s="388"/>
      <c r="B1163" s="388"/>
    </row>
    <row r="1164" spans="1:2" x14ac:dyDescent="0.25">
      <c r="A1164" s="388"/>
      <c r="B1164" s="388"/>
    </row>
    <row r="1165" spans="1:2" x14ac:dyDescent="0.25">
      <c r="A1165" s="388"/>
      <c r="B1165" s="388"/>
    </row>
    <row r="1166" spans="1:2" x14ac:dyDescent="0.25">
      <c r="A1166" s="388"/>
      <c r="B1166" s="388"/>
    </row>
    <row r="1167" spans="1:2" x14ac:dyDescent="0.25">
      <c r="A1167" s="388"/>
      <c r="B1167" s="388"/>
    </row>
    <row r="1168" spans="1:2" x14ac:dyDescent="0.25">
      <c r="A1168" s="388"/>
      <c r="B1168" s="388"/>
    </row>
    <row r="1169" spans="1:2" x14ac:dyDescent="0.25">
      <c r="A1169" s="388"/>
      <c r="B1169" s="388"/>
    </row>
    <row r="1170" spans="1:2" x14ac:dyDescent="0.25">
      <c r="A1170" s="388"/>
      <c r="B1170" s="388"/>
    </row>
    <row r="1171" spans="1:2" x14ac:dyDescent="0.25">
      <c r="A1171" s="388"/>
      <c r="B1171" s="388"/>
    </row>
    <row r="1172" spans="1:2" x14ac:dyDescent="0.25">
      <c r="A1172" s="388"/>
      <c r="B1172" s="388"/>
    </row>
    <row r="1173" spans="1:2" x14ac:dyDescent="0.25">
      <c r="A1173" s="388"/>
      <c r="B1173" s="388"/>
    </row>
    <row r="1174" spans="1:2" x14ac:dyDescent="0.25">
      <c r="A1174" s="388"/>
      <c r="B1174" s="388"/>
    </row>
    <row r="1175" spans="1:2" x14ac:dyDescent="0.25">
      <c r="A1175" s="388"/>
      <c r="B1175" s="388"/>
    </row>
    <row r="1176" spans="1:2" x14ac:dyDescent="0.25">
      <c r="A1176" s="388"/>
      <c r="B1176" s="388"/>
    </row>
    <row r="1177" spans="1:2" x14ac:dyDescent="0.25">
      <c r="A1177" s="388"/>
      <c r="B1177" s="388"/>
    </row>
    <row r="1178" spans="1:2" x14ac:dyDescent="0.25">
      <c r="A1178" s="388"/>
      <c r="B1178" s="388"/>
    </row>
    <row r="1179" spans="1:2" x14ac:dyDescent="0.25">
      <c r="A1179" s="388"/>
      <c r="B1179" s="388"/>
    </row>
    <row r="1180" spans="1:2" x14ac:dyDescent="0.25">
      <c r="A1180" s="388"/>
      <c r="B1180" s="388"/>
    </row>
    <row r="1181" spans="1:2" x14ac:dyDescent="0.25">
      <c r="A1181" s="388"/>
      <c r="B1181" s="388"/>
    </row>
    <row r="1182" spans="1:2" x14ac:dyDescent="0.25">
      <c r="A1182" s="388"/>
      <c r="B1182" s="388"/>
    </row>
    <row r="1183" spans="1:2" x14ac:dyDescent="0.25">
      <c r="A1183" s="388"/>
      <c r="B1183" s="388"/>
    </row>
    <row r="1184" spans="1:2" x14ac:dyDescent="0.25">
      <c r="A1184" s="388"/>
      <c r="B1184" s="388"/>
    </row>
    <row r="1185" spans="1:2" x14ac:dyDescent="0.25">
      <c r="A1185" s="388"/>
      <c r="B1185" s="388"/>
    </row>
    <row r="1186" spans="1:2" x14ac:dyDescent="0.25">
      <c r="A1186" s="388"/>
      <c r="B1186" s="388"/>
    </row>
    <row r="1187" spans="1:2" x14ac:dyDescent="0.25">
      <c r="A1187" s="388"/>
      <c r="B1187" s="388"/>
    </row>
    <row r="1188" spans="1:2" x14ac:dyDescent="0.25">
      <c r="A1188" s="388"/>
      <c r="B1188" s="388"/>
    </row>
    <row r="1189" spans="1:2" x14ac:dyDescent="0.25">
      <c r="A1189" s="388"/>
      <c r="B1189" s="388"/>
    </row>
    <row r="1190" spans="1:2" x14ac:dyDescent="0.25">
      <c r="A1190" s="388"/>
      <c r="B1190" s="388"/>
    </row>
    <row r="1191" spans="1:2" x14ac:dyDescent="0.25">
      <c r="A1191" s="388"/>
      <c r="B1191" s="388"/>
    </row>
    <row r="1192" spans="1:2" x14ac:dyDescent="0.25">
      <c r="A1192" s="388"/>
      <c r="B1192" s="388"/>
    </row>
    <row r="1193" spans="1:2" x14ac:dyDescent="0.25">
      <c r="A1193" s="388"/>
      <c r="B1193" s="388"/>
    </row>
    <row r="1194" spans="1:2" x14ac:dyDescent="0.25">
      <c r="A1194" s="388"/>
      <c r="B1194" s="388"/>
    </row>
    <row r="1195" spans="1:2" x14ac:dyDescent="0.25">
      <c r="A1195" s="388"/>
      <c r="B1195" s="388"/>
    </row>
    <row r="1196" spans="1:2" x14ac:dyDescent="0.25">
      <c r="A1196" s="388"/>
      <c r="B1196" s="388"/>
    </row>
    <row r="1197" spans="1:2" x14ac:dyDescent="0.25">
      <c r="A1197" s="388"/>
      <c r="B1197" s="388"/>
    </row>
    <row r="1198" spans="1:2" x14ac:dyDescent="0.25">
      <c r="A1198" s="388"/>
      <c r="B1198" s="388"/>
    </row>
    <row r="1199" spans="1:2" x14ac:dyDescent="0.25">
      <c r="A1199" s="388"/>
      <c r="B1199" s="388"/>
    </row>
    <row r="1200" spans="1:2" x14ac:dyDescent="0.25">
      <c r="A1200" s="388"/>
      <c r="B1200" s="388"/>
    </row>
    <row r="1201" spans="1:2" x14ac:dyDescent="0.25">
      <c r="A1201" s="388"/>
      <c r="B1201" s="388"/>
    </row>
    <row r="1202" spans="1:2" x14ac:dyDescent="0.25">
      <c r="A1202" s="388"/>
      <c r="B1202" s="388"/>
    </row>
    <row r="1203" spans="1:2" x14ac:dyDescent="0.25">
      <c r="A1203" s="388"/>
      <c r="B1203" s="388"/>
    </row>
    <row r="1204" spans="1:2" x14ac:dyDescent="0.25">
      <c r="A1204" s="388"/>
      <c r="B1204" s="388"/>
    </row>
    <row r="1205" spans="1:2" x14ac:dyDescent="0.25">
      <c r="A1205" s="388"/>
      <c r="B1205" s="388"/>
    </row>
    <row r="1206" spans="1:2" x14ac:dyDescent="0.25">
      <c r="A1206" s="388"/>
      <c r="B1206" s="388"/>
    </row>
    <row r="1207" spans="1:2" x14ac:dyDescent="0.25">
      <c r="A1207" s="388"/>
      <c r="B1207" s="388"/>
    </row>
    <row r="1208" spans="1:2" x14ac:dyDescent="0.25">
      <c r="A1208" s="388"/>
      <c r="B1208" s="388"/>
    </row>
    <row r="1209" spans="1:2" x14ac:dyDescent="0.25">
      <c r="A1209" s="388"/>
      <c r="B1209" s="388"/>
    </row>
    <row r="1210" spans="1:2" x14ac:dyDescent="0.25">
      <c r="A1210" s="388"/>
      <c r="B1210" s="388"/>
    </row>
    <row r="1211" spans="1:2" x14ac:dyDescent="0.25">
      <c r="A1211" s="388"/>
      <c r="B1211" s="388"/>
    </row>
    <row r="1212" spans="1:2" x14ac:dyDescent="0.25">
      <c r="A1212" s="388"/>
      <c r="B1212" s="388"/>
    </row>
    <row r="1213" spans="1:2" x14ac:dyDescent="0.25">
      <c r="A1213" s="388"/>
      <c r="B1213" s="388"/>
    </row>
    <row r="1214" spans="1:2" x14ac:dyDescent="0.25">
      <c r="A1214" s="388"/>
      <c r="B1214" s="388"/>
    </row>
    <row r="1215" spans="1:2" x14ac:dyDescent="0.25">
      <c r="A1215" s="388"/>
      <c r="B1215" s="388"/>
    </row>
    <row r="1216" spans="1:2" x14ac:dyDescent="0.25">
      <c r="A1216" s="388"/>
      <c r="B1216" s="388"/>
    </row>
    <row r="1217" spans="1:2" x14ac:dyDescent="0.25">
      <c r="A1217" s="388"/>
      <c r="B1217" s="388"/>
    </row>
    <row r="1218" spans="1:2" x14ac:dyDescent="0.25">
      <c r="A1218" s="388"/>
      <c r="B1218" s="388"/>
    </row>
    <row r="1219" spans="1:2" x14ac:dyDescent="0.25">
      <c r="A1219" s="388"/>
      <c r="B1219" s="388"/>
    </row>
    <row r="1220" spans="1:2" x14ac:dyDescent="0.25">
      <c r="A1220" s="388"/>
      <c r="B1220" s="388"/>
    </row>
    <row r="1221" spans="1:2" x14ac:dyDescent="0.25">
      <c r="A1221" s="388"/>
      <c r="B1221" s="388"/>
    </row>
    <row r="1222" spans="1:2" x14ac:dyDescent="0.25">
      <c r="A1222" s="388"/>
      <c r="B1222" s="388"/>
    </row>
    <row r="1223" spans="1:2" x14ac:dyDescent="0.25">
      <c r="A1223" s="388"/>
      <c r="B1223" s="388"/>
    </row>
    <row r="1224" spans="1:2" x14ac:dyDescent="0.25">
      <c r="A1224" s="388"/>
      <c r="B1224" s="388"/>
    </row>
    <row r="1225" spans="1:2" x14ac:dyDescent="0.25">
      <c r="A1225" s="388"/>
      <c r="B1225" s="388"/>
    </row>
    <row r="1226" spans="1:2" x14ac:dyDescent="0.25">
      <c r="A1226" s="388"/>
      <c r="B1226" s="388"/>
    </row>
    <row r="1227" spans="1:2" x14ac:dyDescent="0.25">
      <c r="A1227" s="388"/>
      <c r="B1227" s="388"/>
    </row>
    <row r="1228" spans="1:2" x14ac:dyDescent="0.25">
      <c r="A1228" s="388"/>
      <c r="B1228" s="388"/>
    </row>
    <row r="1229" spans="1:2" x14ac:dyDescent="0.25">
      <c r="A1229" s="388"/>
      <c r="B1229" s="388"/>
    </row>
    <row r="1230" spans="1:2" x14ac:dyDescent="0.25">
      <c r="A1230" s="388"/>
      <c r="B1230" s="388"/>
    </row>
    <row r="1231" spans="1:2" x14ac:dyDescent="0.25">
      <c r="A1231" s="388"/>
      <c r="B1231" s="388"/>
    </row>
    <row r="1232" spans="1:2" x14ac:dyDescent="0.25">
      <c r="A1232" s="388"/>
      <c r="B1232" s="388"/>
    </row>
    <row r="1233" spans="1:2" x14ac:dyDescent="0.25">
      <c r="A1233" s="388"/>
      <c r="B1233" s="388"/>
    </row>
    <row r="1234" spans="1:2" x14ac:dyDescent="0.25">
      <c r="A1234" s="388"/>
      <c r="B1234" s="388"/>
    </row>
    <row r="1235" spans="1:2" x14ac:dyDescent="0.25">
      <c r="A1235" s="388"/>
      <c r="B1235" s="388"/>
    </row>
    <row r="1236" spans="1:2" x14ac:dyDescent="0.25">
      <c r="A1236" s="388"/>
      <c r="B1236" s="388"/>
    </row>
    <row r="1237" spans="1:2" x14ac:dyDescent="0.25">
      <c r="A1237" s="388"/>
      <c r="B1237" s="388"/>
    </row>
    <row r="1238" spans="1:2" x14ac:dyDescent="0.25">
      <c r="A1238" s="388"/>
      <c r="B1238" s="388"/>
    </row>
    <row r="1239" spans="1:2" x14ac:dyDescent="0.25">
      <c r="A1239" s="388"/>
      <c r="B1239" s="388"/>
    </row>
    <row r="1240" spans="1:2" x14ac:dyDescent="0.25">
      <c r="A1240" s="388"/>
      <c r="B1240" s="388"/>
    </row>
    <row r="1241" spans="1:2" x14ac:dyDescent="0.25">
      <c r="A1241" s="388"/>
      <c r="B1241" s="388"/>
    </row>
    <row r="1242" spans="1:2" x14ac:dyDescent="0.25">
      <c r="A1242" s="388"/>
      <c r="B1242" s="388"/>
    </row>
    <row r="1243" spans="1:2" x14ac:dyDescent="0.25">
      <c r="A1243" s="388"/>
      <c r="B1243" s="388"/>
    </row>
    <row r="1244" spans="1:2" x14ac:dyDescent="0.25">
      <c r="A1244" s="388"/>
      <c r="B1244" s="388"/>
    </row>
    <row r="1245" spans="1:2" x14ac:dyDescent="0.25">
      <c r="A1245" s="388"/>
      <c r="B1245" s="388"/>
    </row>
    <row r="1246" spans="1:2" x14ac:dyDescent="0.25">
      <c r="A1246" s="388"/>
      <c r="B1246" s="388"/>
    </row>
    <row r="1247" spans="1:2" x14ac:dyDescent="0.25">
      <c r="A1247" s="388"/>
      <c r="B1247" s="388"/>
    </row>
    <row r="1248" spans="1:2" x14ac:dyDescent="0.25">
      <c r="A1248" s="388"/>
      <c r="B1248" s="388"/>
    </row>
    <row r="1249" spans="1:2" x14ac:dyDescent="0.25">
      <c r="A1249" s="388"/>
      <c r="B1249" s="388"/>
    </row>
    <row r="1250" spans="1:2" x14ac:dyDescent="0.25">
      <c r="A1250" s="388"/>
      <c r="B1250" s="388"/>
    </row>
    <row r="1251" spans="1:2" x14ac:dyDescent="0.25">
      <c r="A1251" s="388"/>
      <c r="B1251" s="388"/>
    </row>
    <row r="1252" spans="1:2" x14ac:dyDescent="0.25">
      <c r="A1252" s="388"/>
      <c r="B1252" s="388"/>
    </row>
    <row r="1253" spans="1:2" x14ac:dyDescent="0.25">
      <c r="A1253" s="388"/>
      <c r="B1253" s="388"/>
    </row>
    <row r="1254" spans="1:2" x14ac:dyDescent="0.25">
      <c r="A1254" s="388"/>
      <c r="B1254" s="388"/>
    </row>
    <row r="1255" spans="1:2" x14ac:dyDescent="0.25">
      <c r="A1255" s="388"/>
      <c r="B1255" s="388"/>
    </row>
    <row r="1256" spans="1:2" x14ac:dyDescent="0.25">
      <c r="A1256" s="388"/>
      <c r="B1256" s="388"/>
    </row>
    <row r="1257" spans="1:2" x14ac:dyDescent="0.25">
      <c r="A1257" s="388"/>
      <c r="B1257" s="388"/>
    </row>
    <row r="1258" spans="1:2" x14ac:dyDescent="0.25">
      <c r="A1258" s="388"/>
      <c r="B1258" s="388"/>
    </row>
    <row r="1259" spans="1:2" x14ac:dyDescent="0.25">
      <c r="A1259" s="388"/>
      <c r="B1259" s="388"/>
    </row>
    <row r="1260" spans="1:2" x14ac:dyDescent="0.25">
      <c r="A1260" s="388"/>
      <c r="B1260" s="388"/>
    </row>
    <row r="1261" spans="1:2" x14ac:dyDescent="0.25">
      <c r="A1261" s="388"/>
      <c r="B1261" s="388"/>
    </row>
    <row r="1262" spans="1:2" x14ac:dyDescent="0.25">
      <c r="A1262" s="388"/>
      <c r="B1262" s="388"/>
    </row>
    <row r="1263" spans="1:2" x14ac:dyDescent="0.25">
      <c r="A1263" s="388"/>
      <c r="B1263" s="388"/>
    </row>
    <row r="1264" spans="1:2" x14ac:dyDescent="0.25">
      <c r="A1264" s="388"/>
      <c r="B1264" s="388"/>
    </row>
    <row r="1265" spans="1:2" x14ac:dyDescent="0.25">
      <c r="A1265" s="388"/>
      <c r="B1265" s="388"/>
    </row>
    <row r="1266" spans="1:2" x14ac:dyDescent="0.25">
      <c r="A1266" s="388"/>
      <c r="B1266" s="388"/>
    </row>
    <row r="1267" spans="1:2" x14ac:dyDescent="0.25">
      <c r="A1267" s="388"/>
      <c r="B1267" s="388"/>
    </row>
    <row r="1268" spans="1:2" x14ac:dyDescent="0.25">
      <c r="A1268" s="388"/>
      <c r="B1268" s="388"/>
    </row>
    <row r="1269" spans="1:2" x14ac:dyDescent="0.25">
      <c r="A1269" s="388"/>
      <c r="B1269" s="388"/>
    </row>
    <row r="1270" spans="1:2" x14ac:dyDescent="0.25">
      <c r="A1270" s="388"/>
      <c r="B1270" s="388"/>
    </row>
    <row r="1271" spans="1:2" x14ac:dyDescent="0.25">
      <c r="A1271" s="388"/>
      <c r="B1271" s="388"/>
    </row>
    <row r="1272" spans="1:2" x14ac:dyDescent="0.25">
      <c r="A1272" s="388"/>
      <c r="B1272" s="388"/>
    </row>
    <row r="1273" spans="1:2" x14ac:dyDescent="0.25">
      <c r="A1273" s="388"/>
      <c r="B1273" s="388"/>
    </row>
    <row r="1274" spans="1:2" x14ac:dyDescent="0.25">
      <c r="A1274" s="388"/>
      <c r="B1274" s="388"/>
    </row>
    <row r="1275" spans="1:2" x14ac:dyDescent="0.25">
      <c r="A1275" s="388"/>
      <c r="B1275" s="388"/>
    </row>
    <row r="1276" spans="1:2" x14ac:dyDescent="0.25">
      <c r="A1276" s="388"/>
      <c r="B1276" s="388"/>
    </row>
    <row r="1277" spans="1:2" x14ac:dyDescent="0.25">
      <c r="A1277" s="388"/>
      <c r="B1277" s="388"/>
    </row>
    <row r="1278" spans="1:2" x14ac:dyDescent="0.25">
      <c r="A1278" s="388"/>
      <c r="B1278" s="388"/>
    </row>
    <row r="1279" spans="1:2" x14ac:dyDescent="0.25">
      <c r="A1279" s="388"/>
      <c r="B1279" s="388"/>
    </row>
    <row r="1280" spans="1:2" x14ac:dyDescent="0.25">
      <c r="A1280" s="388"/>
      <c r="B1280" s="388"/>
    </row>
    <row r="1281" spans="1:2" x14ac:dyDescent="0.25">
      <c r="A1281" s="388"/>
      <c r="B1281" s="388"/>
    </row>
    <row r="1282" spans="1:2" x14ac:dyDescent="0.25">
      <c r="A1282" s="388"/>
      <c r="B1282" s="388"/>
    </row>
    <row r="1283" spans="1:2" x14ac:dyDescent="0.25">
      <c r="A1283" s="388"/>
      <c r="B1283" s="388"/>
    </row>
    <row r="1284" spans="1:2" x14ac:dyDescent="0.25">
      <c r="A1284" s="388"/>
      <c r="B1284" s="388"/>
    </row>
    <row r="1285" spans="1:2" x14ac:dyDescent="0.25">
      <c r="A1285" s="388"/>
      <c r="B1285" s="388"/>
    </row>
    <row r="1286" spans="1:2" x14ac:dyDescent="0.25">
      <c r="A1286" s="388"/>
      <c r="B1286" s="388"/>
    </row>
    <row r="1287" spans="1:2" x14ac:dyDescent="0.25">
      <c r="A1287" s="388"/>
      <c r="B1287" s="388"/>
    </row>
    <row r="1288" spans="1:2" x14ac:dyDescent="0.25">
      <c r="A1288" s="388"/>
      <c r="B1288" s="388"/>
    </row>
    <row r="1289" spans="1:2" x14ac:dyDescent="0.25">
      <c r="A1289" s="388"/>
      <c r="B1289" s="388"/>
    </row>
    <row r="1290" spans="1:2" x14ac:dyDescent="0.25">
      <c r="A1290" s="388"/>
      <c r="B1290" s="388"/>
    </row>
    <row r="1291" spans="1:2" x14ac:dyDescent="0.25">
      <c r="A1291" s="388"/>
      <c r="B1291" s="388"/>
    </row>
    <row r="1292" spans="1:2" x14ac:dyDescent="0.25">
      <c r="A1292" s="388"/>
      <c r="B1292" s="388"/>
    </row>
    <row r="1293" spans="1:2" x14ac:dyDescent="0.25">
      <c r="A1293" s="388"/>
      <c r="B1293" s="388"/>
    </row>
    <row r="1294" spans="1:2" x14ac:dyDescent="0.25">
      <c r="A1294" s="388"/>
      <c r="B1294" s="388"/>
    </row>
    <row r="1295" spans="1:2" x14ac:dyDescent="0.25">
      <c r="A1295" s="388"/>
      <c r="B1295" s="388"/>
    </row>
    <row r="1296" spans="1:2" x14ac:dyDescent="0.25">
      <c r="A1296" s="388"/>
      <c r="B1296" s="388"/>
    </row>
    <row r="1297" spans="1:2" x14ac:dyDescent="0.25">
      <c r="A1297" s="388"/>
      <c r="B1297" s="388"/>
    </row>
    <row r="1298" spans="1:2" x14ac:dyDescent="0.25">
      <c r="A1298" s="388"/>
      <c r="B1298" s="388"/>
    </row>
    <row r="1299" spans="1:2" x14ac:dyDescent="0.25">
      <c r="A1299" s="388"/>
      <c r="B1299" s="388"/>
    </row>
    <row r="1300" spans="1:2" x14ac:dyDescent="0.25">
      <c r="A1300" s="388"/>
      <c r="B1300" s="388"/>
    </row>
    <row r="1301" spans="1:2" x14ac:dyDescent="0.25">
      <c r="A1301" s="388"/>
      <c r="B1301" s="388"/>
    </row>
    <row r="1302" spans="1:2" x14ac:dyDescent="0.25">
      <c r="A1302" s="388"/>
      <c r="B1302" s="388"/>
    </row>
    <row r="1303" spans="1:2" x14ac:dyDescent="0.25">
      <c r="A1303" s="388"/>
      <c r="B1303" s="388"/>
    </row>
    <row r="1304" spans="1:2" x14ac:dyDescent="0.25">
      <c r="A1304" s="388"/>
      <c r="B1304" s="388"/>
    </row>
    <row r="1305" spans="1:2" x14ac:dyDescent="0.25">
      <c r="A1305" s="388"/>
      <c r="B1305" s="388"/>
    </row>
    <row r="1306" spans="1:2" x14ac:dyDescent="0.25">
      <c r="A1306" s="388"/>
      <c r="B1306" s="388"/>
    </row>
    <row r="1307" spans="1:2" x14ac:dyDescent="0.25">
      <c r="A1307" s="388"/>
      <c r="B1307" s="388"/>
    </row>
    <row r="1308" spans="1:2" x14ac:dyDescent="0.25">
      <c r="A1308" s="388"/>
      <c r="B1308" s="388"/>
    </row>
    <row r="1309" spans="1:2" x14ac:dyDescent="0.25">
      <c r="A1309" s="388"/>
      <c r="B1309" s="388"/>
    </row>
    <row r="1310" spans="1:2" x14ac:dyDescent="0.25">
      <c r="A1310" s="388"/>
      <c r="B1310" s="388"/>
    </row>
    <row r="1311" spans="1:2" x14ac:dyDescent="0.25">
      <c r="A1311" s="388"/>
      <c r="B1311" s="388"/>
    </row>
    <row r="1312" spans="1:2" x14ac:dyDescent="0.25">
      <c r="A1312" s="388"/>
      <c r="B1312" s="388"/>
    </row>
    <row r="1313" spans="1:2" x14ac:dyDescent="0.25">
      <c r="A1313" s="388"/>
      <c r="B1313" s="388"/>
    </row>
    <row r="1314" spans="1:2" x14ac:dyDescent="0.25">
      <c r="A1314" s="388"/>
      <c r="B1314" s="388"/>
    </row>
    <row r="1315" spans="1:2" x14ac:dyDescent="0.25">
      <c r="A1315" s="388"/>
      <c r="B1315" s="388"/>
    </row>
    <row r="1316" spans="1:2" x14ac:dyDescent="0.25">
      <c r="A1316" s="388"/>
      <c r="B1316" s="388"/>
    </row>
    <row r="1317" spans="1:2" x14ac:dyDescent="0.25">
      <c r="A1317" s="388"/>
      <c r="B1317" s="388"/>
    </row>
    <row r="1318" spans="1:2" x14ac:dyDescent="0.25">
      <c r="A1318" s="388"/>
      <c r="B1318" s="388"/>
    </row>
    <row r="1319" spans="1:2" x14ac:dyDescent="0.25">
      <c r="A1319" s="388"/>
      <c r="B1319" s="388"/>
    </row>
    <row r="1320" spans="1:2" x14ac:dyDescent="0.25">
      <c r="A1320" s="388"/>
      <c r="B1320" s="388"/>
    </row>
    <row r="1321" spans="1:2" x14ac:dyDescent="0.25">
      <c r="A1321" s="388"/>
      <c r="B1321" s="388"/>
    </row>
    <row r="1322" spans="1:2" x14ac:dyDescent="0.25">
      <c r="A1322" s="388"/>
      <c r="B1322" s="388"/>
    </row>
    <row r="1323" spans="1:2" x14ac:dyDescent="0.25">
      <c r="A1323" s="388"/>
      <c r="B1323" s="388"/>
    </row>
    <row r="1324" spans="1:2" x14ac:dyDescent="0.25">
      <c r="A1324" s="388"/>
      <c r="B1324" s="388"/>
    </row>
    <row r="1325" spans="1:2" x14ac:dyDescent="0.25">
      <c r="A1325" s="388"/>
      <c r="B1325" s="388"/>
    </row>
    <row r="1326" spans="1:2" x14ac:dyDescent="0.25">
      <c r="A1326" s="388"/>
      <c r="B1326" s="388"/>
    </row>
    <row r="1327" spans="1:2" x14ac:dyDescent="0.25">
      <c r="A1327" s="388"/>
      <c r="B1327" s="388"/>
    </row>
    <row r="1328" spans="1:2" x14ac:dyDescent="0.25">
      <c r="A1328" s="388"/>
      <c r="B1328" s="388"/>
    </row>
    <row r="1329" spans="1:2" x14ac:dyDescent="0.25">
      <c r="A1329" s="388"/>
      <c r="B1329" s="388"/>
    </row>
    <row r="1330" spans="1:2" x14ac:dyDescent="0.25">
      <c r="A1330" s="388"/>
      <c r="B1330" s="388"/>
    </row>
    <row r="1331" spans="1:2" x14ac:dyDescent="0.25">
      <c r="A1331" s="388"/>
      <c r="B1331" s="388"/>
    </row>
    <row r="1332" spans="1:2" x14ac:dyDescent="0.25">
      <c r="A1332" s="388"/>
      <c r="B1332" s="388"/>
    </row>
    <row r="1333" spans="1:2" x14ac:dyDescent="0.25">
      <c r="A1333" s="388"/>
      <c r="B1333" s="388"/>
    </row>
    <row r="1334" spans="1:2" x14ac:dyDescent="0.25">
      <c r="A1334" s="388"/>
      <c r="B1334" s="388"/>
    </row>
    <row r="1335" spans="1:2" x14ac:dyDescent="0.25">
      <c r="A1335" s="388"/>
      <c r="B1335" s="388"/>
    </row>
    <row r="1336" spans="1:2" x14ac:dyDescent="0.25">
      <c r="A1336" s="388"/>
      <c r="B1336" s="388"/>
    </row>
    <row r="1337" spans="1:2" x14ac:dyDescent="0.25">
      <c r="A1337" s="388"/>
      <c r="B1337" s="388"/>
    </row>
    <row r="1338" spans="1:2" x14ac:dyDescent="0.25">
      <c r="A1338" s="388"/>
      <c r="B1338" s="388"/>
    </row>
    <row r="1339" spans="1:2" x14ac:dyDescent="0.25">
      <c r="A1339" s="388"/>
      <c r="B1339" s="388"/>
    </row>
    <row r="1340" spans="1:2" x14ac:dyDescent="0.25">
      <c r="A1340" s="388"/>
      <c r="B1340" s="388"/>
    </row>
    <row r="1341" spans="1:2" x14ac:dyDescent="0.25">
      <c r="A1341" s="388"/>
      <c r="B1341" s="388"/>
    </row>
    <row r="1342" spans="1:2" x14ac:dyDescent="0.25">
      <c r="A1342" s="388"/>
      <c r="B1342" s="388"/>
    </row>
    <row r="1343" spans="1:2" x14ac:dyDescent="0.25">
      <c r="A1343" s="388"/>
      <c r="B1343" s="388"/>
    </row>
    <row r="1344" spans="1:2" x14ac:dyDescent="0.25">
      <c r="A1344" s="388"/>
      <c r="B1344" s="388"/>
    </row>
    <row r="1345" spans="1:2" x14ac:dyDescent="0.25">
      <c r="A1345" s="388"/>
      <c r="B1345" s="388"/>
    </row>
    <row r="1346" spans="1:2" x14ac:dyDescent="0.25">
      <c r="A1346" s="388"/>
      <c r="B1346" s="388"/>
    </row>
    <row r="1347" spans="1:2" x14ac:dyDescent="0.25">
      <c r="A1347" s="388"/>
      <c r="B1347" s="388"/>
    </row>
    <row r="1348" spans="1:2" x14ac:dyDescent="0.25">
      <c r="A1348" s="388"/>
      <c r="B1348" s="388"/>
    </row>
    <row r="1349" spans="1:2" x14ac:dyDescent="0.25">
      <c r="A1349" s="388"/>
      <c r="B1349" s="388"/>
    </row>
    <row r="1350" spans="1:2" x14ac:dyDescent="0.25">
      <c r="A1350" s="388"/>
      <c r="B1350" s="388"/>
    </row>
    <row r="1351" spans="1:2" x14ac:dyDescent="0.25">
      <c r="A1351" s="388"/>
      <c r="B1351" s="388"/>
    </row>
    <row r="1352" spans="1:2" x14ac:dyDescent="0.25">
      <c r="A1352" s="388"/>
      <c r="B1352" s="388"/>
    </row>
    <row r="1353" spans="1:2" x14ac:dyDescent="0.25">
      <c r="A1353" s="388"/>
      <c r="B1353" s="388"/>
    </row>
    <row r="1354" spans="1:2" x14ac:dyDescent="0.25">
      <c r="A1354" s="388"/>
      <c r="B1354" s="388"/>
    </row>
    <row r="1355" spans="1:2" x14ac:dyDescent="0.25">
      <c r="A1355" s="388"/>
      <c r="B1355" s="388"/>
    </row>
    <row r="1356" spans="1:2" x14ac:dyDescent="0.25">
      <c r="A1356" s="388"/>
      <c r="B1356" s="388"/>
    </row>
    <row r="1357" spans="1:2" x14ac:dyDescent="0.25">
      <c r="A1357" s="388"/>
      <c r="B1357" s="388"/>
    </row>
    <row r="1358" spans="1:2" x14ac:dyDescent="0.25">
      <c r="A1358" s="388"/>
      <c r="B1358" s="388"/>
    </row>
    <row r="1359" spans="1:2" x14ac:dyDescent="0.25">
      <c r="A1359" s="388"/>
      <c r="B1359" s="388"/>
    </row>
    <row r="1360" spans="1:2" x14ac:dyDescent="0.25">
      <c r="A1360" s="388"/>
      <c r="B1360" s="388"/>
    </row>
    <row r="1361" spans="1:2" x14ac:dyDescent="0.25">
      <c r="A1361" s="388"/>
      <c r="B1361" s="388"/>
    </row>
    <row r="1362" spans="1:2" x14ac:dyDescent="0.25">
      <c r="A1362" s="388"/>
      <c r="B1362" s="388"/>
    </row>
    <row r="1363" spans="1:2" x14ac:dyDescent="0.25">
      <c r="A1363" s="388"/>
      <c r="B1363" s="388"/>
    </row>
    <row r="1364" spans="1:2" x14ac:dyDescent="0.25">
      <c r="A1364" s="388"/>
      <c r="B1364" s="388"/>
    </row>
    <row r="1365" spans="1:2" x14ac:dyDescent="0.25">
      <c r="A1365" s="388"/>
      <c r="B1365" s="388"/>
    </row>
    <row r="1366" spans="1:2" x14ac:dyDescent="0.25">
      <c r="A1366" s="388"/>
      <c r="B1366" s="388"/>
    </row>
    <row r="1367" spans="1:2" x14ac:dyDescent="0.25">
      <c r="A1367" s="388"/>
      <c r="B1367" s="388"/>
    </row>
    <row r="1368" spans="1:2" x14ac:dyDescent="0.25">
      <c r="A1368" s="388"/>
      <c r="B1368" s="388"/>
    </row>
    <row r="1369" spans="1:2" x14ac:dyDescent="0.25">
      <c r="A1369" s="388"/>
      <c r="B1369" s="388"/>
    </row>
    <row r="1370" spans="1:2" x14ac:dyDescent="0.25">
      <c r="A1370" s="388"/>
      <c r="B1370" s="388"/>
    </row>
    <row r="1371" spans="1:2" x14ac:dyDescent="0.25">
      <c r="A1371" s="388"/>
      <c r="B1371" s="388"/>
    </row>
    <row r="1372" spans="1:2" x14ac:dyDescent="0.25">
      <c r="A1372" s="388"/>
      <c r="B1372" s="388"/>
    </row>
    <row r="1373" spans="1:2" x14ac:dyDescent="0.25">
      <c r="A1373" s="388"/>
      <c r="B1373" s="388"/>
    </row>
    <row r="1374" spans="1:2" x14ac:dyDescent="0.25">
      <c r="A1374" s="388"/>
      <c r="B1374" s="388"/>
    </row>
    <row r="1375" spans="1:2" x14ac:dyDescent="0.25">
      <c r="A1375" s="388"/>
      <c r="B1375" s="388"/>
    </row>
    <row r="1376" spans="1:2" x14ac:dyDescent="0.25">
      <c r="A1376" s="388"/>
      <c r="B1376" s="388"/>
    </row>
    <row r="1377" spans="1:2" x14ac:dyDescent="0.25">
      <c r="A1377" s="388"/>
      <c r="B1377" s="388"/>
    </row>
    <row r="1378" spans="1:2" x14ac:dyDescent="0.25">
      <c r="A1378" s="388"/>
      <c r="B1378" s="388"/>
    </row>
    <row r="1379" spans="1:2" x14ac:dyDescent="0.25">
      <c r="A1379" s="388"/>
      <c r="B1379" s="388"/>
    </row>
    <row r="1380" spans="1:2" x14ac:dyDescent="0.25">
      <c r="A1380" s="388"/>
      <c r="B1380" s="388"/>
    </row>
    <row r="1381" spans="1:2" x14ac:dyDescent="0.25">
      <c r="A1381" s="388"/>
      <c r="B1381" s="388"/>
    </row>
    <row r="1382" spans="1:2" x14ac:dyDescent="0.25">
      <c r="A1382" s="388"/>
      <c r="B1382" s="388"/>
    </row>
    <row r="1383" spans="1:2" x14ac:dyDescent="0.25">
      <c r="A1383" s="388"/>
      <c r="B1383" s="388"/>
    </row>
    <row r="1384" spans="1:2" x14ac:dyDescent="0.25">
      <c r="A1384" s="388"/>
      <c r="B1384" s="388"/>
    </row>
    <row r="1385" spans="1:2" x14ac:dyDescent="0.25">
      <c r="A1385" s="388"/>
      <c r="B1385" s="388"/>
    </row>
    <row r="1386" spans="1:2" x14ac:dyDescent="0.25">
      <c r="A1386" s="388"/>
      <c r="B1386" s="388"/>
    </row>
    <row r="1387" spans="1:2" x14ac:dyDescent="0.25">
      <c r="A1387" s="388"/>
      <c r="B1387" s="388"/>
    </row>
    <row r="1388" spans="1:2" x14ac:dyDescent="0.25">
      <c r="A1388" s="388"/>
      <c r="B1388" s="388"/>
    </row>
    <row r="1389" spans="1:2" x14ac:dyDescent="0.25">
      <c r="A1389" s="388"/>
      <c r="B1389" s="388"/>
    </row>
    <row r="1390" spans="1:2" x14ac:dyDescent="0.25">
      <c r="A1390" s="388"/>
      <c r="B1390" s="388"/>
    </row>
    <row r="1391" spans="1:2" x14ac:dyDescent="0.25">
      <c r="A1391" s="388"/>
      <c r="B1391" s="388"/>
    </row>
    <row r="1392" spans="1:2" x14ac:dyDescent="0.25">
      <c r="A1392" s="388"/>
      <c r="B1392" s="388"/>
    </row>
    <row r="1393" spans="1:2" x14ac:dyDescent="0.25">
      <c r="A1393" s="388"/>
      <c r="B1393" s="388"/>
    </row>
    <row r="1394" spans="1:2" x14ac:dyDescent="0.25">
      <c r="A1394" s="388"/>
      <c r="B1394" s="388"/>
    </row>
    <row r="1395" spans="1:2" x14ac:dyDescent="0.25">
      <c r="A1395" s="388"/>
      <c r="B1395" s="388"/>
    </row>
    <row r="1396" spans="1:2" x14ac:dyDescent="0.25">
      <c r="A1396" s="388"/>
      <c r="B1396" s="388"/>
    </row>
    <row r="1397" spans="1:2" x14ac:dyDescent="0.25">
      <c r="A1397" s="388"/>
      <c r="B1397" s="388"/>
    </row>
    <row r="1398" spans="1:2" x14ac:dyDescent="0.25">
      <c r="A1398" s="388"/>
      <c r="B1398" s="388"/>
    </row>
    <row r="1399" spans="1:2" x14ac:dyDescent="0.25">
      <c r="A1399" s="388"/>
      <c r="B1399" s="388"/>
    </row>
    <row r="1400" spans="1:2" x14ac:dyDescent="0.25">
      <c r="A1400" s="388"/>
      <c r="B1400" s="388"/>
    </row>
    <row r="1401" spans="1:2" x14ac:dyDescent="0.25">
      <c r="A1401" s="388"/>
      <c r="B1401" s="388"/>
    </row>
    <row r="1402" spans="1:2" x14ac:dyDescent="0.25">
      <c r="A1402" s="388"/>
      <c r="B1402" s="388"/>
    </row>
    <row r="1403" spans="1:2" x14ac:dyDescent="0.25">
      <c r="A1403" s="388"/>
      <c r="B1403" s="388"/>
    </row>
    <row r="1404" spans="1:2" x14ac:dyDescent="0.25">
      <c r="A1404" s="388"/>
      <c r="B1404" s="388"/>
    </row>
    <row r="1405" spans="1:2" x14ac:dyDescent="0.25">
      <c r="A1405" s="388"/>
      <c r="B1405" s="388"/>
    </row>
    <row r="1406" spans="1:2" x14ac:dyDescent="0.25">
      <c r="A1406" s="388"/>
      <c r="B1406" s="388"/>
    </row>
    <row r="1407" spans="1:2" x14ac:dyDescent="0.25">
      <c r="A1407" s="388"/>
      <c r="B1407" s="388"/>
    </row>
    <row r="1408" spans="1:2" x14ac:dyDescent="0.25">
      <c r="A1408" s="388"/>
      <c r="B1408" s="388"/>
    </row>
    <row r="1409" spans="1:2" x14ac:dyDescent="0.25">
      <c r="A1409" s="388"/>
      <c r="B1409" s="388"/>
    </row>
    <row r="1410" spans="1:2" x14ac:dyDescent="0.25">
      <c r="A1410" s="388"/>
      <c r="B1410" s="388"/>
    </row>
    <row r="1411" spans="1:2" x14ac:dyDescent="0.25">
      <c r="A1411" s="388"/>
      <c r="B1411" s="388"/>
    </row>
    <row r="1412" spans="1:2" x14ac:dyDescent="0.25">
      <c r="A1412" s="388"/>
      <c r="B1412" s="388"/>
    </row>
    <row r="1413" spans="1:2" x14ac:dyDescent="0.25">
      <c r="A1413" s="388"/>
      <c r="B1413" s="388"/>
    </row>
    <row r="1414" spans="1:2" x14ac:dyDescent="0.25">
      <c r="A1414" s="388"/>
      <c r="B1414" s="388"/>
    </row>
    <row r="1415" spans="1:2" x14ac:dyDescent="0.25">
      <c r="A1415" s="388"/>
      <c r="B1415" s="388"/>
    </row>
    <row r="1416" spans="1:2" x14ac:dyDescent="0.25">
      <c r="A1416" s="388"/>
      <c r="B1416" s="388"/>
    </row>
    <row r="1417" spans="1:2" x14ac:dyDescent="0.25">
      <c r="A1417" s="388"/>
      <c r="B1417" s="388"/>
    </row>
    <row r="1418" spans="1:2" x14ac:dyDescent="0.25">
      <c r="A1418" s="388"/>
      <c r="B1418" s="388"/>
    </row>
    <row r="1419" spans="1:2" x14ac:dyDescent="0.25">
      <c r="A1419" s="388"/>
      <c r="B1419" s="388"/>
    </row>
    <row r="1420" spans="1:2" x14ac:dyDescent="0.25">
      <c r="A1420" s="388"/>
      <c r="B1420" s="388"/>
    </row>
    <row r="1421" spans="1:2" x14ac:dyDescent="0.25">
      <c r="A1421" s="388"/>
      <c r="B1421" s="388"/>
    </row>
    <row r="1422" spans="1:2" x14ac:dyDescent="0.25">
      <c r="A1422" s="388"/>
      <c r="B1422" s="388"/>
    </row>
    <row r="1423" spans="1:2" x14ac:dyDescent="0.25">
      <c r="A1423" s="388"/>
      <c r="B1423" s="388"/>
    </row>
    <row r="1424" spans="1:2" x14ac:dyDescent="0.25">
      <c r="A1424" s="388"/>
      <c r="B1424" s="388"/>
    </row>
    <row r="1425" spans="1:2" x14ac:dyDescent="0.25">
      <c r="A1425" s="388"/>
      <c r="B1425" s="388"/>
    </row>
    <row r="1426" spans="1:2" x14ac:dyDescent="0.25">
      <c r="A1426" s="388"/>
      <c r="B1426" s="388"/>
    </row>
    <row r="1427" spans="1:2" x14ac:dyDescent="0.25">
      <c r="A1427" s="388"/>
      <c r="B1427" s="388"/>
    </row>
    <row r="1428" spans="1:2" x14ac:dyDescent="0.25">
      <c r="A1428" s="388"/>
      <c r="B1428" s="388"/>
    </row>
    <row r="1429" spans="1:2" x14ac:dyDescent="0.25">
      <c r="A1429" s="388"/>
      <c r="B1429" s="388"/>
    </row>
    <row r="1430" spans="1:2" x14ac:dyDescent="0.25">
      <c r="A1430" s="388"/>
      <c r="B1430" s="388"/>
    </row>
    <row r="1431" spans="1:2" x14ac:dyDescent="0.25">
      <c r="A1431" s="388"/>
      <c r="B1431" s="388"/>
    </row>
    <row r="1432" spans="1:2" x14ac:dyDescent="0.25">
      <c r="A1432" s="388"/>
      <c r="B1432" s="388"/>
    </row>
    <row r="1433" spans="1:2" x14ac:dyDescent="0.25">
      <c r="A1433" s="388"/>
      <c r="B1433" s="388"/>
    </row>
    <row r="1434" spans="1:2" x14ac:dyDescent="0.25">
      <c r="A1434" s="388"/>
      <c r="B1434" s="388"/>
    </row>
    <row r="1435" spans="1:2" x14ac:dyDescent="0.25">
      <c r="A1435" s="388"/>
      <c r="B1435" s="388"/>
    </row>
    <row r="1436" spans="1:2" x14ac:dyDescent="0.25">
      <c r="A1436" s="388"/>
      <c r="B1436" s="388"/>
    </row>
    <row r="1437" spans="1:2" x14ac:dyDescent="0.25">
      <c r="A1437" s="388"/>
      <c r="B1437" s="388"/>
    </row>
    <row r="1438" spans="1:2" x14ac:dyDescent="0.25">
      <c r="A1438" s="388"/>
      <c r="B1438" s="388"/>
    </row>
    <row r="1439" spans="1:2" x14ac:dyDescent="0.25">
      <c r="A1439" s="388"/>
      <c r="B1439" s="388"/>
    </row>
    <row r="1440" spans="1:2" x14ac:dyDescent="0.25">
      <c r="A1440" s="388"/>
      <c r="B1440" s="388"/>
    </row>
    <row r="1441" spans="1:2" x14ac:dyDescent="0.25">
      <c r="A1441" s="388"/>
      <c r="B1441" s="388"/>
    </row>
    <row r="1442" spans="1:2" x14ac:dyDescent="0.25">
      <c r="A1442" s="388"/>
      <c r="B1442" s="388"/>
    </row>
    <row r="1443" spans="1:2" x14ac:dyDescent="0.25">
      <c r="A1443" s="388"/>
      <c r="B1443" s="388"/>
    </row>
    <row r="1444" spans="1:2" x14ac:dyDescent="0.25">
      <c r="A1444" s="388"/>
      <c r="B1444" s="388"/>
    </row>
    <row r="1445" spans="1:2" x14ac:dyDescent="0.25">
      <c r="A1445" s="388"/>
      <c r="B1445" s="388"/>
    </row>
    <row r="1446" spans="1:2" x14ac:dyDescent="0.25">
      <c r="A1446" s="388"/>
      <c r="B1446" s="388"/>
    </row>
    <row r="1447" spans="1:2" x14ac:dyDescent="0.25">
      <c r="A1447" s="388"/>
      <c r="B1447" s="388"/>
    </row>
    <row r="1448" spans="1:2" x14ac:dyDescent="0.25">
      <c r="A1448" s="388"/>
      <c r="B1448" s="388"/>
    </row>
    <row r="1449" spans="1:2" x14ac:dyDescent="0.25">
      <c r="A1449" s="388"/>
      <c r="B1449" s="388"/>
    </row>
    <row r="1450" spans="1:2" x14ac:dyDescent="0.25">
      <c r="A1450" s="388"/>
      <c r="B1450" s="388"/>
    </row>
    <row r="1451" spans="1:2" x14ac:dyDescent="0.25">
      <c r="A1451" s="388"/>
      <c r="B1451" s="388"/>
    </row>
    <row r="1452" spans="1:2" x14ac:dyDescent="0.25">
      <c r="A1452" s="388"/>
      <c r="B1452" s="388"/>
    </row>
    <row r="1453" spans="1:2" x14ac:dyDescent="0.25">
      <c r="A1453" s="388"/>
      <c r="B1453" s="388"/>
    </row>
    <row r="1454" spans="1:2" x14ac:dyDescent="0.25">
      <c r="A1454" s="388"/>
      <c r="B1454" s="388"/>
    </row>
    <row r="1455" spans="1:2" x14ac:dyDescent="0.25">
      <c r="A1455" s="388"/>
      <c r="B1455" s="388"/>
    </row>
    <row r="1456" spans="1:2" x14ac:dyDescent="0.25">
      <c r="A1456" s="388"/>
      <c r="B1456" s="388"/>
    </row>
    <row r="1457" spans="1:2" x14ac:dyDescent="0.25">
      <c r="A1457" s="388"/>
      <c r="B1457" s="388"/>
    </row>
    <row r="1458" spans="1:2" x14ac:dyDescent="0.25">
      <c r="A1458" s="388"/>
      <c r="B1458" s="388"/>
    </row>
    <row r="1459" spans="1:2" x14ac:dyDescent="0.25">
      <c r="A1459" s="388"/>
      <c r="B1459" s="388"/>
    </row>
    <row r="1460" spans="1:2" x14ac:dyDescent="0.25">
      <c r="A1460" s="388"/>
      <c r="B1460" s="388"/>
    </row>
    <row r="1461" spans="1:2" x14ac:dyDescent="0.25">
      <c r="A1461" s="388"/>
      <c r="B1461" s="388"/>
    </row>
    <row r="1462" spans="1:2" x14ac:dyDescent="0.25">
      <c r="A1462" s="388"/>
      <c r="B1462" s="388"/>
    </row>
    <row r="1463" spans="1:2" x14ac:dyDescent="0.25">
      <c r="A1463" s="388"/>
      <c r="B1463" s="388"/>
    </row>
    <row r="1464" spans="1:2" x14ac:dyDescent="0.25">
      <c r="A1464" s="388"/>
      <c r="B1464" s="388"/>
    </row>
    <row r="1465" spans="1:2" x14ac:dyDescent="0.25">
      <c r="A1465" s="388"/>
      <c r="B1465" s="388"/>
    </row>
    <row r="1466" spans="1:2" x14ac:dyDescent="0.25">
      <c r="A1466" s="388"/>
      <c r="B1466" s="388"/>
    </row>
    <row r="1467" spans="1:2" x14ac:dyDescent="0.25">
      <c r="A1467" s="388"/>
      <c r="B1467" s="388"/>
    </row>
    <row r="1468" spans="1:2" x14ac:dyDescent="0.25">
      <c r="A1468" s="388"/>
      <c r="B1468" s="388"/>
    </row>
    <row r="1469" spans="1:2" x14ac:dyDescent="0.25">
      <c r="A1469" s="388"/>
      <c r="B1469" s="388"/>
    </row>
    <row r="1470" spans="1:2" x14ac:dyDescent="0.25">
      <c r="A1470" s="388"/>
      <c r="B1470" s="388"/>
    </row>
    <row r="1471" spans="1:2" x14ac:dyDescent="0.25">
      <c r="A1471" s="388"/>
      <c r="B1471" s="388"/>
    </row>
    <row r="1472" spans="1:2" x14ac:dyDescent="0.25">
      <c r="A1472" s="388"/>
      <c r="B1472" s="388"/>
    </row>
    <row r="1473" spans="1:2" x14ac:dyDescent="0.25">
      <c r="A1473" s="388"/>
      <c r="B1473" s="388"/>
    </row>
    <row r="1474" spans="1:2" x14ac:dyDescent="0.25">
      <c r="A1474" s="388"/>
      <c r="B1474" s="388"/>
    </row>
    <row r="1475" spans="1:2" x14ac:dyDescent="0.25">
      <c r="A1475" s="388"/>
      <c r="B1475" s="388"/>
    </row>
    <row r="1476" spans="1:2" x14ac:dyDescent="0.25">
      <c r="A1476" s="388"/>
      <c r="B1476" s="388"/>
    </row>
    <row r="1477" spans="1:2" x14ac:dyDescent="0.25">
      <c r="A1477" s="388"/>
      <c r="B1477" s="388"/>
    </row>
    <row r="1478" spans="1:2" x14ac:dyDescent="0.25">
      <c r="A1478" s="388"/>
      <c r="B1478" s="388"/>
    </row>
    <row r="1479" spans="1:2" x14ac:dyDescent="0.25">
      <c r="A1479" s="388"/>
      <c r="B1479" s="388"/>
    </row>
    <row r="1480" spans="1:2" x14ac:dyDescent="0.25">
      <c r="A1480" s="388"/>
      <c r="B1480" s="388"/>
    </row>
    <row r="1481" spans="1:2" x14ac:dyDescent="0.25">
      <c r="A1481" s="388"/>
      <c r="B1481" s="388"/>
    </row>
    <row r="1482" spans="1:2" x14ac:dyDescent="0.25">
      <c r="A1482" s="388"/>
      <c r="B1482" s="388"/>
    </row>
    <row r="1483" spans="1:2" x14ac:dyDescent="0.25">
      <c r="A1483" s="388"/>
      <c r="B1483" s="388"/>
    </row>
    <row r="1484" spans="1:2" x14ac:dyDescent="0.25">
      <c r="A1484" s="388"/>
      <c r="B1484" s="388"/>
    </row>
    <row r="1485" spans="1:2" x14ac:dyDescent="0.25">
      <c r="A1485" s="388"/>
      <c r="B1485" s="388"/>
    </row>
    <row r="1486" spans="1:2" x14ac:dyDescent="0.25">
      <c r="A1486" s="388"/>
      <c r="B1486" s="388"/>
    </row>
    <row r="1487" spans="1:2" x14ac:dyDescent="0.25">
      <c r="A1487" s="388"/>
      <c r="B1487" s="388"/>
    </row>
    <row r="1488" spans="1:2" x14ac:dyDescent="0.25">
      <c r="A1488" s="388"/>
      <c r="B1488" s="388"/>
    </row>
    <row r="1489" spans="1:2" x14ac:dyDescent="0.25">
      <c r="A1489" s="388"/>
      <c r="B1489" s="388"/>
    </row>
    <row r="1490" spans="1:2" x14ac:dyDescent="0.25">
      <c r="A1490" s="388"/>
      <c r="B1490" s="388"/>
    </row>
    <row r="1491" spans="1:2" x14ac:dyDescent="0.25">
      <c r="A1491" s="388"/>
      <c r="B1491" s="388"/>
    </row>
    <row r="1492" spans="1:2" x14ac:dyDescent="0.25">
      <c r="A1492" s="388"/>
      <c r="B1492" s="388"/>
    </row>
    <row r="1493" spans="1:2" x14ac:dyDescent="0.25">
      <c r="A1493" s="388"/>
      <c r="B1493" s="388"/>
    </row>
    <row r="1494" spans="1:2" x14ac:dyDescent="0.25">
      <c r="A1494" s="388"/>
      <c r="B1494" s="388"/>
    </row>
    <row r="1495" spans="1:2" x14ac:dyDescent="0.25">
      <c r="A1495" s="388"/>
      <c r="B1495" s="388"/>
    </row>
    <row r="1496" spans="1:2" x14ac:dyDescent="0.25">
      <c r="A1496" s="388"/>
      <c r="B1496" s="388"/>
    </row>
    <row r="1497" spans="1:2" x14ac:dyDescent="0.25">
      <c r="A1497" s="388"/>
      <c r="B1497" s="388"/>
    </row>
    <row r="1498" spans="1:2" x14ac:dyDescent="0.25">
      <c r="A1498" s="388"/>
      <c r="B1498" s="388"/>
    </row>
    <row r="1499" spans="1:2" x14ac:dyDescent="0.25">
      <c r="A1499" s="388"/>
      <c r="B1499" s="388"/>
    </row>
    <row r="1500" spans="1:2" x14ac:dyDescent="0.25">
      <c r="A1500" s="388"/>
      <c r="B1500" s="388"/>
    </row>
    <row r="1501" spans="1:2" x14ac:dyDescent="0.25">
      <c r="A1501" s="388"/>
      <c r="B1501" s="388"/>
    </row>
    <row r="1502" spans="1:2" x14ac:dyDescent="0.25">
      <c r="A1502" s="388"/>
      <c r="B1502" s="388"/>
    </row>
    <row r="1503" spans="1:2" x14ac:dyDescent="0.25">
      <c r="A1503" s="388"/>
      <c r="B1503" s="388"/>
    </row>
    <row r="1504" spans="1:2" x14ac:dyDescent="0.25">
      <c r="A1504" s="388"/>
      <c r="B1504" s="388"/>
    </row>
    <row r="1505" spans="1:2" x14ac:dyDescent="0.25">
      <c r="A1505" s="388"/>
      <c r="B1505" s="388"/>
    </row>
    <row r="1506" spans="1:2" x14ac:dyDescent="0.25">
      <c r="A1506" s="388"/>
      <c r="B1506" s="388"/>
    </row>
    <row r="1507" spans="1:2" x14ac:dyDescent="0.25">
      <c r="A1507" s="388"/>
      <c r="B1507" s="388"/>
    </row>
    <row r="1508" spans="1:2" x14ac:dyDescent="0.25">
      <c r="A1508" s="388"/>
      <c r="B1508" s="388"/>
    </row>
    <row r="1509" spans="1:2" x14ac:dyDescent="0.25">
      <c r="A1509" s="388"/>
      <c r="B1509" s="388"/>
    </row>
    <row r="1510" spans="1:2" x14ac:dyDescent="0.25">
      <c r="A1510" s="388"/>
      <c r="B1510" s="388"/>
    </row>
    <row r="1511" spans="1:2" x14ac:dyDescent="0.25">
      <c r="A1511" s="388"/>
      <c r="B1511" s="388"/>
    </row>
    <row r="1512" spans="1:2" x14ac:dyDescent="0.25">
      <c r="A1512" s="388"/>
      <c r="B1512" s="388"/>
    </row>
    <row r="1513" spans="1:2" x14ac:dyDescent="0.25">
      <c r="A1513" s="388"/>
      <c r="B1513" s="388"/>
    </row>
    <row r="1514" spans="1:2" x14ac:dyDescent="0.25">
      <c r="A1514" s="388"/>
      <c r="B1514" s="388"/>
    </row>
    <row r="1515" spans="1:2" x14ac:dyDescent="0.25">
      <c r="A1515" s="388"/>
      <c r="B1515" s="388"/>
    </row>
    <row r="1516" spans="1:2" x14ac:dyDescent="0.25">
      <c r="A1516" s="388"/>
      <c r="B1516" s="388"/>
    </row>
    <row r="1517" spans="1:2" x14ac:dyDescent="0.25">
      <c r="A1517" s="388"/>
      <c r="B1517" s="388"/>
    </row>
    <row r="1518" spans="1:2" x14ac:dyDescent="0.25">
      <c r="A1518" s="388"/>
      <c r="B1518" s="388"/>
    </row>
    <row r="1519" spans="1:2" x14ac:dyDescent="0.25">
      <c r="A1519" s="388"/>
      <c r="B1519" s="388"/>
    </row>
    <row r="1520" spans="1:2" x14ac:dyDescent="0.25">
      <c r="A1520" s="388"/>
      <c r="B1520" s="388"/>
    </row>
    <row r="1521" spans="1:2" x14ac:dyDescent="0.25">
      <c r="A1521" s="388"/>
      <c r="B1521" s="388"/>
    </row>
    <row r="1522" spans="1:2" x14ac:dyDescent="0.25">
      <c r="A1522" s="388"/>
      <c r="B1522" s="388"/>
    </row>
    <row r="1523" spans="1:2" x14ac:dyDescent="0.25">
      <c r="A1523" s="388"/>
      <c r="B1523" s="388"/>
    </row>
    <row r="1524" spans="1:2" x14ac:dyDescent="0.25">
      <c r="A1524" s="388"/>
      <c r="B1524" s="388"/>
    </row>
    <row r="1525" spans="1:2" x14ac:dyDescent="0.25">
      <c r="A1525" s="388"/>
      <c r="B1525" s="388"/>
    </row>
    <row r="1526" spans="1:2" x14ac:dyDescent="0.25">
      <c r="A1526" s="388"/>
      <c r="B1526" s="388"/>
    </row>
    <row r="1527" spans="1:2" x14ac:dyDescent="0.25">
      <c r="A1527" s="388"/>
      <c r="B1527" s="388"/>
    </row>
    <row r="1528" spans="1:2" x14ac:dyDescent="0.25">
      <c r="A1528" s="388"/>
      <c r="B1528" s="388"/>
    </row>
    <row r="1529" spans="1:2" x14ac:dyDescent="0.25">
      <c r="A1529" s="388"/>
      <c r="B1529" s="388"/>
    </row>
    <row r="1530" spans="1:2" x14ac:dyDescent="0.25">
      <c r="A1530" s="388"/>
      <c r="B1530" s="388"/>
    </row>
    <row r="1531" spans="1:2" x14ac:dyDescent="0.25">
      <c r="A1531" s="388"/>
      <c r="B1531" s="388"/>
    </row>
    <row r="1532" spans="1:2" x14ac:dyDescent="0.25">
      <c r="A1532" s="388"/>
      <c r="B1532" s="388"/>
    </row>
    <row r="1533" spans="1:2" x14ac:dyDescent="0.25">
      <c r="A1533" s="388"/>
      <c r="B1533" s="388"/>
    </row>
    <row r="1534" spans="1:2" x14ac:dyDescent="0.25">
      <c r="A1534" s="388"/>
      <c r="B1534" s="388"/>
    </row>
    <row r="1535" spans="1:2" x14ac:dyDescent="0.25">
      <c r="A1535" s="388"/>
      <c r="B1535" s="388"/>
    </row>
    <row r="1536" spans="1:2" x14ac:dyDescent="0.25">
      <c r="A1536" s="388"/>
      <c r="B1536" s="388"/>
    </row>
    <row r="1537" spans="1:2" x14ac:dyDescent="0.25">
      <c r="A1537" s="388"/>
      <c r="B1537" s="388"/>
    </row>
    <row r="1538" spans="1:2" x14ac:dyDescent="0.25">
      <c r="A1538" s="388"/>
      <c r="B1538" s="388"/>
    </row>
    <row r="1539" spans="1:2" x14ac:dyDescent="0.25">
      <c r="A1539" s="388"/>
      <c r="B1539" s="388"/>
    </row>
    <row r="1540" spans="1:2" x14ac:dyDescent="0.25">
      <c r="A1540" s="388"/>
      <c r="B1540" s="388"/>
    </row>
    <row r="1541" spans="1:2" x14ac:dyDescent="0.25">
      <c r="A1541" s="388"/>
      <c r="B1541" s="388"/>
    </row>
    <row r="1542" spans="1:2" x14ac:dyDescent="0.25">
      <c r="A1542" s="388"/>
      <c r="B1542" s="388"/>
    </row>
    <row r="1543" spans="1:2" x14ac:dyDescent="0.25">
      <c r="A1543" s="388"/>
      <c r="B1543" s="388"/>
    </row>
    <row r="1544" spans="1:2" x14ac:dyDescent="0.25">
      <c r="A1544" s="388"/>
      <c r="B1544" s="388"/>
    </row>
    <row r="1545" spans="1:2" x14ac:dyDescent="0.25">
      <c r="A1545" s="388"/>
      <c r="B1545" s="388"/>
    </row>
    <row r="1546" spans="1:2" x14ac:dyDescent="0.25">
      <c r="A1546" s="388"/>
      <c r="B1546" s="388"/>
    </row>
    <row r="1547" spans="1:2" x14ac:dyDescent="0.25">
      <c r="A1547" s="388"/>
      <c r="B1547" s="388"/>
    </row>
    <row r="1548" spans="1:2" x14ac:dyDescent="0.25">
      <c r="A1548" s="388"/>
      <c r="B1548" s="388"/>
    </row>
    <row r="1549" spans="1:2" x14ac:dyDescent="0.25">
      <c r="A1549" s="388"/>
      <c r="B1549" s="388"/>
    </row>
    <row r="1550" spans="1:2" x14ac:dyDescent="0.25">
      <c r="A1550" s="388"/>
      <c r="B1550" s="388"/>
    </row>
    <row r="1551" spans="1:2" x14ac:dyDescent="0.25">
      <c r="A1551" s="388"/>
      <c r="B1551" s="388"/>
    </row>
    <row r="1552" spans="1:2" x14ac:dyDescent="0.25">
      <c r="A1552" s="388"/>
      <c r="B1552" s="388"/>
    </row>
    <row r="1553" spans="1:2" x14ac:dyDescent="0.25">
      <c r="A1553" s="388"/>
      <c r="B1553" s="388"/>
    </row>
    <row r="1554" spans="1:2" x14ac:dyDescent="0.25">
      <c r="A1554" s="388"/>
      <c r="B1554" s="388"/>
    </row>
    <row r="1555" spans="1:2" x14ac:dyDescent="0.25">
      <c r="A1555" s="388"/>
      <c r="B1555" s="388"/>
    </row>
    <row r="1556" spans="1:2" x14ac:dyDescent="0.25">
      <c r="A1556" s="388"/>
      <c r="B1556" s="388"/>
    </row>
    <row r="1557" spans="1:2" x14ac:dyDescent="0.25">
      <c r="A1557" s="388"/>
      <c r="B1557" s="388"/>
    </row>
    <row r="1558" spans="1:2" x14ac:dyDescent="0.25">
      <c r="A1558" s="388"/>
      <c r="B1558" s="388"/>
    </row>
    <row r="1559" spans="1:2" x14ac:dyDescent="0.25">
      <c r="A1559" s="388"/>
      <c r="B1559" s="388"/>
    </row>
    <row r="1560" spans="1:2" x14ac:dyDescent="0.25">
      <c r="A1560" s="388"/>
      <c r="B1560" s="388"/>
    </row>
    <row r="1561" spans="1:2" x14ac:dyDescent="0.25">
      <c r="A1561" s="388"/>
      <c r="B1561" s="388"/>
    </row>
    <row r="1562" spans="1:2" x14ac:dyDescent="0.25">
      <c r="A1562" s="388"/>
      <c r="B1562" s="388"/>
    </row>
    <row r="1563" spans="1:2" x14ac:dyDescent="0.25">
      <c r="A1563" s="388"/>
      <c r="B1563" s="388"/>
    </row>
    <row r="1564" spans="1:2" x14ac:dyDescent="0.25">
      <c r="A1564" s="388"/>
      <c r="B1564" s="388"/>
    </row>
    <row r="1565" spans="1:2" x14ac:dyDescent="0.25">
      <c r="A1565" s="388"/>
      <c r="B1565" s="388"/>
    </row>
    <row r="1566" spans="1:2" x14ac:dyDescent="0.25">
      <c r="A1566" s="388"/>
      <c r="B1566" s="388"/>
    </row>
    <row r="1567" spans="1:2" x14ac:dyDescent="0.25">
      <c r="A1567" s="388"/>
      <c r="B1567" s="388"/>
    </row>
    <row r="1568" spans="1:2" x14ac:dyDescent="0.25">
      <c r="A1568" s="388"/>
      <c r="B1568" s="388"/>
    </row>
    <row r="1569" spans="1:2" x14ac:dyDescent="0.25">
      <c r="A1569" s="388"/>
      <c r="B1569" s="388"/>
    </row>
    <row r="1570" spans="1:2" x14ac:dyDescent="0.25">
      <c r="A1570" s="388"/>
      <c r="B1570" s="388"/>
    </row>
    <row r="1571" spans="1:2" x14ac:dyDescent="0.25">
      <c r="A1571" s="388"/>
      <c r="B1571" s="388"/>
    </row>
    <row r="1572" spans="1:2" x14ac:dyDescent="0.25">
      <c r="A1572" s="388"/>
      <c r="B1572" s="388"/>
    </row>
    <row r="1573" spans="1:2" x14ac:dyDescent="0.25">
      <c r="A1573" s="388"/>
      <c r="B1573" s="388"/>
    </row>
    <row r="1574" spans="1:2" x14ac:dyDescent="0.25">
      <c r="A1574" s="388"/>
      <c r="B1574" s="388"/>
    </row>
    <row r="1575" spans="1:2" x14ac:dyDescent="0.25">
      <c r="A1575" s="388"/>
      <c r="B1575" s="388"/>
    </row>
    <row r="1576" spans="1:2" x14ac:dyDescent="0.25">
      <c r="A1576" s="388"/>
      <c r="B1576" s="388"/>
    </row>
    <row r="1577" spans="1:2" x14ac:dyDescent="0.25">
      <c r="A1577" s="388"/>
      <c r="B1577" s="388"/>
    </row>
    <row r="1578" spans="1:2" x14ac:dyDescent="0.25">
      <c r="A1578" s="388"/>
      <c r="B1578" s="388"/>
    </row>
    <row r="1579" spans="1:2" x14ac:dyDescent="0.25">
      <c r="A1579" s="388"/>
      <c r="B1579" s="388"/>
    </row>
    <row r="1580" spans="1:2" x14ac:dyDescent="0.25">
      <c r="A1580" s="388"/>
      <c r="B1580" s="388"/>
    </row>
    <row r="1581" spans="1:2" x14ac:dyDescent="0.25">
      <c r="A1581" s="388"/>
      <c r="B1581" s="388"/>
    </row>
    <row r="1582" spans="1:2" x14ac:dyDescent="0.25">
      <c r="A1582" s="388"/>
      <c r="B1582" s="388"/>
    </row>
    <row r="1583" spans="1:2" x14ac:dyDescent="0.25">
      <c r="A1583" s="388"/>
      <c r="B1583" s="388"/>
    </row>
    <row r="1584" spans="1:2" x14ac:dyDescent="0.25">
      <c r="A1584" s="388"/>
      <c r="B1584" s="388"/>
    </row>
    <row r="1585" spans="1:2" x14ac:dyDescent="0.25">
      <c r="A1585" s="388"/>
      <c r="B1585" s="388"/>
    </row>
    <row r="1586" spans="1:2" x14ac:dyDescent="0.25">
      <c r="A1586" s="388"/>
      <c r="B1586" s="388"/>
    </row>
    <row r="1587" spans="1:2" x14ac:dyDescent="0.25">
      <c r="A1587" s="388"/>
      <c r="B1587" s="388"/>
    </row>
    <row r="1588" spans="1:2" x14ac:dyDescent="0.25">
      <c r="A1588" s="388"/>
      <c r="B1588" s="388"/>
    </row>
    <row r="1589" spans="1:2" x14ac:dyDescent="0.25">
      <c r="A1589" s="388"/>
      <c r="B1589" s="388"/>
    </row>
    <row r="1590" spans="1:2" x14ac:dyDescent="0.25">
      <c r="A1590" s="388"/>
      <c r="B1590" s="388"/>
    </row>
    <row r="1591" spans="1:2" x14ac:dyDescent="0.25">
      <c r="A1591" s="388"/>
      <c r="B1591" s="388"/>
    </row>
    <row r="1592" spans="1:2" x14ac:dyDescent="0.25">
      <c r="A1592" s="388"/>
      <c r="B1592" s="388"/>
    </row>
    <row r="1593" spans="1:2" x14ac:dyDescent="0.25">
      <c r="A1593" s="388"/>
      <c r="B1593" s="388"/>
    </row>
    <row r="1594" spans="1:2" x14ac:dyDescent="0.25">
      <c r="A1594" s="388"/>
      <c r="B1594" s="388"/>
    </row>
    <row r="1595" spans="1:2" x14ac:dyDescent="0.25">
      <c r="A1595" s="388"/>
      <c r="B1595" s="388"/>
    </row>
    <row r="1596" spans="1:2" x14ac:dyDescent="0.25">
      <c r="A1596" s="388"/>
      <c r="B1596" s="388"/>
    </row>
    <row r="1597" spans="1:2" x14ac:dyDescent="0.25">
      <c r="A1597" s="388"/>
      <c r="B1597" s="388"/>
    </row>
    <row r="1598" spans="1:2" x14ac:dyDescent="0.25">
      <c r="A1598" s="388"/>
      <c r="B1598" s="388"/>
    </row>
    <row r="1599" spans="1:2" x14ac:dyDescent="0.25">
      <c r="A1599" s="388"/>
      <c r="B1599" s="388"/>
    </row>
    <row r="1600" spans="1:2" x14ac:dyDescent="0.25">
      <c r="A1600" s="388"/>
      <c r="B1600" s="388"/>
    </row>
    <row r="1601" spans="1:2" x14ac:dyDescent="0.25">
      <c r="A1601" s="388"/>
      <c r="B1601" s="388"/>
    </row>
    <row r="1602" spans="1:2" x14ac:dyDescent="0.25">
      <c r="A1602" s="388"/>
      <c r="B1602" s="388"/>
    </row>
    <row r="1603" spans="1:2" x14ac:dyDescent="0.25">
      <c r="A1603" s="388"/>
      <c r="B1603" s="388"/>
    </row>
    <row r="1604" spans="1:2" x14ac:dyDescent="0.25">
      <c r="A1604" s="388"/>
      <c r="B1604" s="388"/>
    </row>
    <row r="1605" spans="1:2" x14ac:dyDescent="0.25">
      <c r="A1605" s="388"/>
      <c r="B1605" s="388"/>
    </row>
    <row r="1606" spans="1:2" x14ac:dyDescent="0.25">
      <c r="A1606" s="388"/>
      <c r="B1606" s="388"/>
    </row>
    <row r="1607" spans="1:2" x14ac:dyDescent="0.25">
      <c r="A1607" s="388"/>
      <c r="B1607" s="388"/>
    </row>
    <row r="1608" spans="1:2" x14ac:dyDescent="0.25">
      <c r="A1608" s="388"/>
      <c r="B1608" s="388"/>
    </row>
    <row r="1609" spans="1:2" x14ac:dyDescent="0.25">
      <c r="A1609" s="388"/>
      <c r="B1609" s="388"/>
    </row>
    <row r="1610" spans="1:2" x14ac:dyDescent="0.25">
      <c r="A1610" s="388"/>
      <c r="B1610" s="388"/>
    </row>
    <row r="1611" spans="1:2" x14ac:dyDescent="0.25">
      <c r="A1611" s="388"/>
      <c r="B1611" s="388"/>
    </row>
    <row r="1612" spans="1:2" x14ac:dyDescent="0.25">
      <c r="A1612" s="388"/>
      <c r="B1612" s="388"/>
    </row>
    <row r="1613" spans="1:2" x14ac:dyDescent="0.25">
      <c r="A1613" s="388"/>
      <c r="B1613" s="388"/>
    </row>
    <row r="1614" spans="1:2" x14ac:dyDescent="0.25">
      <c r="A1614" s="388"/>
      <c r="B1614" s="388"/>
    </row>
    <row r="1615" spans="1:2" x14ac:dyDescent="0.25">
      <c r="A1615" s="388"/>
      <c r="B1615" s="388"/>
    </row>
    <row r="1616" spans="1:2" x14ac:dyDescent="0.25">
      <c r="A1616" s="388"/>
      <c r="B1616" s="388"/>
    </row>
    <row r="1617" spans="1:2" x14ac:dyDescent="0.25">
      <c r="A1617" s="388"/>
      <c r="B1617" s="388"/>
    </row>
    <row r="1618" spans="1:2" x14ac:dyDescent="0.25">
      <c r="A1618" s="388"/>
      <c r="B1618" s="388"/>
    </row>
    <row r="1619" spans="1:2" x14ac:dyDescent="0.25">
      <c r="A1619" s="388"/>
      <c r="B1619" s="388"/>
    </row>
    <row r="1620" spans="1:2" x14ac:dyDescent="0.25">
      <c r="A1620" s="388"/>
      <c r="B1620" s="388"/>
    </row>
    <row r="1621" spans="1:2" x14ac:dyDescent="0.25">
      <c r="A1621" s="388"/>
      <c r="B1621" s="388"/>
    </row>
    <row r="1622" spans="1:2" x14ac:dyDescent="0.25">
      <c r="A1622" s="388"/>
      <c r="B1622" s="388"/>
    </row>
    <row r="1623" spans="1:2" x14ac:dyDescent="0.25">
      <c r="A1623" s="388"/>
      <c r="B1623" s="388"/>
    </row>
    <row r="1624" spans="1:2" x14ac:dyDescent="0.25">
      <c r="A1624" s="388"/>
      <c r="B1624" s="388"/>
    </row>
    <row r="1625" spans="1:2" x14ac:dyDescent="0.25">
      <c r="A1625" s="388"/>
      <c r="B1625" s="388"/>
    </row>
    <row r="1626" spans="1:2" x14ac:dyDescent="0.25">
      <c r="A1626" s="388"/>
      <c r="B1626" s="388"/>
    </row>
    <row r="1627" spans="1:2" x14ac:dyDescent="0.25">
      <c r="A1627" s="388"/>
      <c r="B1627" s="388"/>
    </row>
    <row r="1628" spans="1:2" x14ac:dyDescent="0.25">
      <c r="A1628" s="388"/>
      <c r="B1628" s="388"/>
    </row>
    <row r="1629" spans="1:2" x14ac:dyDescent="0.25">
      <c r="A1629" s="388"/>
      <c r="B1629" s="388"/>
    </row>
    <row r="1630" spans="1:2" x14ac:dyDescent="0.25">
      <c r="A1630" s="388"/>
      <c r="B1630" s="388"/>
    </row>
    <row r="1631" spans="1:2" x14ac:dyDescent="0.25">
      <c r="A1631" s="388"/>
      <c r="B1631" s="388"/>
    </row>
    <row r="1632" spans="1:2" x14ac:dyDescent="0.25">
      <c r="A1632" s="388"/>
      <c r="B1632" s="388"/>
    </row>
    <row r="1633" spans="1:2" x14ac:dyDescent="0.25">
      <c r="A1633" s="388"/>
      <c r="B1633" s="388"/>
    </row>
    <row r="1634" spans="1:2" x14ac:dyDescent="0.25">
      <c r="A1634" s="388"/>
      <c r="B1634" s="388"/>
    </row>
    <row r="1635" spans="1:2" x14ac:dyDescent="0.25">
      <c r="A1635" s="388"/>
      <c r="B1635" s="388"/>
    </row>
    <row r="1636" spans="1:2" x14ac:dyDescent="0.25">
      <c r="A1636" s="388"/>
      <c r="B1636" s="388"/>
    </row>
    <row r="1637" spans="1:2" x14ac:dyDescent="0.25">
      <c r="A1637" s="388"/>
      <c r="B1637" s="388"/>
    </row>
    <row r="1638" spans="1:2" x14ac:dyDescent="0.25">
      <c r="A1638" s="388"/>
      <c r="B1638" s="388"/>
    </row>
    <row r="1639" spans="1:2" x14ac:dyDescent="0.25">
      <c r="A1639" s="388"/>
      <c r="B1639" s="388"/>
    </row>
    <row r="1640" spans="1:2" x14ac:dyDescent="0.25">
      <c r="A1640" s="388"/>
      <c r="B1640" s="388"/>
    </row>
    <row r="1641" spans="1:2" x14ac:dyDescent="0.25">
      <c r="A1641" s="388"/>
      <c r="B1641" s="388"/>
    </row>
    <row r="1642" spans="1:2" x14ac:dyDescent="0.25">
      <c r="A1642" s="388"/>
      <c r="B1642" s="388"/>
    </row>
    <row r="1643" spans="1:2" x14ac:dyDescent="0.25">
      <c r="A1643" s="388"/>
      <c r="B1643" s="388"/>
    </row>
    <row r="1644" spans="1:2" x14ac:dyDescent="0.25">
      <c r="A1644" s="388"/>
      <c r="B1644" s="388"/>
    </row>
    <row r="1645" spans="1:2" x14ac:dyDescent="0.25">
      <c r="A1645" s="388"/>
      <c r="B1645" s="388"/>
    </row>
    <row r="1646" spans="1:2" x14ac:dyDescent="0.25">
      <c r="A1646" s="388"/>
      <c r="B1646" s="388"/>
    </row>
    <row r="1647" spans="1:2" x14ac:dyDescent="0.25">
      <c r="A1647" s="388"/>
      <c r="B1647" s="388"/>
    </row>
    <row r="1648" spans="1:2" x14ac:dyDescent="0.25">
      <c r="A1648" s="388"/>
      <c r="B1648" s="388"/>
    </row>
    <row r="1649" spans="1:2" x14ac:dyDescent="0.25">
      <c r="A1649" s="388"/>
      <c r="B1649" s="388"/>
    </row>
    <row r="1650" spans="1:2" x14ac:dyDescent="0.25">
      <c r="A1650" s="388"/>
      <c r="B1650" s="388"/>
    </row>
    <row r="1651" spans="1:2" x14ac:dyDescent="0.25">
      <c r="A1651" s="388"/>
      <c r="B1651" s="388"/>
    </row>
    <row r="1652" spans="1:2" x14ac:dyDescent="0.25">
      <c r="A1652" s="388"/>
      <c r="B1652" s="388"/>
    </row>
    <row r="1653" spans="1:2" x14ac:dyDescent="0.25">
      <c r="A1653" s="388"/>
      <c r="B1653" s="388"/>
    </row>
    <row r="1654" spans="1:2" x14ac:dyDescent="0.25">
      <c r="A1654" s="388"/>
      <c r="B1654" s="388"/>
    </row>
    <row r="1655" spans="1:2" x14ac:dyDescent="0.25">
      <c r="A1655" s="388"/>
      <c r="B1655" s="388"/>
    </row>
    <row r="1656" spans="1:2" x14ac:dyDescent="0.25">
      <c r="A1656" s="388"/>
      <c r="B1656" s="388"/>
    </row>
    <row r="1657" spans="1:2" x14ac:dyDescent="0.25">
      <c r="A1657" s="388"/>
      <c r="B1657" s="388"/>
    </row>
    <row r="1658" spans="1:2" x14ac:dyDescent="0.25">
      <c r="A1658" s="388"/>
      <c r="B1658" s="388"/>
    </row>
    <row r="1659" spans="1:2" x14ac:dyDescent="0.25">
      <c r="A1659" s="388"/>
      <c r="B1659" s="388"/>
    </row>
    <row r="1660" spans="1:2" x14ac:dyDescent="0.25">
      <c r="A1660" s="388"/>
      <c r="B1660" s="388"/>
    </row>
    <row r="1661" spans="1:2" x14ac:dyDescent="0.25">
      <c r="A1661" s="388"/>
      <c r="B1661" s="388"/>
    </row>
    <row r="1662" spans="1:2" x14ac:dyDescent="0.25">
      <c r="A1662" s="388"/>
      <c r="B1662" s="388"/>
    </row>
    <row r="1663" spans="1:2" x14ac:dyDescent="0.25">
      <c r="A1663" s="388"/>
      <c r="B1663" s="388"/>
    </row>
    <row r="1664" spans="1:2" x14ac:dyDescent="0.25">
      <c r="A1664" s="388"/>
      <c r="B1664" s="388"/>
    </row>
    <row r="1665" spans="1:2" x14ac:dyDescent="0.25">
      <c r="A1665" s="388"/>
      <c r="B1665" s="388"/>
    </row>
    <row r="1666" spans="1:2" x14ac:dyDescent="0.25">
      <c r="A1666" s="388"/>
      <c r="B1666" s="388"/>
    </row>
    <row r="1667" spans="1:2" x14ac:dyDescent="0.25">
      <c r="A1667" s="388"/>
      <c r="B1667" s="388"/>
    </row>
    <row r="1668" spans="1:2" x14ac:dyDescent="0.25">
      <c r="A1668" s="388"/>
      <c r="B1668" s="388"/>
    </row>
    <row r="1669" spans="1:2" x14ac:dyDescent="0.25">
      <c r="A1669" s="388"/>
      <c r="B1669" s="388"/>
    </row>
    <row r="1670" spans="1:2" x14ac:dyDescent="0.25">
      <c r="A1670" s="388"/>
      <c r="B1670" s="388"/>
    </row>
    <row r="1671" spans="1:2" x14ac:dyDescent="0.25">
      <c r="A1671" s="388"/>
      <c r="B1671" s="388"/>
    </row>
    <row r="1672" spans="1:2" x14ac:dyDescent="0.25">
      <c r="A1672" s="388"/>
      <c r="B1672" s="388"/>
    </row>
    <row r="1673" spans="1:2" x14ac:dyDescent="0.25">
      <c r="A1673" s="388"/>
      <c r="B1673" s="388"/>
    </row>
    <row r="1674" spans="1:2" x14ac:dyDescent="0.25">
      <c r="A1674" s="388"/>
      <c r="B1674" s="388"/>
    </row>
    <row r="1675" spans="1:2" x14ac:dyDescent="0.25">
      <c r="A1675" s="388"/>
      <c r="B1675" s="388"/>
    </row>
    <row r="1676" spans="1:2" x14ac:dyDescent="0.25">
      <c r="A1676" s="388"/>
      <c r="B1676" s="388"/>
    </row>
    <row r="1677" spans="1:2" x14ac:dyDescent="0.25">
      <c r="A1677" s="388"/>
      <c r="B1677" s="388"/>
    </row>
    <row r="1678" spans="1:2" x14ac:dyDescent="0.25">
      <c r="A1678" s="388"/>
      <c r="B1678" s="388"/>
    </row>
    <row r="1679" spans="1:2" x14ac:dyDescent="0.25">
      <c r="A1679" s="388"/>
      <c r="B1679" s="388"/>
    </row>
    <row r="1680" spans="1:2" x14ac:dyDescent="0.25">
      <c r="A1680" s="388"/>
      <c r="B1680" s="388"/>
    </row>
    <row r="1681" spans="1:2" x14ac:dyDescent="0.25">
      <c r="A1681" s="388"/>
      <c r="B1681" s="388"/>
    </row>
    <row r="1682" spans="1:2" x14ac:dyDescent="0.25">
      <c r="A1682" s="388"/>
      <c r="B1682" s="388"/>
    </row>
    <row r="1683" spans="1:2" x14ac:dyDescent="0.25">
      <c r="A1683" s="388"/>
      <c r="B1683" s="388"/>
    </row>
    <row r="1684" spans="1:2" x14ac:dyDescent="0.25">
      <c r="A1684" s="388"/>
      <c r="B1684" s="388"/>
    </row>
    <row r="1685" spans="1:2" x14ac:dyDescent="0.25">
      <c r="A1685" s="388"/>
      <c r="B1685" s="388"/>
    </row>
    <row r="1686" spans="1:2" x14ac:dyDescent="0.25">
      <c r="A1686" s="388"/>
      <c r="B1686" s="388"/>
    </row>
    <row r="1687" spans="1:2" x14ac:dyDescent="0.25">
      <c r="A1687" s="388"/>
      <c r="B1687" s="388"/>
    </row>
    <row r="1688" spans="1:2" x14ac:dyDescent="0.25">
      <c r="A1688" s="388"/>
      <c r="B1688" s="388"/>
    </row>
    <row r="1689" spans="1:2" x14ac:dyDescent="0.25">
      <c r="A1689" s="388"/>
      <c r="B1689" s="388"/>
    </row>
    <row r="1690" spans="1:2" x14ac:dyDescent="0.25">
      <c r="A1690" s="388"/>
      <c r="B1690" s="388"/>
    </row>
    <row r="1691" spans="1:2" x14ac:dyDescent="0.25">
      <c r="A1691" s="388"/>
      <c r="B1691" s="388"/>
    </row>
    <row r="1692" spans="1:2" x14ac:dyDescent="0.25">
      <c r="A1692" s="388"/>
      <c r="B1692" s="388"/>
    </row>
    <row r="1693" spans="1:2" x14ac:dyDescent="0.25">
      <c r="A1693" s="388"/>
      <c r="B1693" s="388"/>
    </row>
    <row r="1694" spans="1:2" x14ac:dyDescent="0.25">
      <c r="A1694" s="388"/>
      <c r="B1694" s="388"/>
    </row>
    <row r="1695" spans="1:2" x14ac:dyDescent="0.25">
      <c r="A1695" s="388"/>
      <c r="B1695" s="388"/>
    </row>
    <row r="1696" spans="1:2" x14ac:dyDescent="0.25">
      <c r="A1696" s="388"/>
      <c r="B1696" s="388"/>
    </row>
    <row r="1697" spans="1:2" x14ac:dyDescent="0.25">
      <c r="A1697" s="388"/>
      <c r="B1697" s="388"/>
    </row>
    <row r="1698" spans="1:2" x14ac:dyDescent="0.25">
      <c r="A1698" s="388"/>
      <c r="B1698" s="388"/>
    </row>
    <row r="1699" spans="1:2" x14ac:dyDescent="0.25">
      <c r="A1699" s="388"/>
      <c r="B1699" s="388"/>
    </row>
    <row r="1700" spans="1:2" x14ac:dyDescent="0.25">
      <c r="A1700" s="388"/>
      <c r="B1700" s="388"/>
    </row>
    <row r="1701" spans="1:2" x14ac:dyDescent="0.25">
      <c r="A1701" s="388"/>
      <c r="B1701" s="388"/>
    </row>
    <row r="1702" spans="1:2" x14ac:dyDescent="0.25">
      <c r="A1702" s="388"/>
      <c r="B1702" s="388"/>
    </row>
    <row r="1703" spans="1:2" x14ac:dyDescent="0.25">
      <c r="A1703" s="388"/>
      <c r="B1703" s="388"/>
    </row>
    <row r="1704" spans="1:2" x14ac:dyDescent="0.25">
      <c r="A1704" s="388"/>
      <c r="B1704" s="388"/>
    </row>
    <row r="1705" spans="1:2" x14ac:dyDescent="0.25">
      <c r="A1705" s="388"/>
      <c r="B1705" s="388"/>
    </row>
    <row r="1706" spans="1:2" x14ac:dyDescent="0.25">
      <c r="A1706" s="388"/>
      <c r="B1706" s="388"/>
    </row>
    <row r="1707" spans="1:2" x14ac:dyDescent="0.25">
      <c r="A1707" s="388"/>
      <c r="B1707" s="388"/>
    </row>
    <row r="1708" spans="1:2" x14ac:dyDescent="0.25">
      <c r="A1708" s="388"/>
      <c r="B1708" s="388"/>
    </row>
    <row r="1709" spans="1:2" x14ac:dyDescent="0.25">
      <c r="A1709" s="388"/>
      <c r="B1709" s="388"/>
    </row>
    <row r="1710" spans="1:2" x14ac:dyDescent="0.25">
      <c r="A1710" s="388"/>
      <c r="B1710" s="388"/>
    </row>
    <row r="1711" spans="1:2" x14ac:dyDescent="0.25">
      <c r="A1711" s="388"/>
      <c r="B1711" s="388"/>
    </row>
    <row r="1712" spans="1:2" x14ac:dyDescent="0.25">
      <c r="A1712" s="388"/>
      <c r="B1712" s="388"/>
    </row>
    <row r="1713" spans="1:2" x14ac:dyDescent="0.25">
      <c r="A1713" s="388"/>
      <c r="B1713" s="388"/>
    </row>
    <row r="1714" spans="1:2" x14ac:dyDescent="0.25">
      <c r="A1714" s="388"/>
      <c r="B1714" s="388"/>
    </row>
    <row r="1715" spans="1:2" x14ac:dyDescent="0.25">
      <c r="A1715" s="388"/>
      <c r="B1715" s="388"/>
    </row>
    <row r="1716" spans="1:2" x14ac:dyDescent="0.25">
      <c r="A1716" s="388"/>
      <c r="B1716" s="388"/>
    </row>
    <row r="1717" spans="1:2" x14ac:dyDescent="0.25">
      <c r="A1717" s="388"/>
      <c r="B1717" s="388"/>
    </row>
    <row r="1718" spans="1:2" x14ac:dyDescent="0.25">
      <c r="A1718" s="388"/>
      <c r="B1718" s="388"/>
    </row>
    <row r="1719" spans="1:2" x14ac:dyDescent="0.25">
      <c r="A1719" s="388"/>
      <c r="B1719" s="388"/>
    </row>
    <row r="1720" spans="1:2" x14ac:dyDescent="0.25">
      <c r="A1720" s="388"/>
      <c r="B1720" s="388"/>
    </row>
    <row r="1721" spans="1:2" x14ac:dyDescent="0.25">
      <c r="A1721" s="388"/>
      <c r="B1721" s="388"/>
    </row>
    <row r="1722" spans="1:2" x14ac:dyDescent="0.25">
      <c r="A1722" s="388"/>
      <c r="B1722" s="388"/>
    </row>
    <row r="1723" spans="1:2" x14ac:dyDescent="0.25">
      <c r="A1723" s="388"/>
      <c r="B1723" s="388"/>
    </row>
    <row r="1724" spans="1:2" x14ac:dyDescent="0.25">
      <c r="A1724" s="388"/>
      <c r="B1724" s="388"/>
    </row>
    <row r="1725" spans="1:2" x14ac:dyDescent="0.25">
      <c r="A1725" s="388"/>
      <c r="B1725" s="388"/>
    </row>
    <row r="1726" spans="1:2" x14ac:dyDescent="0.25">
      <c r="A1726" s="388"/>
      <c r="B1726" s="388"/>
    </row>
    <row r="1727" spans="1:2" x14ac:dyDescent="0.25">
      <c r="A1727" s="388"/>
      <c r="B1727" s="388"/>
    </row>
    <row r="1728" spans="1:2" x14ac:dyDescent="0.25">
      <c r="A1728" s="388"/>
      <c r="B1728" s="388"/>
    </row>
    <row r="1729" spans="1:2" x14ac:dyDescent="0.25">
      <c r="A1729" s="388"/>
      <c r="B1729" s="388"/>
    </row>
    <row r="1730" spans="1:2" x14ac:dyDescent="0.25">
      <c r="A1730" s="388"/>
      <c r="B1730" s="388"/>
    </row>
    <row r="1731" spans="1:2" x14ac:dyDescent="0.25">
      <c r="A1731" s="388"/>
      <c r="B1731" s="388"/>
    </row>
    <row r="1732" spans="1:2" x14ac:dyDescent="0.25">
      <c r="A1732" s="388"/>
      <c r="B1732" s="388"/>
    </row>
    <row r="1733" spans="1:2" x14ac:dyDescent="0.25">
      <c r="A1733" s="388"/>
      <c r="B1733" s="388"/>
    </row>
    <row r="1734" spans="1:2" x14ac:dyDescent="0.25">
      <c r="A1734" s="388"/>
      <c r="B1734" s="388"/>
    </row>
    <row r="1735" spans="1:2" x14ac:dyDescent="0.25">
      <c r="A1735" s="388"/>
      <c r="B1735" s="388"/>
    </row>
    <row r="1736" spans="1:2" x14ac:dyDescent="0.25">
      <c r="A1736" s="388"/>
      <c r="B1736" s="388"/>
    </row>
    <row r="1737" spans="1:2" x14ac:dyDescent="0.25">
      <c r="A1737" s="388"/>
      <c r="B1737" s="388"/>
    </row>
    <row r="1738" spans="1:2" x14ac:dyDescent="0.25">
      <c r="A1738" s="388"/>
      <c r="B1738" s="388"/>
    </row>
    <row r="1739" spans="1:2" x14ac:dyDescent="0.25">
      <c r="A1739" s="388"/>
      <c r="B1739" s="388"/>
    </row>
    <row r="1740" spans="1:2" x14ac:dyDescent="0.25">
      <c r="A1740" s="388"/>
      <c r="B1740" s="388"/>
    </row>
    <row r="1741" spans="1:2" x14ac:dyDescent="0.25">
      <c r="A1741" s="388"/>
      <c r="B1741" s="388"/>
    </row>
    <row r="1742" spans="1:2" x14ac:dyDescent="0.25">
      <c r="A1742" s="388"/>
      <c r="B1742" s="388"/>
    </row>
    <row r="1743" spans="1:2" x14ac:dyDescent="0.25">
      <c r="A1743" s="388"/>
      <c r="B1743" s="388"/>
    </row>
    <row r="1744" spans="1:2" x14ac:dyDescent="0.25">
      <c r="A1744" s="388"/>
      <c r="B1744" s="388"/>
    </row>
    <row r="1745" spans="1:2" x14ac:dyDescent="0.25">
      <c r="A1745" s="388"/>
      <c r="B1745" s="388"/>
    </row>
    <row r="1746" spans="1:2" x14ac:dyDescent="0.25">
      <c r="A1746" s="388"/>
      <c r="B1746" s="388"/>
    </row>
    <row r="1747" spans="1:2" x14ac:dyDescent="0.25">
      <c r="A1747" s="388"/>
      <c r="B1747" s="388"/>
    </row>
    <row r="1748" spans="1:2" x14ac:dyDescent="0.25">
      <c r="A1748" s="388"/>
      <c r="B1748" s="388"/>
    </row>
    <row r="1749" spans="1:2" x14ac:dyDescent="0.25">
      <c r="A1749" s="388"/>
      <c r="B1749" s="388"/>
    </row>
    <row r="1750" spans="1:2" x14ac:dyDescent="0.25">
      <c r="A1750" s="388"/>
      <c r="B1750" s="388"/>
    </row>
    <row r="1751" spans="1:2" x14ac:dyDescent="0.25">
      <c r="A1751" s="388"/>
      <c r="B1751" s="388"/>
    </row>
    <row r="1752" spans="1:2" x14ac:dyDescent="0.25">
      <c r="A1752" s="388"/>
      <c r="B1752" s="388"/>
    </row>
    <row r="1753" spans="1:2" x14ac:dyDescent="0.25">
      <c r="A1753" s="388"/>
      <c r="B1753" s="388"/>
    </row>
    <row r="1754" spans="1:2" x14ac:dyDescent="0.25">
      <c r="A1754" s="388"/>
      <c r="B1754" s="388"/>
    </row>
    <row r="1755" spans="1:2" x14ac:dyDescent="0.25">
      <c r="A1755" s="388"/>
      <c r="B1755" s="388"/>
    </row>
    <row r="1756" spans="1:2" x14ac:dyDescent="0.25">
      <c r="A1756" s="388"/>
      <c r="B1756" s="388"/>
    </row>
    <row r="1757" spans="1:2" x14ac:dyDescent="0.25">
      <c r="A1757" s="388"/>
      <c r="B1757" s="388"/>
    </row>
    <row r="1758" spans="1:2" x14ac:dyDescent="0.25">
      <c r="A1758" s="388"/>
      <c r="B1758" s="388"/>
    </row>
    <row r="1759" spans="1:2" x14ac:dyDescent="0.25">
      <c r="A1759" s="388"/>
      <c r="B1759" s="388"/>
    </row>
    <row r="1760" spans="1:2" x14ac:dyDescent="0.25">
      <c r="A1760" s="388"/>
      <c r="B1760" s="388"/>
    </row>
    <row r="1761" spans="1:2" x14ac:dyDescent="0.25">
      <c r="A1761" s="388"/>
      <c r="B1761" s="388"/>
    </row>
    <row r="1762" spans="1:2" x14ac:dyDescent="0.25">
      <c r="A1762" s="388"/>
      <c r="B1762" s="388"/>
    </row>
    <row r="1763" spans="1:2" x14ac:dyDescent="0.25">
      <c r="A1763" s="388"/>
      <c r="B1763" s="388"/>
    </row>
    <row r="1764" spans="1:2" x14ac:dyDescent="0.25">
      <c r="A1764" s="388"/>
      <c r="B1764" s="388"/>
    </row>
    <row r="1765" spans="1:2" x14ac:dyDescent="0.25">
      <c r="A1765" s="388"/>
      <c r="B1765" s="388"/>
    </row>
    <row r="1766" spans="1:2" x14ac:dyDescent="0.25">
      <c r="A1766" s="388"/>
      <c r="B1766" s="388"/>
    </row>
    <row r="1767" spans="1:2" x14ac:dyDescent="0.25">
      <c r="A1767" s="388"/>
      <c r="B1767" s="388"/>
    </row>
    <row r="1768" spans="1:2" x14ac:dyDescent="0.25">
      <c r="A1768" s="388"/>
      <c r="B1768" s="388"/>
    </row>
    <row r="1769" spans="1:2" x14ac:dyDescent="0.25">
      <c r="A1769" s="388"/>
      <c r="B1769" s="388"/>
    </row>
    <row r="1770" spans="1:2" x14ac:dyDescent="0.25">
      <c r="A1770" s="388"/>
      <c r="B1770" s="388"/>
    </row>
    <row r="1771" spans="1:2" x14ac:dyDescent="0.25">
      <c r="A1771" s="388"/>
      <c r="B1771" s="388"/>
    </row>
    <row r="1772" spans="1:2" x14ac:dyDescent="0.25">
      <c r="A1772" s="388"/>
      <c r="B1772" s="388"/>
    </row>
    <row r="1773" spans="1:2" x14ac:dyDescent="0.25">
      <c r="A1773" s="388"/>
      <c r="B1773" s="388"/>
    </row>
    <row r="1774" spans="1:2" x14ac:dyDescent="0.25">
      <c r="A1774" s="388"/>
      <c r="B1774" s="388"/>
    </row>
    <row r="1775" spans="1:2" x14ac:dyDescent="0.25">
      <c r="A1775" s="388"/>
      <c r="B1775" s="388"/>
    </row>
    <row r="1776" spans="1:2" x14ac:dyDescent="0.25">
      <c r="A1776" s="388"/>
      <c r="B1776" s="388"/>
    </row>
    <row r="1777" spans="1:2" x14ac:dyDescent="0.25">
      <c r="A1777" s="388"/>
      <c r="B1777" s="388"/>
    </row>
    <row r="1778" spans="1:2" x14ac:dyDescent="0.25">
      <c r="A1778" s="388"/>
      <c r="B1778" s="388"/>
    </row>
    <row r="1779" spans="1:2" x14ac:dyDescent="0.25">
      <c r="A1779" s="388"/>
      <c r="B1779" s="388"/>
    </row>
    <row r="1780" spans="1:2" x14ac:dyDescent="0.25">
      <c r="A1780" s="388"/>
      <c r="B1780" s="388"/>
    </row>
    <row r="1781" spans="1:2" x14ac:dyDescent="0.25">
      <c r="A1781" s="388"/>
      <c r="B1781" s="388"/>
    </row>
    <row r="1782" spans="1:2" x14ac:dyDescent="0.25">
      <c r="A1782" s="388"/>
      <c r="B1782" s="388"/>
    </row>
    <row r="1783" spans="1:2" x14ac:dyDescent="0.25">
      <c r="A1783" s="388"/>
      <c r="B1783" s="388"/>
    </row>
    <row r="1784" spans="1:2" x14ac:dyDescent="0.25">
      <c r="A1784" s="388"/>
      <c r="B1784" s="388"/>
    </row>
    <row r="1785" spans="1:2" x14ac:dyDescent="0.25">
      <c r="A1785" s="388"/>
      <c r="B1785" s="388"/>
    </row>
    <row r="1786" spans="1:2" x14ac:dyDescent="0.25">
      <c r="A1786" s="388"/>
      <c r="B1786" s="388"/>
    </row>
    <row r="1787" spans="1:2" x14ac:dyDescent="0.25">
      <c r="A1787" s="388"/>
      <c r="B1787" s="388"/>
    </row>
    <row r="1788" spans="1:2" x14ac:dyDescent="0.25">
      <c r="A1788" s="388"/>
      <c r="B1788" s="388"/>
    </row>
    <row r="1789" spans="1:2" x14ac:dyDescent="0.25">
      <c r="A1789" s="388"/>
      <c r="B1789" s="388"/>
    </row>
    <row r="1790" spans="1:2" x14ac:dyDescent="0.25">
      <c r="A1790" s="388"/>
      <c r="B1790" s="388"/>
    </row>
    <row r="1791" spans="1:2" x14ac:dyDescent="0.25">
      <c r="A1791" s="388"/>
      <c r="B1791" s="388"/>
    </row>
    <row r="1792" spans="1:2" x14ac:dyDescent="0.25">
      <c r="A1792" s="388"/>
      <c r="B1792" s="388"/>
    </row>
    <row r="1793" spans="1:2" x14ac:dyDescent="0.25">
      <c r="A1793" s="388"/>
      <c r="B1793" s="388"/>
    </row>
    <row r="1794" spans="1:2" x14ac:dyDescent="0.25">
      <c r="A1794" s="388"/>
      <c r="B1794" s="388"/>
    </row>
    <row r="1795" spans="1:2" x14ac:dyDescent="0.25">
      <c r="A1795" s="388"/>
      <c r="B1795" s="388"/>
    </row>
    <row r="1796" spans="1:2" x14ac:dyDescent="0.25">
      <c r="A1796" s="388"/>
      <c r="B1796" s="388"/>
    </row>
    <row r="1797" spans="1:2" x14ac:dyDescent="0.25">
      <c r="A1797" s="388"/>
      <c r="B1797" s="388"/>
    </row>
    <row r="1798" spans="1:2" x14ac:dyDescent="0.25">
      <c r="A1798" s="388"/>
      <c r="B1798" s="388"/>
    </row>
    <row r="1799" spans="1:2" x14ac:dyDescent="0.25">
      <c r="A1799" s="388"/>
      <c r="B1799" s="388"/>
    </row>
    <row r="1800" spans="1:2" x14ac:dyDescent="0.25">
      <c r="A1800" s="388"/>
      <c r="B1800" s="388"/>
    </row>
    <row r="1801" spans="1:2" x14ac:dyDescent="0.25">
      <c r="A1801" s="388"/>
      <c r="B1801" s="388"/>
    </row>
    <row r="1802" spans="1:2" x14ac:dyDescent="0.25">
      <c r="A1802" s="388"/>
      <c r="B1802" s="388"/>
    </row>
    <row r="1803" spans="1:2" x14ac:dyDescent="0.25">
      <c r="A1803" s="388"/>
      <c r="B1803" s="388"/>
    </row>
    <row r="1804" spans="1:2" x14ac:dyDescent="0.25">
      <c r="A1804" s="388"/>
      <c r="B1804" s="388"/>
    </row>
    <row r="1805" spans="1:2" x14ac:dyDescent="0.25">
      <c r="A1805" s="388"/>
      <c r="B1805" s="388"/>
    </row>
    <row r="1806" spans="1:2" x14ac:dyDescent="0.25">
      <c r="A1806" s="388"/>
      <c r="B1806" s="388"/>
    </row>
    <row r="1807" spans="1:2" x14ac:dyDescent="0.25">
      <c r="A1807" s="388"/>
      <c r="B1807" s="388"/>
    </row>
    <row r="1808" spans="1:2" x14ac:dyDescent="0.25">
      <c r="A1808" s="388"/>
      <c r="B1808" s="388"/>
    </row>
    <row r="1809" spans="1:2" x14ac:dyDescent="0.25">
      <c r="A1809" s="388"/>
      <c r="B1809" s="388"/>
    </row>
    <row r="1810" spans="1:2" x14ac:dyDescent="0.25">
      <c r="A1810" s="388"/>
      <c r="B1810" s="388"/>
    </row>
    <row r="1811" spans="1:2" x14ac:dyDescent="0.25">
      <c r="A1811" s="388"/>
      <c r="B1811" s="388"/>
    </row>
    <row r="1812" spans="1:2" x14ac:dyDescent="0.25">
      <c r="A1812" s="388"/>
      <c r="B1812" s="388"/>
    </row>
    <row r="1813" spans="1:2" x14ac:dyDescent="0.25">
      <c r="A1813" s="388"/>
      <c r="B1813" s="388"/>
    </row>
    <row r="1814" spans="1:2" x14ac:dyDescent="0.25">
      <c r="A1814" s="388"/>
      <c r="B1814" s="388"/>
    </row>
    <row r="1815" spans="1:2" x14ac:dyDescent="0.25">
      <c r="A1815" s="388"/>
      <c r="B1815" s="388"/>
    </row>
    <row r="1816" spans="1:2" x14ac:dyDescent="0.25">
      <c r="A1816" s="388"/>
      <c r="B1816" s="388"/>
    </row>
    <row r="1817" spans="1:2" x14ac:dyDescent="0.25">
      <c r="A1817" s="388"/>
      <c r="B1817" s="388"/>
    </row>
    <row r="1818" spans="1:2" x14ac:dyDescent="0.25">
      <c r="A1818" s="388"/>
      <c r="B1818" s="388"/>
    </row>
    <row r="1819" spans="1:2" x14ac:dyDescent="0.25">
      <c r="A1819" s="388"/>
      <c r="B1819" s="388"/>
    </row>
    <row r="1820" spans="1:2" x14ac:dyDescent="0.25">
      <c r="A1820" s="388"/>
      <c r="B1820" s="388"/>
    </row>
    <row r="1821" spans="1:2" x14ac:dyDescent="0.25">
      <c r="A1821" s="388"/>
      <c r="B1821" s="388"/>
    </row>
    <row r="1822" spans="1:2" x14ac:dyDescent="0.25">
      <c r="A1822" s="388"/>
      <c r="B1822" s="388"/>
    </row>
    <row r="1823" spans="1:2" x14ac:dyDescent="0.25">
      <c r="A1823" s="388"/>
      <c r="B1823" s="388"/>
    </row>
    <row r="1824" spans="1:2" x14ac:dyDescent="0.25">
      <c r="A1824" s="388"/>
      <c r="B1824" s="388"/>
    </row>
    <row r="1825" spans="1:2" x14ac:dyDescent="0.25">
      <c r="A1825" s="388"/>
      <c r="B1825" s="388"/>
    </row>
    <row r="1826" spans="1:2" x14ac:dyDescent="0.25">
      <c r="A1826" s="388"/>
      <c r="B1826" s="388"/>
    </row>
    <row r="1827" spans="1:2" x14ac:dyDescent="0.25">
      <c r="A1827" s="388"/>
      <c r="B1827" s="388"/>
    </row>
    <row r="1828" spans="1:2" x14ac:dyDescent="0.25">
      <c r="A1828" s="388"/>
      <c r="B1828" s="388"/>
    </row>
    <row r="1829" spans="1:2" x14ac:dyDescent="0.25">
      <c r="A1829" s="388"/>
      <c r="B1829" s="388"/>
    </row>
    <row r="1830" spans="1:2" x14ac:dyDescent="0.25">
      <c r="A1830" s="388"/>
      <c r="B1830" s="388"/>
    </row>
    <row r="1831" spans="1:2" x14ac:dyDescent="0.25">
      <c r="A1831" s="388"/>
      <c r="B1831" s="388"/>
    </row>
    <row r="1832" spans="1:2" x14ac:dyDescent="0.25">
      <c r="A1832" s="388"/>
      <c r="B1832" s="388"/>
    </row>
    <row r="1833" spans="1:2" x14ac:dyDescent="0.25">
      <c r="A1833" s="388"/>
      <c r="B1833" s="388"/>
    </row>
    <row r="1834" spans="1:2" x14ac:dyDescent="0.25">
      <c r="A1834" s="388"/>
      <c r="B1834" s="388"/>
    </row>
    <row r="1835" spans="1:2" x14ac:dyDescent="0.25">
      <c r="A1835" s="388"/>
      <c r="B1835" s="388"/>
    </row>
    <row r="1836" spans="1:2" x14ac:dyDescent="0.25">
      <c r="A1836" s="388"/>
      <c r="B1836" s="388"/>
    </row>
    <row r="1837" spans="1:2" x14ac:dyDescent="0.25">
      <c r="A1837" s="388"/>
      <c r="B1837" s="388"/>
    </row>
    <row r="1838" spans="1:2" x14ac:dyDescent="0.25">
      <c r="A1838" s="388"/>
      <c r="B1838" s="388"/>
    </row>
    <row r="1839" spans="1:2" x14ac:dyDescent="0.25">
      <c r="A1839" s="388"/>
      <c r="B1839" s="388"/>
    </row>
    <row r="1840" spans="1:2" x14ac:dyDescent="0.25">
      <c r="A1840" s="388"/>
      <c r="B1840" s="388"/>
    </row>
    <row r="1841" spans="1:2" x14ac:dyDescent="0.25">
      <c r="A1841" s="388"/>
      <c r="B1841" s="388"/>
    </row>
    <row r="1842" spans="1:2" x14ac:dyDescent="0.25">
      <c r="A1842" s="388"/>
      <c r="B1842" s="388"/>
    </row>
    <row r="1843" spans="1:2" x14ac:dyDescent="0.25">
      <c r="A1843" s="388"/>
      <c r="B1843" s="388"/>
    </row>
    <row r="1844" spans="1:2" x14ac:dyDescent="0.25">
      <c r="A1844" s="388"/>
      <c r="B1844" s="388"/>
    </row>
    <row r="1845" spans="1:2" x14ac:dyDescent="0.25">
      <c r="A1845" s="388"/>
      <c r="B1845" s="388"/>
    </row>
    <row r="1846" spans="1:2" x14ac:dyDescent="0.25">
      <c r="A1846" s="388"/>
      <c r="B1846" s="388"/>
    </row>
    <row r="1847" spans="1:2" x14ac:dyDescent="0.25">
      <c r="A1847" s="388"/>
      <c r="B1847" s="388"/>
    </row>
    <row r="1848" spans="1:2" x14ac:dyDescent="0.25">
      <c r="A1848" s="388"/>
      <c r="B1848" s="388"/>
    </row>
    <row r="1849" spans="1:2" x14ac:dyDescent="0.25">
      <c r="A1849" s="388"/>
      <c r="B1849" s="388"/>
    </row>
    <row r="1850" spans="1:2" x14ac:dyDescent="0.25">
      <c r="A1850" s="388"/>
      <c r="B1850" s="388"/>
    </row>
    <row r="1851" spans="1:2" x14ac:dyDescent="0.25">
      <c r="A1851" s="388"/>
      <c r="B1851" s="388"/>
    </row>
    <row r="1852" spans="1:2" x14ac:dyDescent="0.25">
      <c r="A1852" s="388"/>
      <c r="B1852" s="388"/>
    </row>
    <row r="1853" spans="1:2" x14ac:dyDescent="0.25">
      <c r="A1853" s="388"/>
      <c r="B1853" s="388"/>
    </row>
    <row r="1854" spans="1:2" x14ac:dyDescent="0.25">
      <c r="A1854" s="388"/>
      <c r="B1854" s="388"/>
    </row>
    <row r="1855" spans="1:2" x14ac:dyDescent="0.25">
      <c r="A1855" s="388"/>
      <c r="B1855" s="388"/>
    </row>
    <row r="1856" spans="1:2" x14ac:dyDescent="0.25">
      <c r="A1856" s="388"/>
      <c r="B1856" s="388"/>
    </row>
    <row r="1857" spans="1:2" x14ac:dyDescent="0.25">
      <c r="A1857" s="388"/>
      <c r="B1857" s="388"/>
    </row>
    <row r="1858" spans="1:2" x14ac:dyDescent="0.25">
      <c r="A1858" s="388"/>
      <c r="B1858" s="388"/>
    </row>
    <row r="1859" spans="1:2" x14ac:dyDescent="0.25">
      <c r="A1859" s="388"/>
      <c r="B1859" s="388"/>
    </row>
    <row r="1860" spans="1:2" x14ac:dyDescent="0.25">
      <c r="A1860" s="388"/>
      <c r="B1860" s="388"/>
    </row>
    <row r="1861" spans="1:2" x14ac:dyDescent="0.25">
      <c r="A1861" s="388"/>
      <c r="B1861" s="388"/>
    </row>
    <row r="1862" spans="1:2" x14ac:dyDescent="0.25">
      <c r="A1862" s="388"/>
      <c r="B1862" s="388"/>
    </row>
    <row r="1863" spans="1:2" x14ac:dyDescent="0.25">
      <c r="A1863" s="388"/>
      <c r="B1863" s="388"/>
    </row>
    <row r="1864" spans="1:2" x14ac:dyDescent="0.25">
      <c r="A1864" s="388"/>
      <c r="B1864" s="388"/>
    </row>
    <row r="1865" spans="1:2" x14ac:dyDescent="0.25">
      <c r="A1865" s="388"/>
      <c r="B1865" s="388"/>
    </row>
    <row r="1866" spans="1:2" x14ac:dyDescent="0.25">
      <c r="A1866" s="388"/>
      <c r="B1866" s="388"/>
    </row>
    <row r="1867" spans="1:2" x14ac:dyDescent="0.25">
      <c r="A1867" s="388"/>
      <c r="B1867" s="388"/>
    </row>
    <row r="1868" spans="1:2" x14ac:dyDescent="0.25">
      <c r="A1868" s="388"/>
      <c r="B1868" s="388"/>
    </row>
    <row r="1869" spans="1:2" x14ac:dyDescent="0.25">
      <c r="A1869" s="388"/>
      <c r="B1869" s="388"/>
    </row>
    <row r="1870" spans="1:2" x14ac:dyDescent="0.25">
      <c r="A1870" s="388"/>
      <c r="B1870" s="388"/>
    </row>
    <row r="1871" spans="1:2" x14ac:dyDescent="0.25">
      <c r="A1871" s="388"/>
      <c r="B1871" s="388"/>
    </row>
    <row r="1872" spans="1:2" x14ac:dyDescent="0.25">
      <c r="A1872" s="388"/>
      <c r="B1872" s="388"/>
    </row>
    <row r="1873" spans="1:2" x14ac:dyDescent="0.25">
      <c r="A1873" s="388"/>
      <c r="B1873" s="388"/>
    </row>
    <row r="1874" spans="1:2" x14ac:dyDescent="0.25">
      <c r="A1874" s="388"/>
      <c r="B1874" s="388"/>
    </row>
    <row r="1875" spans="1:2" x14ac:dyDescent="0.25">
      <c r="A1875" s="388"/>
      <c r="B1875" s="388"/>
    </row>
    <row r="1876" spans="1:2" x14ac:dyDescent="0.25">
      <c r="A1876" s="388"/>
      <c r="B1876" s="388"/>
    </row>
    <row r="1877" spans="1:2" x14ac:dyDescent="0.25">
      <c r="A1877" s="388"/>
      <c r="B1877" s="388"/>
    </row>
    <row r="1878" spans="1:2" x14ac:dyDescent="0.25">
      <c r="A1878" s="388"/>
      <c r="B1878" s="388"/>
    </row>
    <row r="1879" spans="1:2" x14ac:dyDescent="0.25">
      <c r="A1879" s="388"/>
      <c r="B1879" s="388"/>
    </row>
    <row r="1880" spans="1:2" x14ac:dyDescent="0.25">
      <c r="A1880" s="388"/>
      <c r="B1880" s="388"/>
    </row>
    <row r="1881" spans="1:2" x14ac:dyDescent="0.25">
      <c r="A1881" s="388"/>
      <c r="B1881" s="388"/>
    </row>
    <row r="1882" spans="1:2" x14ac:dyDescent="0.25">
      <c r="A1882" s="388"/>
      <c r="B1882" s="388"/>
    </row>
    <row r="1883" spans="1:2" x14ac:dyDescent="0.25">
      <c r="A1883" s="388"/>
      <c r="B1883" s="388"/>
    </row>
    <row r="1884" spans="1:2" x14ac:dyDescent="0.25">
      <c r="A1884" s="388"/>
      <c r="B1884" s="388"/>
    </row>
    <row r="1885" spans="1:2" x14ac:dyDescent="0.25">
      <c r="A1885" s="388"/>
      <c r="B1885" s="388"/>
    </row>
    <row r="1886" spans="1:2" x14ac:dyDescent="0.25">
      <c r="A1886" s="388"/>
      <c r="B1886" s="388"/>
    </row>
    <row r="1887" spans="1:2" x14ac:dyDescent="0.25">
      <c r="A1887" s="388"/>
      <c r="B1887" s="388"/>
    </row>
    <row r="1888" spans="1:2" x14ac:dyDescent="0.25">
      <c r="A1888" s="388"/>
      <c r="B1888" s="388"/>
    </row>
    <row r="1889" spans="1:2" x14ac:dyDescent="0.25">
      <c r="A1889" s="388"/>
      <c r="B1889" s="388"/>
    </row>
    <row r="1890" spans="1:2" x14ac:dyDescent="0.25">
      <c r="A1890" s="388"/>
      <c r="B1890" s="388"/>
    </row>
    <row r="1891" spans="1:2" x14ac:dyDescent="0.25">
      <c r="A1891" s="388"/>
      <c r="B1891" s="388"/>
    </row>
    <row r="1892" spans="1:2" x14ac:dyDescent="0.25">
      <c r="A1892" s="388"/>
      <c r="B1892" s="388"/>
    </row>
    <row r="1893" spans="1:2" x14ac:dyDescent="0.25">
      <c r="A1893" s="388"/>
      <c r="B1893" s="388"/>
    </row>
    <row r="1894" spans="1:2" x14ac:dyDescent="0.25">
      <c r="A1894" s="388"/>
      <c r="B1894" s="388"/>
    </row>
    <row r="1895" spans="1:2" x14ac:dyDescent="0.25">
      <c r="A1895" s="388"/>
      <c r="B1895" s="388"/>
    </row>
    <row r="1896" spans="1:2" x14ac:dyDescent="0.25">
      <c r="A1896" s="388"/>
      <c r="B1896" s="388"/>
    </row>
    <row r="1897" spans="1:2" x14ac:dyDescent="0.25">
      <c r="A1897" s="388"/>
      <c r="B1897" s="388"/>
    </row>
    <row r="1898" spans="1:2" x14ac:dyDescent="0.25">
      <c r="A1898" s="388"/>
      <c r="B1898" s="388"/>
    </row>
    <row r="1899" spans="1:2" x14ac:dyDescent="0.25">
      <c r="A1899" s="388"/>
      <c r="B1899" s="388"/>
    </row>
    <row r="1900" spans="1:2" x14ac:dyDescent="0.25">
      <c r="A1900" s="388"/>
      <c r="B1900" s="388"/>
    </row>
    <row r="1901" spans="1:2" x14ac:dyDescent="0.25">
      <c r="A1901" s="388"/>
      <c r="B1901" s="388"/>
    </row>
    <row r="1902" spans="1:2" x14ac:dyDescent="0.25">
      <c r="A1902" s="388"/>
      <c r="B1902" s="388"/>
    </row>
    <row r="1903" spans="1:2" x14ac:dyDescent="0.25">
      <c r="A1903" s="388"/>
      <c r="B1903" s="388"/>
    </row>
    <row r="1904" spans="1:2" x14ac:dyDescent="0.25">
      <c r="A1904" s="388"/>
      <c r="B1904" s="388"/>
    </row>
    <row r="1905" spans="1:2" x14ac:dyDescent="0.25">
      <c r="A1905" s="388"/>
      <c r="B1905" s="388"/>
    </row>
    <row r="1906" spans="1:2" x14ac:dyDescent="0.25">
      <c r="A1906" s="388"/>
      <c r="B1906" s="388"/>
    </row>
    <row r="1907" spans="1:2" x14ac:dyDescent="0.25">
      <c r="A1907" s="388"/>
      <c r="B1907" s="388"/>
    </row>
    <row r="1908" spans="1:2" x14ac:dyDescent="0.25">
      <c r="A1908" s="388"/>
      <c r="B1908" s="388"/>
    </row>
    <row r="1909" spans="1:2" x14ac:dyDescent="0.25">
      <c r="A1909" s="388"/>
      <c r="B1909" s="388"/>
    </row>
    <row r="1910" spans="1:2" x14ac:dyDescent="0.25">
      <c r="A1910" s="388"/>
      <c r="B1910" s="388"/>
    </row>
    <row r="1911" spans="1:2" x14ac:dyDescent="0.25">
      <c r="A1911" s="388"/>
      <c r="B1911" s="388"/>
    </row>
    <row r="1912" spans="1:2" x14ac:dyDescent="0.25">
      <c r="A1912" s="388"/>
      <c r="B1912" s="388"/>
    </row>
    <row r="1913" spans="1:2" x14ac:dyDescent="0.25">
      <c r="A1913" s="388"/>
      <c r="B1913" s="388"/>
    </row>
    <row r="1914" spans="1:2" x14ac:dyDescent="0.25">
      <c r="A1914" s="388"/>
      <c r="B1914" s="388"/>
    </row>
    <row r="1915" spans="1:2" x14ac:dyDescent="0.25">
      <c r="A1915" s="388"/>
      <c r="B1915" s="388"/>
    </row>
    <row r="1916" spans="1:2" x14ac:dyDescent="0.25">
      <c r="A1916" s="388"/>
      <c r="B1916" s="388"/>
    </row>
    <row r="1917" spans="1:2" x14ac:dyDescent="0.25">
      <c r="A1917" s="388"/>
      <c r="B1917" s="388"/>
    </row>
    <row r="1918" spans="1:2" x14ac:dyDescent="0.25">
      <c r="A1918" s="388"/>
      <c r="B1918" s="388"/>
    </row>
    <row r="1919" spans="1:2" x14ac:dyDescent="0.25">
      <c r="A1919" s="388"/>
      <c r="B1919" s="388"/>
    </row>
    <row r="1920" spans="1:2" x14ac:dyDescent="0.25">
      <c r="A1920" s="388"/>
      <c r="B1920" s="388"/>
    </row>
    <row r="1921" spans="1:2" x14ac:dyDescent="0.25">
      <c r="A1921" s="388"/>
      <c r="B1921" s="388"/>
    </row>
    <row r="1922" spans="1:2" x14ac:dyDescent="0.25">
      <c r="A1922" s="388"/>
      <c r="B1922" s="388"/>
    </row>
    <row r="1923" spans="1:2" x14ac:dyDescent="0.25">
      <c r="A1923" s="388"/>
      <c r="B1923" s="388"/>
    </row>
    <row r="1924" spans="1:2" x14ac:dyDescent="0.25">
      <c r="A1924" s="388"/>
      <c r="B1924" s="388"/>
    </row>
    <row r="1925" spans="1:2" x14ac:dyDescent="0.25">
      <c r="A1925" s="388"/>
      <c r="B1925" s="388"/>
    </row>
    <row r="1926" spans="1:2" x14ac:dyDescent="0.25">
      <c r="A1926" s="388"/>
      <c r="B1926" s="388"/>
    </row>
    <row r="1927" spans="1:2" x14ac:dyDescent="0.25">
      <c r="A1927" s="388"/>
      <c r="B1927" s="388"/>
    </row>
    <row r="1928" spans="1:2" x14ac:dyDescent="0.25">
      <c r="A1928" s="388"/>
      <c r="B1928" s="388"/>
    </row>
    <row r="1929" spans="1:2" x14ac:dyDescent="0.25">
      <c r="A1929" s="388"/>
      <c r="B1929" s="388"/>
    </row>
    <row r="1930" spans="1:2" x14ac:dyDescent="0.25">
      <c r="A1930" s="388"/>
      <c r="B1930" s="388"/>
    </row>
    <row r="1931" spans="1:2" x14ac:dyDescent="0.25">
      <c r="A1931" s="388"/>
      <c r="B1931" s="388"/>
    </row>
    <row r="1932" spans="1:2" x14ac:dyDescent="0.25">
      <c r="A1932" s="388"/>
      <c r="B1932" s="388"/>
    </row>
    <row r="1933" spans="1:2" x14ac:dyDescent="0.25">
      <c r="A1933" s="388"/>
      <c r="B1933" s="388"/>
    </row>
    <row r="1934" spans="1:2" x14ac:dyDescent="0.25">
      <c r="A1934" s="388"/>
      <c r="B1934" s="388"/>
    </row>
    <row r="1935" spans="1:2" x14ac:dyDescent="0.25">
      <c r="A1935" s="388"/>
      <c r="B1935" s="388"/>
    </row>
    <row r="1936" spans="1:2" x14ac:dyDescent="0.25">
      <c r="A1936" s="388"/>
      <c r="B1936" s="388"/>
    </row>
    <row r="1937" spans="1:2" x14ac:dyDescent="0.25">
      <c r="A1937" s="388"/>
      <c r="B1937" s="388"/>
    </row>
    <row r="1938" spans="1:2" x14ac:dyDescent="0.25">
      <c r="A1938" s="388"/>
      <c r="B1938" s="388"/>
    </row>
    <row r="1939" spans="1:2" x14ac:dyDescent="0.25">
      <c r="A1939" s="388"/>
      <c r="B1939" s="388"/>
    </row>
    <row r="1940" spans="1:2" x14ac:dyDescent="0.25">
      <c r="A1940" s="388"/>
      <c r="B1940" s="388"/>
    </row>
    <row r="1941" spans="1:2" x14ac:dyDescent="0.25">
      <c r="A1941" s="388"/>
      <c r="B1941" s="388"/>
    </row>
    <row r="1942" spans="1:2" x14ac:dyDescent="0.25">
      <c r="A1942" s="388"/>
      <c r="B1942" s="388"/>
    </row>
    <row r="1943" spans="1:2" x14ac:dyDescent="0.25">
      <c r="A1943" s="388"/>
      <c r="B1943" s="388"/>
    </row>
    <row r="1944" spans="1:2" x14ac:dyDescent="0.25">
      <c r="A1944" s="388"/>
      <c r="B1944" s="388"/>
    </row>
    <row r="1945" spans="1:2" x14ac:dyDescent="0.25">
      <c r="A1945" s="388"/>
      <c r="B1945" s="388"/>
    </row>
    <row r="1946" spans="1:2" x14ac:dyDescent="0.25">
      <c r="A1946" s="388"/>
      <c r="B1946" s="388"/>
    </row>
    <row r="1947" spans="1:2" x14ac:dyDescent="0.25">
      <c r="A1947" s="388"/>
      <c r="B1947" s="388"/>
    </row>
    <row r="1948" spans="1:2" x14ac:dyDescent="0.25">
      <c r="A1948" s="388"/>
      <c r="B1948" s="388"/>
    </row>
    <row r="1949" spans="1:2" x14ac:dyDescent="0.25">
      <c r="A1949" s="388"/>
      <c r="B1949" s="388"/>
    </row>
    <row r="1950" spans="1:2" x14ac:dyDescent="0.25">
      <c r="A1950" s="388"/>
      <c r="B1950" s="388"/>
    </row>
    <row r="1951" spans="1:2" x14ac:dyDescent="0.25">
      <c r="A1951" s="388"/>
      <c r="B1951" s="388"/>
    </row>
    <row r="1952" spans="1:2" x14ac:dyDescent="0.25">
      <c r="A1952" s="388"/>
      <c r="B1952" s="388"/>
    </row>
    <row r="1953" spans="1:2" x14ac:dyDescent="0.25">
      <c r="A1953" s="388"/>
      <c r="B1953" s="388"/>
    </row>
    <row r="1954" spans="1:2" x14ac:dyDescent="0.25">
      <c r="A1954" s="388"/>
      <c r="B1954" s="388"/>
    </row>
    <row r="1955" spans="1:2" x14ac:dyDescent="0.25">
      <c r="A1955" s="388"/>
      <c r="B1955" s="388"/>
    </row>
    <row r="1956" spans="1:2" x14ac:dyDescent="0.25">
      <c r="A1956" s="388"/>
      <c r="B1956" s="388"/>
    </row>
    <row r="1957" spans="1:2" x14ac:dyDescent="0.25">
      <c r="A1957" s="388"/>
      <c r="B1957" s="388"/>
    </row>
    <row r="1958" spans="1:2" x14ac:dyDescent="0.25">
      <c r="A1958" s="388"/>
      <c r="B1958" s="388"/>
    </row>
    <row r="1959" spans="1:2" x14ac:dyDescent="0.25">
      <c r="A1959" s="388"/>
      <c r="B1959" s="388"/>
    </row>
    <row r="1960" spans="1:2" x14ac:dyDescent="0.25">
      <c r="A1960" s="388"/>
      <c r="B1960" s="388"/>
    </row>
    <row r="1961" spans="1:2" x14ac:dyDescent="0.25">
      <c r="A1961" s="388"/>
      <c r="B1961" s="388"/>
    </row>
    <row r="1962" spans="1:2" x14ac:dyDescent="0.25">
      <c r="A1962" s="388"/>
      <c r="B1962" s="388"/>
    </row>
    <row r="1963" spans="1:2" x14ac:dyDescent="0.25">
      <c r="A1963" s="388"/>
      <c r="B1963" s="388"/>
    </row>
    <row r="1964" spans="1:2" x14ac:dyDescent="0.25">
      <c r="A1964" s="388"/>
      <c r="B1964" s="388"/>
    </row>
    <row r="1965" spans="1:2" x14ac:dyDescent="0.25">
      <c r="A1965" s="388"/>
      <c r="B1965" s="388"/>
    </row>
    <row r="1966" spans="1:2" x14ac:dyDescent="0.25">
      <c r="A1966" s="388"/>
      <c r="B1966" s="388"/>
    </row>
    <row r="1967" spans="1:2" x14ac:dyDescent="0.25">
      <c r="A1967" s="388"/>
      <c r="B1967" s="388"/>
    </row>
    <row r="1968" spans="1:2" x14ac:dyDescent="0.25">
      <c r="A1968" s="388"/>
      <c r="B1968" s="388"/>
    </row>
    <row r="1969" spans="1:2" x14ac:dyDescent="0.25">
      <c r="A1969" s="388"/>
      <c r="B1969" s="388"/>
    </row>
    <row r="1970" spans="1:2" x14ac:dyDescent="0.25">
      <c r="A1970" s="388"/>
      <c r="B1970" s="388"/>
    </row>
    <row r="1971" spans="1:2" x14ac:dyDescent="0.25">
      <c r="A1971" s="388"/>
      <c r="B1971" s="388"/>
    </row>
    <row r="1972" spans="1:2" x14ac:dyDescent="0.25">
      <c r="A1972" s="388"/>
      <c r="B1972" s="388"/>
    </row>
    <row r="1973" spans="1:2" x14ac:dyDescent="0.25">
      <c r="A1973" s="388"/>
      <c r="B1973" s="388"/>
    </row>
    <row r="1974" spans="1:2" x14ac:dyDescent="0.25">
      <c r="A1974" s="388"/>
      <c r="B1974" s="388"/>
    </row>
    <row r="1975" spans="1:2" x14ac:dyDescent="0.25">
      <c r="A1975" s="388"/>
      <c r="B1975" s="388"/>
    </row>
    <row r="1976" spans="1:2" x14ac:dyDescent="0.25">
      <c r="A1976" s="388"/>
      <c r="B1976" s="388"/>
    </row>
    <row r="1977" spans="1:2" x14ac:dyDescent="0.25">
      <c r="A1977" s="388"/>
      <c r="B1977" s="388"/>
    </row>
    <row r="1978" spans="1:2" x14ac:dyDescent="0.25">
      <c r="A1978" s="388"/>
      <c r="B1978" s="388"/>
    </row>
    <row r="1979" spans="1:2" x14ac:dyDescent="0.25">
      <c r="A1979" s="388"/>
      <c r="B1979" s="388"/>
    </row>
    <row r="1980" spans="1:2" x14ac:dyDescent="0.25">
      <c r="A1980" s="388"/>
      <c r="B1980" s="388"/>
    </row>
    <row r="1981" spans="1:2" x14ac:dyDescent="0.25">
      <c r="A1981" s="388"/>
      <c r="B1981" s="388"/>
    </row>
    <row r="1982" spans="1:2" x14ac:dyDescent="0.25">
      <c r="A1982" s="388"/>
      <c r="B1982" s="388"/>
    </row>
    <row r="1983" spans="1:2" x14ac:dyDescent="0.25">
      <c r="A1983" s="388"/>
      <c r="B1983" s="388"/>
    </row>
    <row r="1984" spans="1:2" x14ac:dyDescent="0.25">
      <c r="A1984" s="388"/>
      <c r="B1984" s="388"/>
    </row>
    <row r="1985" spans="1:2" x14ac:dyDescent="0.25">
      <c r="A1985" s="388"/>
      <c r="B1985" s="388"/>
    </row>
    <row r="1986" spans="1:2" x14ac:dyDescent="0.25">
      <c r="A1986" s="388"/>
      <c r="B1986" s="388"/>
    </row>
    <row r="1987" spans="1:2" x14ac:dyDescent="0.25">
      <c r="A1987" s="388"/>
      <c r="B1987" s="388"/>
    </row>
    <row r="1988" spans="1:2" x14ac:dyDescent="0.25">
      <c r="A1988" s="388"/>
      <c r="B1988" s="388"/>
    </row>
    <row r="1989" spans="1:2" x14ac:dyDescent="0.25">
      <c r="A1989" s="388"/>
      <c r="B1989" s="388"/>
    </row>
    <row r="1990" spans="1:2" x14ac:dyDescent="0.25">
      <c r="A1990" s="388"/>
      <c r="B1990" s="388"/>
    </row>
    <row r="1991" spans="1:2" x14ac:dyDescent="0.25">
      <c r="A1991" s="388"/>
      <c r="B1991" s="388"/>
    </row>
    <row r="1992" spans="1:2" x14ac:dyDescent="0.25">
      <c r="A1992" s="388"/>
      <c r="B1992" s="388"/>
    </row>
    <row r="1993" spans="1:2" x14ac:dyDescent="0.25">
      <c r="A1993" s="388"/>
      <c r="B1993" s="388"/>
    </row>
    <row r="1994" spans="1:2" x14ac:dyDescent="0.25">
      <c r="A1994" s="388"/>
      <c r="B1994" s="388"/>
    </row>
    <row r="1995" spans="1:2" x14ac:dyDescent="0.25">
      <c r="A1995" s="388"/>
      <c r="B1995" s="388"/>
    </row>
    <row r="1996" spans="1:2" x14ac:dyDescent="0.25">
      <c r="A1996" s="388"/>
      <c r="B1996" s="388"/>
    </row>
    <row r="1997" spans="1:2" x14ac:dyDescent="0.25">
      <c r="A1997" s="388"/>
      <c r="B1997" s="388"/>
    </row>
    <row r="1998" spans="1:2" x14ac:dyDescent="0.25">
      <c r="A1998" s="388"/>
      <c r="B1998" s="388"/>
    </row>
    <row r="1999" spans="1:2" x14ac:dyDescent="0.25">
      <c r="A1999" s="388"/>
      <c r="B1999" s="388"/>
    </row>
    <row r="2000" spans="1:2" x14ac:dyDescent="0.25">
      <c r="A2000" s="388"/>
      <c r="B2000" s="388"/>
    </row>
    <row r="2001" spans="1:2" x14ac:dyDescent="0.25">
      <c r="A2001" s="388"/>
      <c r="B2001" s="388"/>
    </row>
    <row r="2002" spans="1:2" x14ac:dyDescent="0.25">
      <c r="A2002" s="388"/>
      <c r="B2002" s="388"/>
    </row>
    <row r="2003" spans="1:2" x14ac:dyDescent="0.25">
      <c r="A2003" s="388"/>
      <c r="B2003" s="388"/>
    </row>
    <row r="2004" spans="1:2" x14ac:dyDescent="0.25">
      <c r="A2004" s="388"/>
      <c r="B2004" s="388"/>
    </row>
    <row r="2005" spans="1:2" x14ac:dyDescent="0.25">
      <c r="A2005" s="388"/>
      <c r="B2005" s="388"/>
    </row>
    <row r="2006" spans="1:2" x14ac:dyDescent="0.25">
      <c r="A2006" s="388"/>
      <c r="B2006" s="388"/>
    </row>
    <row r="2007" spans="1:2" x14ac:dyDescent="0.25">
      <c r="A2007" s="388"/>
      <c r="B2007" s="388"/>
    </row>
    <row r="2008" spans="1:2" x14ac:dyDescent="0.25">
      <c r="A2008" s="388"/>
      <c r="B2008" s="388"/>
    </row>
    <row r="2009" spans="1:2" x14ac:dyDescent="0.25">
      <c r="A2009" s="388"/>
      <c r="B2009" s="388"/>
    </row>
    <row r="2010" spans="1:2" x14ac:dyDescent="0.25">
      <c r="A2010" s="388"/>
      <c r="B2010" s="388"/>
    </row>
    <row r="2011" spans="1:2" x14ac:dyDescent="0.25">
      <c r="A2011" s="388"/>
      <c r="B2011" s="388"/>
    </row>
    <row r="2012" spans="1:2" x14ac:dyDescent="0.25">
      <c r="A2012" s="388"/>
      <c r="B2012" s="388"/>
    </row>
    <row r="2013" spans="1:2" x14ac:dyDescent="0.25">
      <c r="A2013" s="388"/>
      <c r="B2013" s="388"/>
    </row>
    <row r="2014" spans="1:2" x14ac:dyDescent="0.25">
      <c r="A2014" s="388"/>
      <c r="B2014" s="388"/>
    </row>
    <row r="2015" spans="1:2" x14ac:dyDescent="0.25">
      <c r="A2015" s="388"/>
      <c r="B2015" s="388"/>
    </row>
    <row r="2016" spans="1:2" x14ac:dyDescent="0.25">
      <c r="A2016" s="388"/>
      <c r="B2016" s="388"/>
    </row>
    <row r="2017" spans="1:2" x14ac:dyDescent="0.25">
      <c r="A2017" s="388"/>
      <c r="B2017" s="388"/>
    </row>
    <row r="2018" spans="1:2" x14ac:dyDescent="0.25">
      <c r="A2018" s="388"/>
      <c r="B2018" s="388"/>
    </row>
    <row r="2019" spans="1:2" x14ac:dyDescent="0.25">
      <c r="A2019" s="388"/>
      <c r="B2019" s="388"/>
    </row>
    <row r="2020" spans="1:2" x14ac:dyDescent="0.25">
      <c r="A2020" s="388"/>
      <c r="B2020" s="388"/>
    </row>
    <row r="2021" spans="1:2" x14ac:dyDescent="0.25">
      <c r="A2021" s="388"/>
      <c r="B2021" s="388"/>
    </row>
    <row r="2022" spans="1:2" x14ac:dyDescent="0.25">
      <c r="A2022" s="388"/>
      <c r="B2022" s="388"/>
    </row>
    <row r="2023" spans="1:2" x14ac:dyDescent="0.25">
      <c r="A2023" s="388"/>
      <c r="B2023" s="388"/>
    </row>
    <row r="2024" spans="1:2" x14ac:dyDescent="0.25">
      <c r="A2024" s="388"/>
      <c r="B2024" s="388"/>
    </row>
    <row r="2025" spans="1:2" x14ac:dyDescent="0.25">
      <c r="A2025" s="388"/>
      <c r="B2025" s="388"/>
    </row>
    <row r="2026" spans="1:2" x14ac:dyDescent="0.25">
      <c r="A2026" s="388"/>
      <c r="B2026" s="388"/>
    </row>
    <row r="2027" spans="1:2" x14ac:dyDescent="0.25">
      <c r="A2027" s="388"/>
      <c r="B2027" s="388"/>
    </row>
    <row r="2028" spans="1:2" x14ac:dyDescent="0.25">
      <c r="A2028" s="388"/>
      <c r="B2028" s="388"/>
    </row>
    <row r="2029" spans="1:2" x14ac:dyDescent="0.25">
      <c r="A2029" s="388"/>
      <c r="B2029" s="388"/>
    </row>
    <row r="2030" spans="1:2" x14ac:dyDescent="0.25">
      <c r="A2030" s="388"/>
      <c r="B2030" s="388"/>
    </row>
    <row r="2031" spans="1:2" x14ac:dyDescent="0.25">
      <c r="A2031" s="388"/>
      <c r="B2031" s="388"/>
    </row>
    <row r="2032" spans="1:2" x14ac:dyDescent="0.25">
      <c r="A2032" s="388"/>
      <c r="B2032" s="388"/>
    </row>
    <row r="2033" spans="1:2" x14ac:dyDescent="0.25">
      <c r="A2033" s="388"/>
      <c r="B2033" s="388"/>
    </row>
    <row r="2034" spans="1:2" x14ac:dyDescent="0.25">
      <c r="A2034" s="388"/>
      <c r="B2034" s="388"/>
    </row>
    <row r="2035" spans="1:2" x14ac:dyDescent="0.25">
      <c r="A2035" s="388"/>
      <c r="B2035" s="388"/>
    </row>
    <row r="2036" spans="1:2" x14ac:dyDescent="0.25">
      <c r="A2036" s="388"/>
      <c r="B2036" s="388"/>
    </row>
    <row r="2037" spans="1:2" x14ac:dyDescent="0.25">
      <c r="A2037" s="388"/>
      <c r="B2037" s="388"/>
    </row>
    <row r="2038" spans="1:2" x14ac:dyDescent="0.25">
      <c r="A2038" s="388"/>
      <c r="B2038" s="388"/>
    </row>
    <row r="2039" spans="1:2" x14ac:dyDescent="0.25">
      <c r="A2039" s="388"/>
      <c r="B2039" s="388"/>
    </row>
    <row r="2040" spans="1:2" x14ac:dyDescent="0.25">
      <c r="A2040" s="388"/>
      <c r="B2040" s="388"/>
    </row>
    <row r="2041" spans="1:2" x14ac:dyDescent="0.25">
      <c r="A2041" s="388"/>
      <c r="B2041" s="388"/>
    </row>
    <row r="2042" spans="1:2" x14ac:dyDescent="0.25">
      <c r="A2042" s="388"/>
      <c r="B2042" s="388"/>
    </row>
    <row r="2043" spans="1:2" x14ac:dyDescent="0.25">
      <c r="A2043" s="388"/>
      <c r="B2043" s="388"/>
    </row>
    <row r="2044" spans="1:2" x14ac:dyDescent="0.25">
      <c r="A2044" s="388"/>
      <c r="B2044" s="388"/>
    </row>
    <row r="2045" spans="1:2" x14ac:dyDescent="0.25">
      <c r="A2045" s="388"/>
      <c r="B2045" s="388"/>
    </row>
    <row r="2046" spans="1:2" x14ac:dyDescent="0.25">
      <c r="A2046" s="388"/>
      <c r="B2046" s="388"/>
    </row>
    <row r="2047" spans="1:2" x14ac:dyDescent="0.25">
      <c r="A2047" s="388"/>
      <c r="B2047" s="388"/>
    </row>
    <row r="2048" spans="1:2" x14ac:dyDescent="0.25">
      <c r="A2048" s="388"/>
      <c r="B2048" s="388"/>
    </row>
    <row r="2049" spans="1:2" x14ac:dyDescent="0.25">
      <c r="A2049" s="388"/>
      <c r="B2049" s="388"/>
    </row>
    <row r="2050" spans="1:2" x14ac:dyDescent="0.25">
      <c r="A2050" s="388"/>
      <c r="B2050" s="388"/>
    </row>
    <row r="2051" spans="1:2" x14ac:dyDescent="0.25">
      <c r="A2051" s="388"/>
      <c r="B2051" s="388"/>
    </row>
    <row r="2052" spans="1:2" x14ac:dyDescent="0.25">
      <c r="A2052" s="388"/>
      <c r="B2052" s="388"/>
    </row>
    <row r="2053" spans="1:2" x14ac:dyDescent="0.25">
      <c r="A2053" s="388"/>
      <c r="B2053" s="388"/>
    </row>
    <row r="2054" spans="1:2" x14ac:dyDescent="0.25">
      <c r="A2054" s="388"/>
      <c r="B2054" s="388"/>
    </row>
    <row r="2055" spans="1:2" x14ac:dyDescent="0.25">
      <c r="A2055" s="388"/>
      <c r="B2055" s="388"/>
    </row>
    <row r="2056" spans="1:2" x14ac:dyDescent="0.25">
      <c r="A2056" s="388"/>
      <c r="B2056" s="388"/>
    </row>
    <row r="2057" spans="1:2" x14ac:dyDescent="0.25">
      <c r="A2057" s="388"/>
      <c r="B2057" s="388"/>
    </row>
    <row r="2058" spans="1:2" x14ac:dyDescent="0.25">
      <c r="A2058" s="388"/>
      <c r="B2058" s="388"/>
    </row>
    <row r="2059" spans="1:2" x14ac:dyDescent="0.25">
      <c r="A2059" s="388"/>
      <c r="B2059" s="388"/>
    </row>
    <row r="2060" spans="1:2" x14ac:dyDescent="0.25">
      <c r="A2060" s="388"/>
      <c r="B2060" s="388"/>
    </row>
    <row r="2061" spans="1:2" x14ac:dyDescent="0.25">
      <c r="A2061" s="388"/>
      <c r="B2061" s="388"/>
    </row>
    <row r="2062" spans="1:2" x14ac:dyDescent="0.25">
      <c r="A2062" s="388"/>
      <c r="B2062" s="388"/>
    </row>
    <row r="2063" spans="1:2" x14ac:dyDescent="0.25">
      <c r="A2063" s="388"/>
      <c r="B2063" s="388"/>
    </row>
    <row r="2064" spans="1:2" x14ac:dyDescent="0.25">
      <c r="A2064" s="388"/>
      <c r="B2064" s="388"/>
    </row>
    <row r="2065" spans="1:2" x14ac:dyDescent="0.25">
      <c r="A2065" s="388"/>
      <c r="B2065" s="388"/>
    </row>
    <row r="2066" spans="1:2" x14ac:dyDescent="0.25">
      <c r="A2066" s="388"/>
      <c r="B2066" s="388"/>
    </row>
    <row r="2067" spans="1:2" x14ac:dyDescent="0.25">
      <c r="A2067" s="388"/>
      <c r="B2067" s="388"/>
    </row>
    <row r="2068" spans="1:2" x14ac:dyDescent="0.25">
      <c r="A2068" s="388"/>
      <c r="B2068" s="388"/>
    </row>
    <row r="2069" spans="1:2" x14ac:dyDescent="0.25">
      <c r="A2069" s="388"/>
      <c r="B2069" s="388"/>
    </row>
    <row r="2070" spans="1:2" x14ac:dyDescent="0.25">
      <c r="A2070" s="388"/>
      <c r="B2070" s="388"/>
    </row>
    <row r="2071" spans="1:2" x14ac:dyDescent="0.25">
      <c r="A2071" s="388"/>
      <c r="B2071" s="388"/>
    </row>
    <row r="2072" spans="1:2" x14ac:dyDescent="0.25">
      <c r="A2072" s="388"/>
      <c r="B2072" s="388"/>
    </row>
    <row r="2073" spans="1:2" x14ac:dyDescent="0.25">
      <c r="A2073" s="388"/>
      <c r="B2073" s="388"/>
    </row>
    <row r="2074" spans="1:2" x14ac:dyDescent="0.25">
      <c r="A2074" s="388"/>
      <c r="B2074" s="388"/>
    </row>
    <row r="2075" spans="1:2" x14ac:dyDescent="0.25">
      <c r="A2075" s="388"/>
      <c r="B2075" s="388"/>
    </row>
    <row r="2076" spans="1:2" x14ac:dyDescent="0.25">
      <c r="A2076" s="388"/>
      <c r="B2076" s="388"/>
    </row>
    <row r="2077" spans="1:2" x14ac:dyDescent="0.25">
      <c r="A2077" s="388"/>
      <c r="B2077" s="388"/>
    </row>
    <row r="2078" spans="1:2" x14ac:dyDescent="0.25">
      <c r="A2078" s="388"/>
      <c r="B2078" s="388"/>
    </row>
    <row r="2079" spans="1:2" x14ac:dyDescent="0.25">
      <c r="A2079" s="388"/>
      <c r="B2079" s="388"/>
    </row>
    <row r="2080" spans="1:2" x14ac:dyDescent="0.25">
      <c r="A2080" s="388"/>
      <c r="B2080" s="388"/>
    </row>
    <row r="2081" spans="1:2" x14ac:dyDescent="0.25">
      <c r="A2081" s="388"/>
      <c r="B2081" s="388"/>
    </row>
    <row r="2082" spans="1:2" x14ac:dyDescent="0.25">
      <c r="A2082" s="388"/>
      <c r="B2082" s="388"/>
    </row>
    <row r="2083" spans="1:2" x14ac:dyDescent="0.25">
      <c r="A2083" s="388"/>
      <c r="B2083" s="388"/>
    </row>
    <row r="2084" spans="1:2" x14ac:dyDescent="0.25">
      <c r="A2084" s="388"/>
      <c r="B2084" s="388"/>
    </row>
    <row r="2085" spans="1:2" x14ac:dyDescent="0.25">
      <c r="A2085" s="388"/>
      <c r="B2085" s="388"/>
    </row>
    <row r="2086" spans="1:2" x14ac:dyDescent="0.25">
      <c r="A2086" s="388"/>
      <c r="B2086" s="388"/>
    </row>
    <row r="2087" spans="1:2" x14ac:dyDescent="0.25">
      <c r="A2087" s="388"/>
      <c r="B2087" s="388"/>
    </row>
    <row r="2088" spans="1:2" x14ac:dyDescent="0.25">
      <c r="A2088" s="388"/>
      <c r="B2088" s="388"/>
    </row>
    <row r="2089" spans="1:2" x14ac:dyDescent="0.25">
      <c r="A2089" s="388"/>
      <c r="B2089" s="388"/>
    </row>
    <row r="2090" spans="1:2" x14ac:dyDescent="0.25">
      <c r="A2090" s="388"/>
      <c r="B2090" s="388"/>
    </row>
    <row r="2091" spans="1:2" x14ac:dyDescent="0.25">
      <c r="A2091" s="388"/>
      <c r="B2091" s="388"/>
    </row>
    <row r="2092" spans="1:2" x14ac:dyDescent="0.25">
      <c r="A2092" s="388"/>
      <c r="B2092" s="388"/>
    </row>
    <row r="2093" spans="1:2" x14ac:dyDescent="0.25">
      <c r="A2093" s="388"/>
      <c r="B2093" s="388"/>
    </row>
    <row r="2094" spans="1:2" x14ac:dyDescent="0.25">
      <c r="A2094" s="388"/>
      <c r="B2094" s="388"/>
    </row>
    <row r="2095" spans="1:2" x14ac:dyDescent="0.25">
      <c r="A2095" s="388"/>
      <c r="B2095" s="388"/>
    </row>
    <row r="2096" spans="1:2" x14ac:dyDescent="0.25">
      <c r="A2096" s="388"/>
      <c r="B2096" s="388"/>
    </row>
    <row r="2097" spans="1:2" x14ac:dyDescent="0.25">
      <c r="A2097" s="388"/>
      <c r="B2097" s="388"/>
    </row>
    <row r="2098" spans="1:2" x14ac:dyDescent="0.25">
      <c r="A2098" s="388"/>
      <c r="B2098" s="388"/>
    </row>
    <row r="2099" spans="1:2" x14ac:dyDescent="0.25">
      <c r="A2099" s="388"/>
      <c r="B2099" s="388"/>
    </row>
    <row r="2100" spans="1:2" x14ac:dyDescent="0.25">
      <c r="A2100" s="388"/>
      <c r="B2100" s="388"/>
    </row>
    <row r="2101" spans="1:2" x14ac:dyDescent="0.25">
      <c r="A2101" s="388"/>
      <c r="B2101" s="388"/>
    </row>
    <row r="2102" spans="1:2" x14ac:dyDescent="0.25">
      <c r="A2102" s="388"/>
      <c r="B2102" s="388"/>
    </row>
    <row r="2103" spans="1:2" x14ac:dyDescent="0.25">
      <c r="A2103" s="388"/>
      <c r="B2103" s="388"/>
    </row>
    <row r="2104" spans="1:2" x14ac:dyDescent="0.25">
      <c r="A2104" s="388"/>
      <c r="B2104" s="388"/>
    </row>
    <row r="2105" spans="1:2" x14ac:dyDescent="0.25">
      <c r="A2105" s="388"/>
      <c r="B2105" s="388"/>
    </row>
    <row r="2106" spans="1:2" x14ac:dyDescent="0.25">
      <c r="A2106" s="388"/>
      <c r="B2106" s="388"/>
    </row>
    <row r="2107" spans="1:2" x14ac:dyDescent="0.25">
      <c r="A2107" s="388"/>
      <c r="B2107" s="388"/>
    </row>
    <row r="2108" spans="1:2" x14ac:dyDescent="0.25">
      <c r="A2108" s="388"/>
      <c r="B2108" s="388"/>
    </row>
    <row r="2109" spans="1:2" x14ac:dyDescent="0.25">
      <c r="A2109" s="388"/>
      <c r="B2109" s="388"/>
    </row>
    <row r="2110" spans="1:2" x14ac:dyDescent="0.25">
      <c r="A2110" s="388"/>
      <c r="B2110" s="388"/>
    </row>
    <row r="2111" spans="1:2" x14ac:dyDescent="0.25">
      <c r="A2111" s="388"/>
      <c r="B2111" s="388"/>
    </row>
    <row r="2112" spans="1:2" x14ac:dyDescent="0.25">
      <c r="A2112" s="388"/>
      <c r="B2112" s="388"/>
    </row>
    <row r="2113" spans="1:2" x14ac:dyDescent="0.25">
      <c r="A2113" s="388"/>
      <c r="B2113" s="388"/>
    </row>
    <row r="2114" spans="1:2" x14ac:dyDescent="0.25">
      <c r="A2114" s="388"/>
      <c r="B2114" s="388"/>
    </row>
    <row r="2115" spans="1:2" x14ac:dyDescent="0.25">
      <c r="A2115" s="388"/>
      <c r="B2115" s="388"/>
    </row>
    <row r="2116" spans="1:2" x14ac:dyDescent="0.25">
      <c r="A2116" s="388"/>
      <c r="B2116" s="388"/>
    </row>
    <row r="2117" spans="1:2" x14ac:dyDescent="0.25">
      <c r="A2117" s="388"/>
      <c r="B2117" s="388"/>
    </row>
    <row r="2118" spans="1:2" x14ac:dyDescent="0.25">
      <c r="A2118" s="388"/>
      <c r="B2118" s="388"/>
    </row>
    <row r="2119" spans="1:2" x14ac:dyDescent="0.25">
      <c r="A2119" s="388"/>
      <c r="B2119" s="388"/>
    </row>
    <row r="2120" spans="1:2" x14ac:dyDescent="0.25">
      <c r="A2120" s="388"/>
      <c r="B2120" s="388"/>
    </row>
    <row r="2121" spans="1:2" x14ac:dyDescent="0.25">
      <c r="A2121" s="388"/>
      <c r="B2121" s="388"/>
    </row>
    <row r="2122" spans="1:2" x14ac:dyDescent="0.25">
      <c r="A2122" s="388"/>
      <c r="B2122" s="388"/>
    </row>
    <row r="2123" spans="1:2" x14ac:dyDescent="0.25">
      <c r="A2123" s="388"/>
      <c r="B2123" s="388"/>
    </row>
    <row r="2124" spans="1:2" x14ac:dyDescent="0.25">
      <c r="A2124" s="388"/>
      <c r="B2124" s="388"/>
    </row>
    <row r="2125" spans="1:2" x14ac:dyDescent="0.25">
      <c r="A2125" s="388"/>
      <c r="B2125" s="388"/>
    </row>
    <row r="2126" spans="1:2" x14ac:dyDescent="0.25">
      <c r="A2126" s="388"/>
      <c r="B2126" s="388"/>
    </row>
    <row r="2127" spans="1:2" x14ac:dyDescent="0.25">
      <c r="A2127" s="388"/>
      <c r="B2127" s="388"/>
    </row>
    <row r="2128" spans="1:2" x14ac:dyDescent="0.25">
      <c r="A2128" s="388"/>
      <c r="B2128" s="388"/>
    </row>
    <row r="2129" spans="1:2" x14ac:dyDescent="0.25">
      <c r="A2129" s="388"/>
      <c r="B2129" s="388"/>
    </row>
    <row r="2130" spans="1:2" x14ac:dyDescent="0.25">
      <c r="A2130" s="388"/>
      <c r="B2130" s="388"/>
    </row>
    <row r="2131" spans="1:2" x14ac:dyDescent="0.25">
      <c r="A2131" s="388"/>
      <c r="B2131" s="388"/>
    </row>
    <row r="2132" spans="1:2" x14ac:dyDescent="0.25">
      <c r="A2132" s="388"/>
      <c r="B2132" s="388"/>
    </row>
    <row r="2133" spans="1:2" x14ac:dyDescent="0.25">
      <c r="A2133" s="388"/>
      <c r="B2133" s="388"/>
    </row>
    <row r="2134" spans="1:2" x14ac:dyDescent="0.25">
      <c r="A2134" s="388"/>
      <c r="B2134" s="388"/>
    </row>
    <row r="2135" spans="1:2" x14ac:dyDescent="0.25">
      <c r="A2135" s="388"/>
      <c r="B2135" s="388"/>
    </row>
    <row r="2136" spans="1:2" x14ac:dyDescent="0.25">
      <c r="A2136" s="388"/>
      <c r="B2136" s="388"/>
    </row>
    <row r="2137" spans="1:2" x14ac:dyDescent="0.25">
      <c r="A2137" s="388"/>
      <c r="B2137" s="388"/>
    </row>
    <row r="2138" spans="1:2" x14ac:dyDescent="0.25">
      <c r="A2138" s="388"/>
      <c r="B2138" s="388"/>
    </row>
    <row r="2139" spans="1:2" x14ac:dyDescent="0.25">
      <c r="A2139" s="388"/>
      <c r="B2139" s="388"/>
    </row>
    <row r="2140" spans="1:2" x14ac:dyDescent="0.25">
      <c r="A2140" s="388"/>
      <c r="B2140" s="388"/>
    </row>
    <row r="2141" spans="1:2" x14ac:dyDescent="0.25">
      <c r="A2141" s="388"/>
      <c r="B2141" s="388"/>
    </row>
    <row r="2142" spans="1:2" x14ac:dyDescent="0.25">
      <c r="A2142" s="388"/>
      <c r="B2142" s="388"/>
    </row>
    <row r="2143" spans="1:2" x14ac:dyDescent="0.25">
      <c r="A2143" s="388"/>
      <c r="B2143" s="388"/>
    </row>
    <row r="2144" spans="1:2" x14ac:dyDescent="0.25">
      <c r="A2144" s="388"/>
      <c r="B2144" s="388"/>
    </row>
    <row r="2145" spans="1:2" x14ac:dyDescent="0.25">
      <c r="A2145" s="388"/>
      <c r="B2145" s="388"/>
    </row>
    <row r="2146" spans="1:2" x14ac:dyDescent="0.25">
      <c r="A2146" s="388"/>
      <c r="B2146" s="388"/>
    </row>
    <row r="2147" spans="1:2" x14ac:dyDescent="0.25">
      <c r="A2147" s="388"/>
      <c r="B2147" s="388"/>
    </row>
    <row r="2148" spans="1:2" x14ac:dyDescent="0.25">
      <c r="A2148" s="388"/>
      <c r="B2148" s="388"/>
    </row>
    <row r="2149" spans="1:2" x14ac:dyDescent="0.25">
      <c r="A2149" s="388"/>
      <c r="B2149" s="388"/>
    </row>
    <row r="2150" spans="1:2" x14ac:dyDescent="0.25">
      <c r="A2150" s="388"/>
      <c r="B2150" s="388"/>
    </row>
    <row r="2151" spans="1:2" x14ac:dyDescent="0.25">
      <c r="A2151" s="388"/>
      <c r="B2151" s="388"/>
    </row>
    <row r="2152" spans="1:2" x14ac:dyDescent="0.25">
      <c r="A2152" s="388"/>
      <c r="B2152" s="388"/>
    </row>
    <row r="2153" spans="1:2" x14ac:dyDescent="0.25">
      <c r="A2153" s="388"/>
      <c r="B2153" s="388"/>
    </row>
    <row r="2154" spans="1:2" x14ac:dyDescent="0.25">
      <c r="A2154" s="388"/>
      <c r="B2154" s="388"/>
    </row>
    <row r="2155" spans="1:2" x14ac:dyDescent="0.25">
      <c r="A2155" s="388"/>
      <c r="B2155" s="388"/>
    </row>
    <row r="2156" spans="1:2" x14ac:dyDescent="0.25">
      <c r="A2156" s="388"/>
      <c r="B2156" s="388"/>
    </row>
    <row r="2157" spans="1:2" x14ac:dyDescent="0.25">
      <c r="A2157" s="388"/>
      <c r="B2157" s="388"/>
    </row>
    <row r="2158" spans="1:2" x14ac:dyDescent="0.25">
      <c r="A2158" s="388"/>
      <c r="B2158" s="388"/>
    </row>
    <row r="2159" spans="1:2" x14ac:dyDescent="0.25">
      <c r="A2159" s="388"/>
      <c r="B2159" s="388"/>
    </row>
    <row r="2160" spans="1:2" x14ac:dyDescent="0.25">
      <c r="A2160" s="388"/>
      <c r="B2160" s="388"/>
    </row>
    <row r="2161" spans="1:2" x14ac:dyDescent="0.25">
      <c r="A2161" s="388"/>
      <c r="B2161" s="388"/>
    </row>
    <row r="2162" spans="1:2" x14ac:dyDescent="0.25">
      <c r="A2162" s="388"/>
      <c r="B2162" s="388"/>
    </row>
    <row r="2163" spans="1:2" x14ac:dyDescent="0.25">
      <c r="A2163" s="388"/>
      <c r="B2163" s="388"/>
    </row>
    <row r="2164" spans="1:2" x14ac:dyDescent="0.25">
      <c r="A2164" s="388"/>
      <c r="B2164" s="388"/>
    </row>
    <row r="2165" spans="1:2" x14ac:dyDescent="0.25">
      <c r="A2165" s="388"/>
      <c r="B2165" s="388"/>
    </row>
    <row r="2166" spans="1:2" x14ac:dyDescent="0.25">
      <c r="A2166" s="388"/>
      <c r="B2166" s="388"/>
    </row>
    <row r="2167" spans="1:2" x14ac:dyDescent="0.25">
      <c r="A2167" s="388"/>
      <c r="B2167" s="388"/>
    </row>
    <row r="2168" spans="1:2" x14ac:dyDescent="0.25">
      <c r="A2168" s="388"/>
      <c r="B2168" s="388"/>
    </row>
    <row r="2169" spans="1:2" x14ac:dyDescent="0.25">
      <c r="A2169" s="388"/>
      <c r="B2169" s="388"/>
    </row>
    <row r="2170" spans="1:2" x14ac:dyDescent="0.25">
      <c r="A2170" s="388"/>
      <c r="B2170" s="388"/>
    </row>
    <row r="2171" spans="1:2" x14ac:dyDescent="0.25">
      <c r="A2171" s="388"/>
      <c r="B2171" s="388"/>
    </row>
    <row r="2172" spans="1:2" x14ac:dyDescent="0.25">
      <c r="A2172" s="388"/>
      <c r="B2172" s="388"/>
    </row>
    <row r="2173" spans="1:2" x14ac:dyDescent="0.25">
      <c r="A2173" s="388"/>
      <c r="B2173" s="388"/>
    </row>
    <row r="2174" spans="1:2" x14ac:dyDescent="0.25">
      <c r="A2174" s="388"/>
      <c r="B2174" s="388"/>
    </row>
    <row r="2175" spans="1:2" x14ac:dyDescent="0.25">
      <c r="A2175" s="388"/>
      <c r="B2175" s="388"/>
    </row>
    <row r="2176" spans="1:2" x14ac:dyDescent="0.25">
      <c r="A2176" s="388"/>
      <c r="B2176" s="388"/>
    </row>
    <row r="2177" spans="1:2" x14ac:dyDescent="0.25">
      <c r="A2177" s="388"/>
      <c r="B2177" s="388"/>
    </row>
    <row r="2178" spans="1:2" x14ac:dyDescent="0.25">
      <c r="A2178" s="388"/>
      <c r="B2178" s="388"/>
    </row>
    <row r="2179" spans="1:2" x14ac:dyDescent="0.25">
      <c r="A2179" s="388"/>
      <c r="B2179" s="388"/>
    </row>
    <row r="2180" spans="1:2" x14ac:dyDescent="0.25">
      <c r="A2180" s="388"/>
      <c r="B2180" s="388"/>
    </row>
    <row r="2181" spans="1:2" x14ac:dyDescent="0.25">
      <c r="A2181" s="388"/>
      <c r="B2181" s="388"/>
    </row>
    <row r="2182" spans="1:2" x14ac:dyDescent="0.25">
      <c r="A2182" s="388"/>
      <c r="B2182" s="388"/>
    </row>
    <row r="2183" spans="1:2" x14ac:dyDescent="0.25">
      <c r="A2183" s="388"/>
      <c r="B2183" s="388"/>
    </row>
    <row r="2184" spans="1:2" x14ac:dyDescent="0.25">
      <c r="A2184" s="388"/>
      <c r="B2184" s="388"/>
    </row>
    <row r="2185" spans="1:2" x14ac:dyDescent="0.25">
      <c r="A2185" s="388"/>
      <c r="B2185" s="388"/>
    </row>
    <row r="2186" spans="1:2" x14ac:dyDescent="0.25">
      <c r="A2186" s="388"/>
      <c r="B2186" s="388"/>
    </row>
    <row r="2187" spans="1:2" x14ac:dyDescent="0.25">
      <c r="A2187" s="388"/>
      <c r="B2187" s="388"/>
    </row>
    <row r="2188" spans="1:2" x14ac:dyDescent="0.25">
      <c r="A2188" s="388"/>
      <c r="B2188" s="388"/>
    </row>
    <row r="2189" spans="1:2" x14ac:dyDescent="0.25">
      <c r="A2189" s="388"/>
      <c r="B2189" s="388"/>
    </row>
    <row r="2190" spans="1:2" x14ac:dyDescent="0.25">
      <c r="A2190" s="388"/>
      <c r="B2190" s="388"/>
    </row>
    <row r="2191" spans="1:2" x14ac:dyDescent="0.25">
      <c r="A2191" s="388"/>
      <c r="B2191" s="388"/>
    </row>
    <row r="2192" spans="1:2" x14ac:dyDescent="0.25">
      <c r="A2192" s="388"/>
      <c r="B2192" s="388"/>
    </row>
    <row r="2193" spans="1:2" x14ac:dyDescent="0.25">
      <c r="A2193" s="388"/>
      <c r="B2193" s="388"/>
    </row>
    <row r="2194" spans="1:2" x14ac:dyDescent="0.25">
      <c r="A2194" s="388"/>
      <c r="B2194" s="388"/>
    </row>
    <row r="2195" spans="1:2" x14ac:dyDescent="0.25">
      <c r="A2195" s="388"/>
      <c r="B2195" s="388"/>
    </row>
    <row r="2196" spans="1:2" x14ac:dyDescent="0.25">
      <c r="A2196" s="388"/>
      <c r="B2196" s="388"/>
    </row>
    <row r="2197" spans="1:2" x14ac:dyDescent="0.25">
      <c r="A2197" s="388"/>
      <c r="B2197" s="388"/>
    </row>
    <row r="2198" spans="1:2" x14ac:dyDescent="0.25">
      <c r="A2198" s="388"/>
      <c r="B2198" s="388"/>
    </row>
    <row r="2199" spans="1:2" x14ac:dyDescent="0.25">
      <c r="A2199" s="388"/>
      <c r="B2199" s="388"/>
    </row>
    <row r="2200" spans="1:2" x14ac:dyDescent="0.25">
      <c r="A2200" s="388"/>
      <c r="B2200" s="388"/>
    </row>
    <row r="2201" spans="1:2" x14ac:dyDescent="0.25">
      <c r="A2201" s="388"/>
      <c r="B2201" s="388"/>
    </row>
    <row r="2202" spans="1:2" x14ac:dyDescent="0.25">
      <c r="A2202" s="388"/>
      <c r="B2202" s="388"/>
    </row>
    <row r="2203" spans="1:2" x14ac:dyDescent="0.25">
      <c r="A2203" s="388"/>
      <c r="B2203" s="388"/>
    </row>
    <row r="2204" spans="1:2" x14ac:dyDescent="0.25">
      <c r="A2204" s="388"/>
      <c r="B2204" s="388"/>
    </row>
    <row r="2205" spans="1:2" x14ac:dyDescent="0.25">
      <c r="A2205" s="388"/>
      <c r="B2205" s="388"/>
    </row>
    <row r="2206" spans="1:2" x14ac:dyDescent="0.25">
      <c r="A2206" s="388"/>
      <c r="B2206" s="388"/>
    </row>
    <row r="2207" spans="1:2" x14ac:dyDescent="0.25">
      <c r="A2207" s="388"/>
      <c r="B2207" s="388"/>
    </row>
    <row r="2208" spans="1:2" x14ac:dyDescent="0.25">
      <c r="A2208" s="388"/>
      <c r="B2208" s="388"/>
    </row>
    <row r="2209" spans="1:2" x14ac:dyDescent="0.25">
      <c r="A2209" s="388"/>
      <c r="B2209" s="388"/>
    </row>
    <row r="2210" spans="1:2" x14ac:dyDescent="0.25">
      <c r="A2210" s="388"/>
      <c r="B2210" s="388"/>
    </row>
    <row r="2211" spans="1:2" x14ac:dyDescent="0.25">
      <c r="A2211" s="388"/>
      <c r="B2211" s="388"/>
    </row>
    <row r="2212" spans="1:2" x14ac:dyDescent="0.25">
      <c r="A2212" s="388"/>
      <c r="B2212" s="388"/>
    </row>
    <row r="2213" spans="1:2" x14ac:dyDescent="0.25">
      <c r="A2213" s="388"/>
      <c r="B2213" s="388"/>
    </row>
    <row r="2214" spans="1:2" x14ac:dyDescent="0.25">
      <c r="A2214" s="388"/>
      <c r="B2214" s="388"/>
    </row>
    <row r="2215" spans="1:2" x14ac:dyDescent="0.25">
      <c r="A2215" s="388"/>
      <c r="B2215" s="388"/>
    </row>
    <row r="2216" spans="1:2" x14ac:dyDescent="0.25">
      <c r="A2216" s="388"/>
      <c r="B2216" s="388"/>
    </row>
    <row r="2217" spans="1:2" x14ac:dyDescent="0.25">
      <c r="A2217" s="388"/>
      <c r="B2217" s="388"/>
    </row>
    <row r="2218" spans="1:2" x14ac:dyDescent="0.25">
      <c r="A2218" s="388"/>
      <c r="B2218" s="388"/>
    </row>
    <row r="2219" spans="1:2" x14ac:dyDescent="0.25">
      <c r="A2219" s="388"/>
      <c r="B2219" s="388"/>
    </row>
    <row r="2220" spans="1:2" x14ac:dyDescent="0.25">
      <c r="A2220" s="388"/>
      <c r="B2220" s="388"/>
    </row>
    <row r="2221" spans="1:2" x14ac:dyDescent="0.25">
      <c r="A2221" s="388"/>
      <c r="B2221" s="388"/>
    </row>
    <row r="2222" spans="1:2" x14ac:dyDescent="0.25">
      <c r="A2222" s="388"/>
      <c r="B2222" s="388"/>
    </row>
    <row r="2223" spans="1:2" x14ac:dyDescent="0.25">
      <c r="A2223" s="388"/>
      <c r="B2223" s="388"/>
    </row>
    <row r="2224" spans="1:2" x14ac:dyDescent="0.25">
      <c r="A2224" s="388"/>
      <c r="B2224" s="388"/>
    </row>
    <row r="2225" spans="1:2" x14ac:dyDescent="0.25">
      <c r="A2225" s="388"/>
      <c r="B2225" s="388"/>
    </row>
    <row r="2226" spans="1:2" x14ac:dyDescent="0.25">
      <c r="A2226" s="388"/>
      <c r="B2226" s="388"/>
    </row>
    <row r="2227" spans="1:2" x14ac:dyDescent="0.25">
      <c r="A2227" s="388"/>
      <c r="B2227" s="388"/>
    </row>
    <row r="2228" spans="1:2" x14ac:dyDescent="0.25">
      <c r="A2228" s="388"/>
      <c r="B2228" s="388"/>
    </row>
    <row r="2229" spans="1:2" x14ac:dyDescent="0.25">
      <c r="A2229" s="388"/>
      <c r="B2229" s="388"/>
    </row>
    <row r="2230" spans="1:2" x14ac:dyDescent="0.25">
      <c r="A2230" s="388"/>
      <c r="B2230" s="388"/>
    </row>
    <row r="2231" spans="1:2" x14ac:dyDescent="0.25">
      <c r="A2231" s="388"/>
      <c r="B2231" s="388"/>
    </row>
    <row r="2232" spans="1:2" x14ac:dyDescent="0.25">
      <c r="A2232" s="388"/>
      <c r="B2232" s="388"/>
    </row>
    <row r="2233" spans="1:2" x14ac:dyDescent="0.25">
      <c r="A2233" s="388"/>
      <c r="B2233" s="388"/>
    </row>
    <row r="2234" spans="1:2" x14ac:dyDescent="0.25">
      <c r="A2234" s="388"/>
      <c r="B2234" s="388"/>
    </row>
    <row r="2235" spans="1:2" x14ac:dyDescent="0.25">
      <c r="A2235" s="388"/>
      <c r="B2235" s="388"/>
    </row>
    <row r="2236" spans="1:2" x14ac:dyDescent="0.25">
      <c r="A2236" s="388"/>
      <c r="B2236" s="388"/>
    </row>
    <row r="2237" spans="1:2" x14ac:dyDescent="0.25">
      <c r="A2237" s="388"/>
      <c r="B2237" s="388"/>
    </row>
    <row r="2238" spans="1:2" x14ac:dyDescent="0.25">
      <c r="A2238" s="388"/>
      <c r="B2238" s="388"/>
    </row>
    <row r="2239" spans="1:2" x14ac:dyDescent="0.25">
      <c r="A2239" s="388"/>
      <c r="B2239" s="388"/>
    </row>
    <row r="2240" spans="1:2" x14ac:dyDescent="0.25">
      <c r="A2240" s="388"/>
      <c r="B2240" s="388"/>
    </row>
    <row r="2241" spans="1:2" x14ac:dyDescent="0.25">
      <c r="A2241" s="388"/>
      <c r="B2241" s="388"/>
    </row>
    <row r="2242" spans="1:2" x14ac:dyDescent="0.25">
      <c r="A2242" s="388"/>
      <c r="B2242" s="388"/>
    </row>
    <row r="2243" spans="1:2" x14ac:dyDescent="0.25">
      <c r="A2243" s="388"/>
      <c r="B2243" s="388"/>
    </row>
    <row r="2244" spans="1:2" x14ac:dyDescent="0.25">
      <c r="A2244" s="388"/>
      <c r="B2244" s="388"/>
    </row>
    <row r="2245" spans="1:2" x14ac:dyDescent="0.25">
      <c r="A2245" s="388"/>
      <c r="B2245" s="388"/>
    </row>
    <row r="2246" spans="1:2" x14ac:dyDescent="0.25">
      <c r="A2246" s="388"/>
      <c r="B2246" s="388"/>
    </row>
    <row r="2247" spans="1:2" x14ac:dyDescent="0.25">
      <c r="A2247" s="388"/>
      <c r="B2247" s="388"/>
    </row>
    <row r="2248" spans="1:2" x14ac:dyDescent="0.25">
      <c r="A2248" s="388"/>
      <c r="B2248" s="388"/>
    </row>
    <row r="2249" spans="1:2" x14ac:dyDescent="0.25">
      <c r="A2249" s="388"/>
      <c r="B2249" s="388"/>
    </row>
    <row r="2250" spans="1:2" x14ac:dyDescent="0.25">
      <c r="A2250" s="388"/>
      <c r="B2250" s="388"/>
    </row>
    <row r="2251" spans="1:2" x14ac:dyDescent="0.25">
      <c r="A2251" s="388"/>
      <c r="B2251" s="388"/>
    </row>
    <row r="2252" spans="1:2" x14ac:dyDescent="0.25">
      <c r="A2252" s="388"/>
      <c r="B2252" s="388"/>
    </row>
    <row r="2253" spans="1:2" x14ac:dyDescent="0.25">
      <c r="A2253" s="388"/>
      <c r="B2253" s="388"/>
    </row>
    <row r="2254" spans="1:2" x14ac:dyDescent="0.25">
      <c r="A2254" s="388"/>
      <c r="B2254" s="388"/>
    </row>
    <row r="2255" spans="1:2" x14ac:dyDescent="0.25">
      <c r="A2255" s="388"/>
      <c r="B2255" s="388"/>
    </row>
    <row r="2256" spans="1:2" x14ac:dyDescent="0.25">
      <c r="A2256" s="388"/>
      <c r="B2256" s="388"/>
    </row>
    <row r="2257" spans="1:2" x14ac:dyDescent="0.25">
      <c r="A2257" s="388"/>
      <c r="B2257" s="388"/>
    </row>
    <row r="2258" spans="1:2" x14ac:dyDescent="0.25">
      <c r="A2258" s="388"/>
      <c r="B2258" s="388"/>
    </row>
    <row r="2259" spans="1:2" x14ac:dyDescent="0.25">
      <c r="A2259" s="388"/>
      <c r="B2259" s="388"/>
    </row>
    <row r="2260" spans="1:2" x14ac:dyDescent="0.25">
      <c r="A2260" s="388"/>
      <c r="B2260" s="388"/>
    </row>
    <row r="2261" spans="1:2" x14ac:dyDescent="0.25">
      <c r="A2261" s="388"/>
      <c r="B2261" s="388"/>
    </row>
    <row r="2262" spans="1:2" x14ac:dyDescent="0.25">
      <c r="A2262" s="388"/>
      <c r="B2262" s="388"/>
    </row>
    <row r="2263" spans="1:2" x14ac:dyDescent="0.25">
      <c r="A2263" s="388"/>
      <c r="B2263" s="388"/>
    </row>
    <row r="2264" spans="1:2" x14ac:dyDescent="0.25">
      <c r="A2264" s="388"/>
      <c r="B2264" s="388"/>
    </row>
    <row r="2265" spans="1:2" x14ac:dyDescent="0.25">
      <c r="A2265" s="388"/>
      <c r="B2265" s="388"/>
    </row>
    <row r="2266" spans="1:2" x14ac:dyDescent="0.25">
      <c r="A2266" s="388"/>
      <c r="B2266" s="388"/>
    </row>
    <row r="2267" spans="1:2" x14ac:dyDescent="0.25">
      <c r="A2267" s="388"/>
      <c r="B2267" s="388"/>
    </row>
    <row r="2268" spans="1:2" x14ac:dyDescent="0.25">
      <c r="A2268" s="388"/>
      <c r="B2268" s="388"/>
    </row>
    <row r="2269" spans="1:2" x14ac:dyDescent="0.25">
      <c r="A2269" s="388"/>
      <c r="B2269" s="388"/>
    </row>
    <row r="2270" spans="1:2" x14ac:dyDescent="0.25">
      <c r="A2270" s="388"/>
      <c r="B2270" s="388"/>
    </row>
    <row r="2271" spans="1:2" x14ac:dyDescent="0.25">
      <c r="A2271" s="388"/>
      <c r="B2271" s="388"/>
    </row>
    <row r="2272" spans="1:2" x14ac:dyDescent="0.25">
      <c r="A2272" s="388"/>
      <c r="B2272" s="388"/>
    </row>
    <row r="2273" spans="1:2" x14ac:dyDescent="0.25">
      <c r="A2273" s="388"/>
      <c r="B2273" s="388"/>
    </row>
    <row r="2274" spans="1:2" x14ac:dyDescent="0.25">
      <c r="A2274" s="388"/>
      <c r="B2274" s="388"/>
    </row>
    <row r="2275" spans="1:2" x14ac:dyDescent="0.25">
      <c r="A2275" s="388"/>
      <c r="B2275" s="388"/>
    </row>
    <row r="2276" spans="1:2" x14ac:dyDescent="0.25">
      <c r="A2276" s="388"/>
      <c r="B2276" s="388"/>
    </row>
    <row r="2277" spans="1:2" x14ac:dyDescent="0.25">
      <c r="A2277" s="388"/>
      <c r="B2277" s="388"/>
    </row>
    <row r="2278" spans="1:2" x14ac:dyDescent="0.25">
      <c r="A2278" s="388"/>
      <c r="B2278" s="388"/>
    </row>
    <row r="2279" spans="1:2" x14ac:dyDescent="0.25">
      <c r="A2279" s="388"/>
      <c r="B2279" s="388"/>
    </row>
    <row r="2280" spans="1:2" x14ac:dyDescent="0.25">
      <c r="A2280" s="388"/>
      <c r="B2280" s="388"/>
    </row>
    <row r="2281" spans="1:2" x14ac:dyDescent="0.25">
      <c r="A2281" s="388"/>
      <c r="B2281" s="388"/>
    </row>
    <row r="2282" spans="1:2" x14ac:dyDescent="0.25">
      <c r="A2282" s="388"/>
      <c r="B2282" s="388"/>
    </row>
    <row r="2283" spans="1:2" x14ac:dyDescent="0.25">
      <c r="A2283" s="388"/>
      <c r="B2283" s="388"/>
    </row>
    <row r="2284" spans="1:2" x14ac:dyDescent="0.25">
      <c r="A2284" s="388"/>
      <c r="B2284" s="388"/>
    </row>
    <row r="2285" spans="1:2" x14ac:dyDescent="0.25">
      <c r="A2285" s="388"/>
      <c r="B2285" s="388"/>
    </row>
    <row r="2286" spans="1:2" x14ac:dyDescent="0.25">
      <c r="A2286" s="388"/>
      <c r="B2286" s="388"/>
    </row>
    <row r="2287" spans="1:2" x14ac:dyDescent="0.25">
      <c r="A2287" s="388"/>
      <c r="B2287" s="388"/>
    </row>
    <row r="2288" spans="1:2" x14ac:dyDescent="0.25">
      <c r="A2288" s="388"/>
      <c r="B2288" s="388"/>
    </row>
    <row r="2289" spans="1:2" x14ac:dyDescent="0.25">
      <c r="A2289" s="388"/>
      <c r="B2289" s="388"/>
    </row>
    <row r="2290" spans="1:2" x14ac:dyDescent="0.25">
      <c r="A2290" s="388"/>
      <c r="B2290" s="388"/>
    </row>
    <row r="2291" spans="1:2" x14ac:dyDescent="0.25">
      <c r="A2291" s="388"/>
      <c r="B2291" s="388"/>
    </row>
    <row r="2292" spans="1:2" x14ac:dyDescent="0.25">
      <c r="A2292" s="388"/>
      <c r="B2292" s="388"/>
    </row>
    <row r="2293" spans="1:2" x14ac:dyDescent="0.25">
      <c r="A2293" s="388"/>
      <c r="B2293" s="388"/>
    </row>
    <row r="2294" spans="1:2" x14ac:dyDescent="0.25">
      <c r="A2294" s="388"/>
      <c r="B2294" s="388"/>
    </row>
    <row r="2295" spans="1:2" x14ac:dyDescent="0.25">
      <c r="A2295" s="388"/>
      <c r="B2295" s="388"/>
    </row>
    <row r="2296" spans="1:2" x14ac:dyDescent="0.25">
      <c r="A2296" s="388"/>
      <c r="B2296" s="388"/>
    </row>
    <row r="2297" spans="1:2" x14ac:dyDescent="0.25">
      <c r="A2297" s="388"/>
      <c r="B2297" s="388"/>
    </row>
    <row r="2298" spans="1:2" x14ac:dyDescent="0.25">
      <c r="A2298" s="388"/>
      <c r="B2298" s="388"/>
    </row>
    <row r="2299" spans="1:2" x14ac:dyDescent="0.25">
      <c r="A2299" s="388"/>
      <c r="B2299" s="388"/>
    </row>
    <row r="2300" spans="1:2" x14ac:dyDescent="0.25">
      <c r="A2300" s="388"/>
      <c r="B2300" s="388"/>
    </row>
    <row r="2301" spans="1:2" x14ac:dyDescent="0.25">
      <c r="A2301" s="388"/>
      <c r="B2301" s="388"/>
    </row>
    <row r="2302" spans="1:2" x14ac:dyDescent="0.25">
      <c r="A2302" s="388"/>
      <c r="B2302" s="388"/>
    </row>
    <row r="2303" spans="1:2" x14ac:dyDescent="0.25">
      <c r="A2303" s="388"/>
      <c r="B2303" s="388"/>
    </row>
    <row r="2304" spans="1:2" x14ac:dyDescent="0.25">
      <c r="A2304" s="388"/>
      <c r="B2304" s="388"/>
    </row>
    <row r="2305" spans="1:2" x14ac:dyDescent="0.25">
      <c r="A2305" s="388"/>
      <c r="B2305" s="388"/>
    </row>
    <row r="2306" spans="1:2" x14ac:dyDescent="0.25">
      <c r="A2306" s="388"/>
      <c r="B2306" s="388"/>
    </row>
    <row r="2307" spans="1:2" x14ac:dyDescent="0.25">
      <c r="A2307" s="388"/>
      <c r="B2307" s="388"/>
    </row>
    <row r="2308" spans="1:2" x14ac:dyDescent="0.25">
      <c r="A2308" s="388"/>
      <c r="B2308" s="388"/>
    </row>
    <row r="2309" spans="1:2" x14ac:dyDescent="0.25">
      <c r="A2309" s="388"/>
      <c r="B2309" s="388"/>
    </row>
    <row r="2310" spans="1:2" x14ac:dyDescent="0.25">
      <c r="A2310" s="388"/>
      <c r="B2310" s="388"/>
    </row>
    <row r="2311" spans="1:2" x14ac:dyDescent="0.25">
      <c r="A2311" s="388"/>
      <c r="B2311" s="388"/>
    </row>
    <row r="2312" spans="1:2" x14ac:dyDescent="0.25">
      <c r="A2312" s="388"/>
      <c r="B2312" s="388"/>
    </row>
    <row r="2313" spans="1:2" x14ac:dyDescent="0.25">
      <c r="A2313" s="388"/>
      <c r="B2313" s="388"/>
    </row>
    <row r="2314" spans="1:2" x14ac:dyDescent="0.25">
      <c r="A2314" s="388"/>
      <c r="B2314" s="388"/>
    </row>
    <row r="2315" spans="1:2" x14ac:dyDescent="0.25">
      <c r="A2315" s="388"/>
      <c r="B2315" s="388"/>
    </row>
    <row r="2316" spans="1:2" x14ac:dyDescent="0.25">
      <c r="A2316" s="388"/>
      <c r="B2316" s="388"/>
    </row>
    <row r="2317" spans="1:2" x14ac:dyDescent="0.25">
      <c r="A2317" s="388"/>
      <c r="B2317" s="388"/>
    </row>
    <row r="2318" spans="1:2" x14ac:dyDescent="0.25">
      <c r="A2318" s="388"/>
      <c r="B2318" s="388"/>
    </row>
    <row r="2319" spans="1:2" x14ac:dyDescent="0.25">
      <c r="A2319" s="388"/>
      <c r="B2319" s="388"/>
    </row>
    <row r="2320" spans="1:2" x14ac:dyDescent="0.25">
      <c r="A2320" s="388"/>
      <c r="B2320" s="388"/>
    </row>
    <row r="2321" spans="1:2" x14ac:dyDescent="0.25">
      <c r="A2321" s="388"/>
      <c r="B2321" s="388"/>
    </row>
    <row r="2322" spans="1:2" x14ac:dyDescent="0.25">
      <c r="A2322" s="388"/>
      <c r="B2322" s="388"/>
    </row>
    <row r="2323" spans="1:2" x14ac:dyDescent="0.25">
      <c r="A2323" s="388"/>
      <c r="B2323" s="388"/>
    </row>
    <row r="2324" spans="1:2" x14ac:dyDescent="0.25">
      <c r="A2324" s="388"/>
      <c r="B2324" s="388"/>
    </row>
    <row r="2325" spans="1:2" x14ac:dyDescent="0.25">
      <c r="A2325" s="388"/>
      <c r="B2325" s="388"/>
    </row>
    <row r="2326" spans="1:2" x14ac:dyDescent="0.25">
      <c r="A2326" s="388"/>
      <c r="B2326" s="388"/>
    </row>
    <row r="2327" spans="1:2" x14ac:dyDescent="0.25">
      <c r="A2327" s="388"/>
      <c r="B2327" s="388"/>
    </row>
    <row r="2328" spans="1:2" x14ac:dyDescent="0.25">
      <c r="A2328" s="388"/>
      <c r="B2328" s="388"/>
    </row>
    <row r="2329" spans="1:2" x14ac:dyDescent="0.25">
      <c r="A2329" s="388"/>
      <c r="B2329" s="388"/>
    </row>
    <row r="2330" spans="1:2" x14ac:dyDescent="0.25">
      <c r="A2330" s="388"/>
      <c r="B2330" s="388"/>
    </row>
    <row r="2331" spans="1:2" x14ac:dyDescent="0.25">
      <c r="A2331" s="388"/>
      <c r="B2331" s="388"/>
    </row>
    <row r="2332" spans="1:2" x14ac:dyDescent="0.25">
      <c r="A2332" s="388"/>
      <c r="B2332" s="388"/>
    </row>
    <row r="2333" spans="1:2" x14ac:dyDescent="0.25">
      <c r="A2333" s="388"/>
      <c r="B2333" s="388"/>
    </row>
    <row r="2334" spans="1:2" x14ac:dyDescent="0.25">
      <c r="A2334" s="388"/>
      <c r="B2334" s="388"/>
    </row>
    <row r="2335" spans="1:2" x14ac:dyDescent="0.25">
      <c r="A2335" s="388"/>
      <c r="B2335" s="388"/>
    </row>
    <row r="2336" spans="1:2" x14ac:dyDescent="0.25">
      <c r="A2336" s="388"/>
      <c r="B2336" s="388"/>
    </row>
    <row r="2337" spans="1:2" x14ac:dyDescent="0.25">
      <c r="A2337" s="388"/>
      <c r="B2337" s="388"/>
    </row>
    <row r="2338" spans="1:2" x14ac:dyDescent="0.25">
      <c r="A2338" s="388"/>
      <c r="B2338" s="388"/>
    </row>
    <row r="2339" spans="1:2" x14ac:dyDescent="0.25">
      <c r="A2339" s="388"/>
      <c r="B2339" s="388"/>
    </row>
    <row r="2340" spans="1:2" x14ac:dyDescent="0.25">
      <c r="A2340" s="388"/>
      <c r="B2340" s="388"/>
    </row>
    <row r="2341" spans="1:2" x14ac:dyDescent="0.25">
      <c r="A2341" s="388"/>
      <c r="B2341" s="388"/>
    </row>
    <row r="2342" spans="1:2" x14ac:dyDescent="0.25">
      <c r="A2342" s="388"/>
      <c r="B2342" s="388"/>
    </row>
    <row r="2343" spans="1:2" x14ac:dyDescent="0.25">
      <c r="A2343" s="388"/>
      <c r="B2343" s="388"/>
    </row>
    <row r="2344" spans="1:2" x14ac:dyDescent="0.25">
      <c r="A2344" s="388"/>
      <c r="B2344" s="388"/>
    </row>
    <row r="2345" spans="1:2" x14ac:dyDescent="0.25">
      <c r="A2345" s="388"/>
      <c r="B2345" s="388"/>
    </row>
    <row r="2346" spans="1:2" x14ac:dyDescent="0.25">
      <c r="A2346" s="388"/>
      <c r="B2346" s="388"/>
    </row>
    <row r="2347" spans="1:2" x14ac:dyDescent="0.25">
      <c r="A2347" s="388"/>
      <c r="B2347" s="388"/>
    </row>
    <row r="2348" spans="1:2" x14ac:dyDescent="0.25">
      <c r="A2348" s="388"/>
      <c r="B2348" s="388"/>
    </row>
    <row r="2349" spans="1:2" x14ac:dyDescent="0.25">
      <c r="A2349" s="388"/>
      <c r="B2349" s="388"/>
    </row>
    <row r="2350" spans="1:2" x14ac:dyDescent="0.25">
      <c r="A2350" s="388"/>
      <c r="B2350" s="388"/>
    </row>
    <row r="2351" spans="1:2" x14ac:dyDescent="0.25">
      <c r="A2351" s="388"/>
      <c r="B2351" s="388"/>
    </row>
    <row r="2352" spans="1:2" x14ac:dyDescent="0.25">
      <c r="A2352" s="388"/>
      <c r="B2352" s="388"/>
    </row>
    <row r="2353" spans="1:2" x14ac:dyDescent="0.25">
      <c r="A2353" s="388"/>
      <c r="B2353" s="388"/>
    </row>
    <row r="2354" spans="1:2" x14ac:dyDescent="0.25">
      <c r="A2354" s="388"/>
      <c r="B2354" s="388"/>
    </row>
    <row r="2355" spans="1:2" x14ac:dyDescent="0.25">
      <c r="A2355" s="388"/>
      <c r="B2355" s="388"/>
    </row>
    <row r="2356" spans="1:2" x14ac:dyDescent="0.25">
      <c r="A2356" s="388"/>
      <c r="B2356" s="388"/>
    </row>
    <row r="2357" spans="1:2" x14ac:dyDescent="0.25">
      <c r="A2357" s="388"/>
      <c r="B2357" s="388"/>
    </row>
    <row r="2358" spans="1:2" x14ac:dyDescent="0.25">
      <c r="A2358" s="388"/>
      <c r="B2358" s="388"/>
    </row>
    <row r="2359" spans="1:2" x14ac:dyDescent="0.25">
      <c r="A2359" s="388"/>
      <c r="B2359" s="388"/>
    </row>
    <row r="2360" spans="1:2" x14ac:dyDescent="0.25">
      <c r="A2360" s="388"/>
      <c r="B2360" s="388"/>
    </row>
    <row r="2361" spans="1:2" x14ac:dyDescent="0.25">
      <c r="A2361" s="388"/>
      <c r="B2361" s="388"/>
    </row>
    <row r="2362" spans="1:2" x14ac:dyDescent="0.25">
      <c r="A2362" s="388"/>
      <c r="B2362" s="388"/>
    </row>
    <row r="2363" spans="1:2" x14ac:dyDescent="0.25">
      <c r="A2363" s="388"/>
      <c r="B2363" s="388"/>
    </row>
    <row r="2364" spans="1:2" x14ac:dyDescent="0.25">
      <c r="A2364" s="388"/>
      <c r="B2364" s="388"/>
    </row>
    <row r="2365" spans="1:2" x14ac:dyDescent="0.25">
      <c r="A2365" s="388"/>
      <c r="B2365" s="388"/>
    </row>
    <row r="2366" spans="1:2" x14ac:dyDescent="0.25">
      <c r="A2366" s="388"/>
      <c r="B2366" s="388"/>
    </row>
    <row r="2367" spans="1:2" x14ac:dyDescent="0.25">
      <c r="A2367" s="388"/>
      <c r="B2367" s="388"/>
    </row>
    <row r="2368" spans="1:2" x14ac:dyDescent="0.25">
      <c r="A2368" s="388"/>
      <c r="B2368" s="388"/>
    </row>
    <row r="2369" spans="1:2" x14ac:dyDescent="0.25">
      <c r="A2369" s="388"/>
      <c r="B2369" s="388"/>
    </row>
    <row r="2370" spans="1:2" x14ac:dyDescent="0.25">
      <c r="A2370" s="388"/>
      <c r="B2370" s="388"/>
    </row>
    <row r="2371" spans="1:2" x14ac:dyDescent="0.25">
      <c r="A2371" s="388"/>
      <c r="B2371" s="388"/>
    </row>
    <row r="2372" spans="1:2" x14ac:dyDescent="0.25">
      <c r="A2372" s="388"/>
      <c r="B2372" s="388"/>
    </row>
    <row r="2373" spans="1:2" x14ac:dyDescent="0.25">
      <c r="A2373" s="388"/>
      <c r="B2373" s="388"/>
    </row>
    <row r="2374" spans="1:2" x14ac:dyDescent="0.25">
      <c r="A2374" s="388"/>
      <c r="B2374" s="388"/>
    </row>
    <row r="2375" spans="1:2" x14ac:dyDescent="0.25">
      <c r="A2375" s="388"/>
      <c r="B2375" s="388"/>
    </row>
    <row r="2376" spans="1:2" x14ac:dyDescent="0.25">
      <c r="A2376" s="388"/>
      <c r="B2376" s="388"/>
    </row>
    <row r="2377" spans="1:2" x14ac:dyDescent="0.25">
      <c r="A2377" s="388"/>
      <c r="B2377" s="388"/>
    </row>
    <row r="2378" spans="1:2" x14ac:dyDescent="0.25">
      <c r="A2378" s="388"/>
      <c r="B2378" s="388"/>
    </row>
    <row r="2379" spans="1:2" x14ac:dyDescent="0.25">
      <c r="A2379" s="388"/>
      <c r="B2379" s="388"/>
    </row>
    <row r="2380" spans="1:2" x14ac:dyDescent="0.25">
      <c r="A2380" s="388"/>
      <c r="B2380" s="388"/>
    </row>
    <row r="2381" spans="1:2" x14ac:dyDescent="0.25">
      <c r="A2381" s="388"/>
      <c r="B2381" s="388"/>
    </row>
    <row r="2382" spans="1:2" x14ac:dyDescent="0.25">
      <c r="A2382" s="388"/>
      <c r="B2382" s="388"/>
    </row>
    <row r="2383" spans="1:2" x14ac:dyDescent="0.25">
      <c r="A2383" s="388"/>
      <c r="B2383" s="388"/>
    </row>
    <row r="2384" spans="1:2" x14ac:dyDescent="0.25">
      <c r="A2384" s="388"/>
      <c r="B2384" s="388"/>
    </row>
    <row r="2385" spans="1:2" x14ac:dyDescent="0.25">
      <c r="A2385" s="388"/>
      <c r="B2385" s="388"/>
    </row>
    <row r="2386" spans="1:2" x14ac:dyDescent="0.25">
      <c r="A2386" s="388"/>
      <c r="B2386" s="388"/>
    </row>
    <row r="2387" spans="1:2" x14ac:dyDescent="0.25">
      <c r="A2387" s="388"/>
      <c r="B2387" s="388"/>
    </row>
    <row r="2388" spans="1:2" x14ac:dyDescent="0.25">
      <c r="A2388" s="388"/>
      <c r="B2388" s="388"/>
    </row>
    <row r="2389" spans="1:2" x14ac:dyDescent="0.25">
      <c r="A2389" s="388"/>
      <c r="B2389" s="388"/>
    </row>
    <row r="2390" spans="1:2" x14ac:dyDescent="0.25">
      <c r="A2390" s="388"/>
      <c r="B2390" s="388"/>
    </row>
    <row r="2391" spans="1:2" x14ac:dyDescent="0.25">
      <c r="A2391" s="388"/>
      <c r="B2391" s="388"/>
    </row>
    <row r="2392" spans="1:2" x14ac:dyDescent="0.25">
      <c r="A2392" s="388"/>
      <c r="B2392" s="388"/>
    </row>
    <row r="2393" spans="1:2" x14ac:dyDescent="0.25">
      <c r="A2393" s="388"/>
      <c r="B2393" s="388"/>
    </row>
    <row r="2394" spans="1:2" x14ac:dyDescent="0.25">
      <c r="A2394" s="388"/>
      <c r="B2394" s="388"/>
    </row>
    <row r="2395" spans="1:2" x14ac:dyDescent="0.25">
      <c r="A2395" s="388"/>
      <c r="B2395" s="388"/>
    </row>
    <row r="2396" spans="1:2" x14ac:dyDescent="0.25">
      <c r="A2396" s="388"/>
      <c r="B2396" s="388"/>
    </row>
    <row r="2397" spans="1:2" x14ac:dyDescent="0.25">
      <c r="A2397" s="388"/>
      <c r="B2397" s="388"/>
    </row>
    <row r="2398" spans="1:2" x14ac:dyDescent="0.25">
      <c r="A2398" s="388"/>
      <c r="B2398" s="388"/>
    </row>
    <row r="2399" spans="1:2" x14ac:dyDescent="0.25">
      <c r="A2399" s="388"/>
      <c r="B2399" s="388"/>
    </row>
    <row r="2400" spans="1:2" x14ac:dyDescent="0.25">
      <c r="A2400" s="388"/>
      <c r="B2400" s="388"/>
    </row>
    <row r="2401" spans="1:2" x14ac:dyDescent="0.25">
      <c r="A2401" s="388"/>
      <c r="B2401" s="388"/>
    </row>
    <row r="2402" spans="1:2" x14ac:dyDescent="0.25">
      <c r="A2402" s="388"/>
      <c r="B2402" s="388"/>
    </row>
    <row r="2403" spans="1:2" x14ac:dyDescent="0.25">
      <c r="A2403" s="388"/>
      <c r="B2403" s="388"/>
    </row>
    <row r="2404" spans="1:2" x14ac:dyDescent="0.25">
      <c r="A2404" s="388"/>
      <c r="B2404" s="388"/>
    </row>
    <row r="2405" spans="1:2" x14ac:dyDescent="0.25">
      <c r="A2405" s="388"/>
      <c r="B2405" s="388"/>
    </row>
    <row r="2406" spans="1:2" x14ac:dyDescent="0.25">
      <c r="A2406" s="388"/>
      <c r="B2406" s="388"/>
    </row>
    <row r="2407" spans="1:2" x14ac:dyDescent="0.25">
      <c r="A2407" s="388"/>
      <c r="B2407" s="388"/>
    </row>
    <row r="2408" spans="1:2" x14ac:dyDescent="0.25">
      <c r="A2408" s="388"/>
      <c r="B2408" s="388"/>
    </row>
    <row r="2409" spans="1:2" x14ac:dyDescent="0.25">
      <c r="A2409" s="388"/>
      <c r="B2409" s="388"/>
    </row>
    <row r="2410" spans="1:2" x14ac:dyDescent="0.25">
      <c r="A2410" s="388"/>
      <c r="B2410" s="388"/>
    </row>
    <row r="2411" spans="1:2" x14ac:dyDescent="0.25">
      <c r="A2411" s="388"/>
      <c r="B2411" s="388"/>
    </row>
    <row r="2412" spans="1:2" x14ac:dyDescent="0.25">
      <c r="A2412" s="388"/>
      <c r="B2412" s="388"/>
    </row>
    <row r="2413" spans="1:2" x14ac:dyDescent="0.25">
      <c r="A2413" s="388"/>
      <c r="B2413" s="388"/>
    </row>
    <row r="2414" spans="1:2" x14ac:dyDescent="0.25">
      <c r="A2414" s="388"/>
      <c r="B2414" s="388"/>
    </row>
    <row r="2415" spans="1:2" x14ac:dyDescent="0.25">
      <c r="A2415" s="388"/>
      <c r="B2415" s="388"/>
    </row>
    <row r="2416" spans="1:2" x14ac:dyDescent="0.25">
      <c r="A2416" s="388"/>
      <c r="B2416" s="388"/>
    </row>
    <row r="2417" spans="1:2" x14ac:dyDescent="0.25">
      <c r="A2417" s="388"/>
      <c r="B2417" s="388"/>
    </row>
    <row r="2418" spans="1:2" x14ac:dyDescent="0.25">
      <c r="A2418" s="388"/>
      <c r="B2418" s="388"/>
    </row>
    <row r="2419" spans="1:2" x14ac:dyDescent="0.25">
      <c r="A2419" s="388"/>
      <c r="B2419" s="388"/>
    </row>
    <row r="2420" spans="1:2" x14ac:dyDescent="0.25">
      <c r="A2420" s="388"/>
      <c r="B2420" s="388"/>
    </row>
    <row r="2421" spans="1:2" x14ac:dyDescent="0.25">
      <c r="A2421" s="388"/>
      <c r="B2421" s="388"/>
    </row>
    <row r="2422" spans="1:2" x14ac:dyDescent="0.25">
      <c r="A2422" s="388"/>
      <c r="B2422" s="388"/>
    </row>
    <row r="2423" spans="1:2" x14ac:dyDescent="0.25">
      <c r="A2423" s="388"/>
      <c r="B2423" s="388"/>
    </row>
    <row r="2424" spans="1:2" x14ac:dyDescent="0.25">
      <c r="A2424" s="388"/>
      <c r="B2424" s="388"/>
    </row>
    <row r="2425" spans="1:2" x14ac:dyDescent="0.25">
      <c r="A2425" s="388"/>
      <c r="B2425" s="388"/>
    </row>
    <row r="2426" spans="1:2" x14ac:dyDescent="0.25">
      <c r="A2426" s="388"/>
      <c r="B2426" s="388"/>
    </row>
    <row r="2427" spans="1:2" x14ac:dyDescent="0.25">
      <c r="A2427" s="388"/>
      <c r="B2427" s="388"/>
    </row>
    <row r="2428" spans="1:2" x14ac:dyDescent="0.25">
      <c r="A2428" s="388"/>
      <c r="B2428" s="388"/>
    </row>
    <row r="2429" spans="1:2" x14ac:dyDescent="0.25">
      <c r="A2429" s="388"/>
      <c r="B2429" s="388"/>
    </row>
    <row r="2430" spans="1:2" x14ac:dyDescent="0.25">
      <c r="A2430" s="388"/>
      <c r="B2430" s="388"/>
    </row>
    <row r="2431" spans="1:2" x14ac:dyDescent="0.25">
      <c r="A2431" s="388"/>
      <c r="B2431" s="388"/>
    </row>
    <row r="2432" spans="1:2" x14ac:dyDescent="0.25">
      <c r="A2432" s="388"/>
      <c r="B2432" s="388"/>
    </row>
    <row r="2433" spans="1:2" x14ac:dyDescent="0.25">
      <c r="A2433" s="388"/>
      <c r="B2433" s="388"/>
    </row>
    <row r="2434" spans="1:2" x14ac:dyDescent="0.25">
      <c r="A2434" s="388"/>
      <c r="B2434" s="388"/>
    </row>
    <row r="2435" spans="1:2" x14ac:dyDescent="0.25">
      <c r="A2435" s="388"/>
      <c r="B2435" s="388"/>
    </row>
    <row r="2436" spans="1:2" x14ac:dyDescent="0.25">
      <c r="A2436" s="388"/>
      <c r="B2436" s="388"/>
    </row>
    <row r="2437" spans="1:2" x14ac:dyDescent="0.25">
      <c r="A2437" s="388"/>
      <c r="B2437" s="388"/>
    </row>
    <row r="2438" spans="1:2" x14ac:dyDescent="0.25">
      <c r="A2438" s="388"/>
      <c r="B2438" s="388"/>
    </row>
    <row r="2439" spans="1:2" x14ac:dyDescent="0.25">
      <c r="A2439" s="388"/>
      <c r="B2439" s="388"/>
    </row>
    <row r="2440" spans="1:2" x14ac:dyDescent="0.25">
      <c r="A2440" s="388"/>
      <c r="B2440" s="388"/>
    </row>
    <row r="2441" spans="1:2" x14ac:dyDescent="0.25">
      <c r="A2441" s="388"/>
      <c r="B2441" s="388"/>
    </row>
    <row r="2442" spans="1:2" x14ac:dyDescent="0.25">
      <c r="A2442" s="388"/>
      <c r="B2442" s="388"/>
    </row>
    <row r="2443" spans="1:2" x14ac:dyDescent="0.25">
      <c r="A2443" s="388"/>
      <c r="B2443" s="388"/>
    </row>
    <row r="2444" spans="1:2" x14ac:dyDescent="0.25">
      <c r="A2444" s="388"/>
      <c r="B2444" s="388"/>
    </row>
    <row r="2445" spans="1:2" x14ac:dyDescent="0.25">
      <c r="A2445" s="388"/>
      <c r="B2445" s="388"/>
    </row>
    <row r="2446" spans="1:2" x14ac:dyDescent="0.25">
      <c r="A2446" s="388"/>
      <c r="B2446" s="388"/>
    </row>
    <row r="2447" spans="1:2" x14ac:dyDescent="0.25">
      <c r="A2447" s="388"/>
      <c r="B2447" s="388"/>
    </row>
    <row r="2448" spans="1:2" x14ac:dyDescent="0.25">
      <c r="A2448" s="388"/>
      <c r="B2448" s="388"/>
    </row>
    <row r="2449" spans="1:2" x14ac:dyDescent="0.25">
      <c r="A2449" s="388"/>
      <c r="B2449" s="388"/>
    </row>
    <row r="2450" spans="1:2" x14ac:dyDescent="0.25">
      <c r="A2450" s="388"/>
      <c r="B2450" s="388"/>
    </row>
    <row r="2451" spans="1:2" x14ac:dyDescent="0.25">
      <c r="A2451" s="388"/>
      <c r="B2451" s="388"/>
    </row>
    <row r="2452" spans="1:2" x14ac:dyDescent="0.25">
      <c r="A2452" s="388"/>
      <c r="B2452" s="388"/>
    </row>
    <row r="2453" spans="1:2" x14ac:dyDescent="0.25">
      <c r="A2453" s="388"/>
      <c r="B2453" s="388"/>
    </row>
    <row r="2454" spans="1:2" x14ac:dyDescent="0.25">
      <c r="A2454" s="388"/>
      <c r="B2454" s="388"/>
    </row>
    <row r="2455" spans="1:2" x14ac:dyDescent="0.25">
      <c r="A2455" s="388"/>
      <c r="B2455" s="388"/>
    </row>
    <row r="2456" spans="1:2" x14ac:dyDescent="0.25">
      <c r="A2456" s="388"/>
      <c r="B2456" s="388"/>
    </row>
    <row r="2457" spans="1:2" x14ac:dyDescent="0.25">
      <c r="A2457" s="388"/>
      <c r="B2457" s="388"/>
    </row>
    <row r="2458" spans="1:2" x14ac:dyDescent="0.25">
      <c r="A2458" s="388"/>
      <c r="B2458" s="388"/>
    </row>
    <row r="2459" spans="1:2" x14ac:dyDescent="0.25">
      <c r="A2459" s="388"/>
      <c r="B2459" s="388"/>
    </row>
    <row r="2460" spans="1:2" x14ac:dyDescent="0.25">
      <c r="A2460" s="388"/>
      <c r="B2460" s="388"/>
    </row>
    <row r="2461" spans="1:2" x14ac:dyDescent="0.25">
      <c r="A2461" s="388"/>
      <c r="B2461" s="388"/>
    </row>
    <row r="2462" spans="1:2" x14ac:dyDescent="0.25">
      <c r="A2462" s="388"/>
      <c r="B2462" s="388"/>
    </row>
    <row r="2463" spans="1:2" x14ac:dyDescent="0.25">
      <c r="A2463" s="388"/>
      <c r="B2463" s="388"/>
    </row>
    <row r="2464" spans="1:2" x14ac:dyDescent="0.25">
      <c r="A2464" s="388"/>
      <c r="B2464" s="388"/>
    </row>
    <row r="2465" spans="1:2" x14ac:dyDescent="0.25">
      <c r="A2465" s="388"/>
      <c r="B2465" s="388"/>
    </row>
    <row r="2466" spans="1:2" x14ac:dyDescent="0.25">
      <c r="A2466" s="388"/>
      <c r="B2466" s="388"/>
    </row>
    <row r="2467" spans="1:2" x14ac:dyDescent="0.25">
      <c r="A2467" s="388"/>
      <c r="B2467" s="388"/>
    </row>
    <row r="2468" spans="1:2" x14ac:dyDescent="0.25">
      <c r="A2468" s="388"/>
      <c r="B2468" s="388"/>
    </row>
    <row r="2469" spans="1:2" x14ac:dyDescent="0.25">
      <c r="A2469" s="388"/>
      <c r="B2469" s="388"/>
    </row>
    <row r="2470" spans="1:2" x14ac:dyDescent="0.25">
      <c r="A2470" s="388"/>
      <c r="B2470" s="388"/>
    </row>
    <row r="2471" spans="1:2" x14ac:dyDescent="0.25">
      <c r="A2471" s="388"/>
      <c r="B2471" s="388"/>
    </row>
    <row r="2472" spans="1:2" x14ac:dyDescent="0.25">
      <c r="A2472" s="388"/>
      <c r="B2472" s="388"/>
    </row>
    <row r="2473" spans="1:2" x14ac:dyDescent="0.25">
      <c r="A2473" s="388"/>
      <c r="B2473" s="388"/>
    </row>
    <row r="2474" spans="1:2" x14ac:dyDescent="0.25">
      <c r="A2474" s="388"/>
      <c r="B2474" s="388"/>
    </row>
    <row r="2475" spans="1:2" x14ac:dyDescent="0.25">
      <c r="A2475" s="388"/>
      <c r="B2475" s="388"/>
    </row>
    <row r="2476" spans="1:2" x14ac:dyDescent="0.25">
      <c r="A2476" s="388"/>
      <c r="B2476" s="388"/>
    </row>
    <row r="2477" spans="1:2" x14ac:dyDescent="0.25">
      <c r="A2477" s="388"/>
      <c r="B2477" s="388"/>
    </row>
    <row r="2478" spans="1:2" x14ac:dyDescent="0.25">
      <c r="A2478" s="388"/>
      <c r="B2478" s="388"/>
    </row>
    <row r="2479" spans="1:2" x14ac:dyDescent="0.25">
      <c r="A2479" s="388"/>
      <c r="B2479" s="388"/>
    </row>
    <row r="2480" spans="1:2" x14ac:dyDescent="0.25">
      <c r="A2480" s="388"/>
      <c r="B2480" s="388"/>
    </row>
    <row r="2481" spans="1:2" x14ac:dyDescent="0.25">
      <c r="A2481" s="388"/>
      <c r="B2481" s="388"/>
    </row>
    <row r="2482" spans="1:2" x14ac:dyDescent="0.25">
      <c r="A2482" s="388"/>
      <c r="B2482" s="388"/>
    </row>
    <row r="2483" spans="1:2" x14ac:dyDescent="0.25">
      <c r="A2483" s="388"/>
      <c r="B2483" s="388"/>
    </row>
    <row r="2484" spans="1:2" x14ac:dyDescent="0.25">
      <c r="A2484" s="388"/>
      <c r="B2484" s="388"/>
    </row>
    <row r="2485" spans="1:2" x14ac:dyDescent="0.25">
      <c r="A2485" s="388"/>
      <c r="B2485" s="388"/>
    </row>
    <row r="2486" spans="1:2" x14ac:dyDescent="0.25">
      <c r="A2486" s="388"/>
      <c r="B2486" s="388"/>
    </row>
    <row r="2487" spans="1:2" x14ac:dyDescent="0.25">
      <c r="A2487" s="388"/>
      <c r="B2487" s="388"/>
    </row>
    <row r="2488" spans="1:2" x14ac:dyDescent="0.25">
      <c r="A2488" s="388"/>
      <c r="B2488" s="388"/>
    </row>
    <row r="2489" spans="1:2" x14ac:dyDescent="0.25">
      <c r="A2489" s="388"/>
      <c r="B2489" s="388"/>
    </row>
    <row r="2490" spans="1:2" x14ac:dyDescent="0.25">
      <c r="A2490" s="388"/>
      <c r="B2490" s="388"/>
    </row>
    <row r="2491" spans="1:2" x14ac:dyDescent="0.25">
      <c r="A2491" s="388"/>
      <c r="B2491" s="388"/>
    </row>
    <row r="2492" spans="1:2" x14ac:dyDescent="0.25">
      <c r="A2492" s="388"/>
      <c r="B2492" s="388"/>
    </row>
    <row r="2493" spans="1:2" x14ac:dyDescent="0.25">
      <c r="A2493" s="388"/>
      <c r="B2493" s="388"/>
    </row>
    <row r="2494" spans="1:2" x14ac:dyDescent="0.25">
      <c r="A2494" s="388"/>
      <c r="B2494" s="388"/>
    </row>
    <row r="2495" spans="1:2" x14ac:dyDescent="0.25">
      <c r="A2495" s="388"/>
      <c r="B2495" s="388"/>
    </row>
    <row r="2496" spans="1:2" x14ac:dyDescent="0.25">
      <c r="A2496" s="388"/>
      <c r="B2496" s="388"/>
    </row>
    <row r="2497" spans="1:2" x14ac:dyDescent="0.25">
      <c r="A2497" s="388"/>
      <c r="B2497" s="388"/>
    </row>
    <row r="2498" spans="1:2" x14ac:dyDescent="0.25">
      <c r="A2498" s="388"/>
      <c r="B2498" s="388"/>
    </row>
    <row r="2499" spans="1:2" x14ac:dyDescent="0.25">
      <c r="A2499" s="388"/>
      <c r="B2499" s="388"/>
    </row>
    <row r="2500" spans="1:2" x14ac:dyDescent="0.25">
      <c r="A2500" s="388"/>
      <c r="B2500" s="388"/>
    </row>
    <row r="2501" spans="1:2" x14ac:dyDescent="0.25">
      <c r="A2501" s="388"/>
      <c r="B2501" s="388"/>
    </row>
    <row r="2502" spans="1:2" x14ac:dyDescent="0.25">
      <c r="A2502" s="388"/>
      <c r="B2502" s="388"/>
    </row>
    <row r="2503" spans="1:2" x14ac:dyDescent="0.25">
      <c r="A2503" s="388"/>
      <c r="B2503" s="388"/>
    </row>
    <row r="2504" spans="1:2" x14ac:dyDescent="0.25">
      <c r="A2504" s="388"/>
      <c r="B2504" s="388"/>
    </row>
    <row r="2505" spans="1:2" x14ac:dyDescent="0.25">
      <c r="A2505" s="388"/>
      <c r="B2505" s="388"/>
    </row>
    <row r="2506" spans="1:2" x14ac:dyDescent="0.25">
      <c r="A2506" s="388"/>
      <c r="B2506" s="388"/>
    </row>
    <row r="2507" spans="1:2" x14ac:dyDescent="0.25">
      <c r="A2507" s="388"/>
      <c r="B2507" s="388"/>
    </row>
    <row r="2508" spans="1:2" x14ac:dyDescent="0.25">
      <c r="A2508" s="388"/>
      <c r="B2508" s="388"/>
    </row>
    <row r="2509" spans="1:2" x14ac:dyDescent="0.25">
      <c r="A2509" s="388"/>
      <c r="B2509" s="388"/>
    </row>
    <row r="2510" spans="1:2" x14ac:dyDescent="0.25">
      <c r="A2510" s="388"/>
      <c r="B2510" s="388"/>
    </row>
    <row r="2511" spans="1:2" x14ac:dyDescent="0.25">
      <c r="A2511" s="388"/>
      <c r="B2511" s="388"/>
    </row>
    <row r="2512" spans="1:2" x14ac:dyDescent="0.25">
      <c r="A2512" s="388"/>
      <c r="B2512" s="388"/>
    </row>
    <row r="2513" spans="1:2" x14ac:dyDescent="0.25">
      <c r="A2513" s="388"/>
      <c r="B2513" s="388"/>
    </row>
    <row r="2514" spans="1:2" x14ac:dyDescent="0.25">
      <c r="A2514" s="388"/>
      <c r="B2514" s="388"/>
    </row>
    <row r="2515" spans="1:2" x14ac:dyDescent="0.25">
      <c r="A2515" s="388"/>
      <c r="B2515" s="388"/>
    </row>
    <row r="2516" spans="1:2" x14ac:dyDescent="0.25">
      <c r="A2516" s="388"/>
      <c r="B2516" s="388"/>
    </row>
    <row r="2517" spans="1:2" x14ac:dyDescent="0.25">
      <c r="A2517" s="388"/>
      <c r="B2517" s="388"/>
    </row>
    <row r="2518" spans="1:2" x14ac:dyDescent="0.25">
      <c r="A2518" s="388"/>
      <c r="B2518" s="388"/>
    </row>
    <row r="2519" spans="1:2" x14ac:dyDescent="0.25">
      <c r="A2519" s="388"/>
      <c r="B2519" s="388"/>
    </row>
    <row r="2520" spans="1:2" x14ac:dyDescent="0.25">
      <c r="A2520" s="388"/>
      <c r="B2520" s="388"/>
    </row>
    <row r="2521" spans="1:2" x14ac:dyDescent="0.25">
      <c r="A2521" s="388"/>
      <c r="B2521" s="388"/>
    </row>
    <row r="2522" spans="1:2" x14ac:dyDescent="0.25">
      <c r="A2522" s="388"/>
      <c r="B2522" s="388"/>
    </row>
    <row r="2523" spans="1:2" x14ac:dyDescent="0.25">
      <c r="A2523" s="388"/>
      <c r="B2523" s="388"/>
    </row>
    <row r="2524" spans="1:2" x14ac:dyDescent="0.25">
      <c r="A2524" s="388"/>
      <c r="B2524" s="388"/>
    </row>
    <row r="2525" spans="1:2" x14ac:dyDescent="0.25">
      <c r="A2525" s="388"/>
      <c r="B2525" s="388"/>
    </row>
    <row r="2526" spans="1:2" x14ac:dyDescent="0.25">
      <c r="A2526" s="388"/>
      <c r="B2526" s="388"/>
    </row>
    <row r="2527" spans="1:2" x14ac:dyDescent="0.25">
      <c r="A2527" s="388"/>
      <c r="B2527" s="388"/>
    </row>
    <row r="2528" spans="1:2" x14ac:dyDescent="0.25">
      <c r="A2528" s="388"/>
      <c r="B2528" s="388"/>
    </row>
    <row r="2529" spans="1:2" x14ac:dyDescent="0.25">
      <c r="A2529" s="388"/>
      <c r="B2529" s="388"/>
    </row>
    <row r="2530" spans="1:2" x14ac:dyDescent="0.25">
      <c r="A2530" s="388"/>
      <c r="B2530" s="388"/>
    </row>
    <row r="2531" spans="1:2" x14ac:dyDescent="0.25">
      <c r="A2531" s="388"/>
      <c r="B2531" s="388"/>
    </row>
    <row r="2532" spans="1:2" x14ac:dyDescent="0.25">
      <c r="A2532" s="388"/>
      <c r="B2532" s="388"/>
    </row>
    <row r="2533" spans="1:2" x14ac:dyDescent="0.25">
      <c r="A2533" s="388"/>
      <c r="B2533" s="388"/>
    </row>
    <row r="2534" spans="1:2" x14ac:dyDescent="0.25">
      <c r="A2534" s="388"/>
      <c r="B2534" s="388"/>
    </row>
    <row r="2535" spans="1:2" x14ac:dyDescent="0.25">
      <c r="A2535" s="388"/>
      <c r="B2535" s="388"/>
    </row>
    <row r="2536" spans="1:2" x14ac:dyDescent="0.25">
      <c r="A2536" s="388"/>
      <c r="B2536" s="388"/>
    </row>
    <row r="2537" spans="1:2" x14ac:dyDescent="0.25">
      <c r="A2537" s="388"/>
      <c r="B2537" s="388"/>
    </row>
    <row r="2538" spans="1:2" x14ac:dyDescent="0.25">
      <c r="A2538" s="388"/>
      <c r="B2538" s="388"/>
    </row>
    <row r="2539" spans="1:2" x14ac:dyDescent="0.25">
      <c r="A2539" s="388"/>
      <c r="B2539" s="388"/>
    </row>
    <row r="2540" spans="1:2" x14ac:dyDescent="0.25">
      <c r="A2540" s="388"/>
      <c r="B2540" s="388"/>
    </row>
    <row r="2541" spans="1:2" x14ac:dyDescent="0.25">
      <c r="A2541" s="388"/>
      <c r="B2541" s="388"/>
    </row>
    <row r="2542" spans="1:2" x14ac:dyDescent="0.25">
      <c r="A2542" s="388"/>
      <c r="B2542" s="388"/>
    </row>
    <row r="2543" spans="1:2" x14ac:dyDescent="0.25">
      <c r="A2543" s="388"/>
      <c r="B2543" s="388"/>
    </row>
    <row r="2544" spans="1:2" x14ac:dyDescent="0.25">
      <c r="A2544" s="388"/>
      <c r="B2544" s="388"/>
    </row>
    <row r="2545" spans="1:2" x14ac:dyDescent="0.25">
      <c r="A2545" s="388"/>
      <c r="B2545" s="388"/>
    </row>
    <row r="2546" spans="1:2" x14ac:dyDescent="0.25">
      <c r="A2546" s="388"/>
      <c r="B2546" s="388"/>
    </row>
    <row r="2547" spans="1:2" x14ac:dyDescent="0.25">
      <c r="A2547" s="388"/>
      <c r="B2547" s="388"/>
    </row>
    <row r="2548" spans="1:2" x14ac:dyDescent="0.25">
      <c r="A2548" s="388"/>
      <c r="B2548" s="388"/>
    </row>
    <row r="2549" spans="1:2" x14ac:dyDescent="0.25">
      <c r="A2549" s="388"/>
      <c r="B2549" s="388"/>
    </row>
    <row r="2550" spans="1:2" x14ac:dyDescent="0.25">
      <c r="A2550" s="388"/>
      <c r="B2550" s="388"/>
    </row>
    <row r="2551" spans="1:2" x14ac:dyDescent="0.25">
      <c r="A2551" s="388"/>
      <c r="B2551" s="388"/>
    </row>
    <row r="2552" spans="1:2" x14ac:dyDescent="0.25">
      <c r="A2552" s="388"/>
      <c r="B2552" s="388"/>
    </row>
    <row r="2553" spans="1:2" x14ac:dyDescent="0.25">
      <c r="A2553" s="388"/>
      <c r="B2553" s="388"/>
    </row>
    <row r="2554" spans="1:2" x14ac:dyDescent="0.25">
      <c r="A2554" s="388"/>
      <c r="B2554" s="388"/>
    </row>
    <row r="2555" spans="1:2" x14ac:dyDescent="0.25">
      <c r="A2555" s="388"/>
      <c r="B2555" s="388"/>
    </row>
    <row r="2556" spans="1:2" x14ac:dyDescent="0.25">
      <c r="A2556" s="388"/>
      <c r="B2556" s="388"/>
    </row>
    <row r="2557" spans="1:2" x14ac:dyDescent="0.25">
      <c r="A2557" s="388"/>
      <c r="B2557" s="388"/>
    </row>
    <row r="2558" spans="1:2" x14ac:dyDescent="0.25">
      <c r="A2558" s="388"/>
      <c r="B2558" s="388"/>
    </row>
    <row r="2559" spans="1:2" x14ac:dyDescent="0.25">
      <c r="A2559" s="388"/>
      <c r="B2559" s="388"/>
    </row>
    <row r="2560" spans="1:2" x14ac:dyDescent="0.25">
      <c r="A2560" s="388"/>
      <c r="B2560" s="388"/>
    </row>
    <row r="2561" spans="1:2" x14ac:dyDescent="0.25">
      <c r="A2561" s="388"/>
      <c r="B2561" s="388"/>
    </row>
    <row r="2562" spans="1:2" x14ac:dyDescent="0.25">
      <c r="A2562" s="388"/>
      <c r="B2562" s="388"/>
    </row>
    <row r="2563" spans="1:2" x14ac:dyDescent="0.25">
      <c r="A2563" s="388"/>
      <c r="B2563" s="388"/>
    </row>
    <row r="2564" spans="1:2" x14ac:dyDescent="0.25">
      <c r="A2564" s="388"/>
      <c r="B2564" s="388"/>
    </row>
    <row r="2565" spans="1:2" x14ac:dyDescent="0.25">
      <c r="A2565" s="388"/>
      <c r="B2565" s="388"/>
    </row>
    <row r="2566" spans="1:2" x14ac:dyDescent="0.25">
      <c r="A2566" s="388"/>
      <c r="B2566" s="388"/>
    </row>
    <row r="2567" spans="1:2" x14ac:dyDescent="0.25">
      <c r="A2567" s="388"/>
      <c r="B2567" s="388"/>
    </row>
    <row r="2568" spans="1:2" x14ac:dyDescent="0.25">
      <c r="A2568" s="388"/>
      <c r="B2568" s="388"/>
    </row>
    <row r="2569" spans="1:2" x14ac:dyDescent="0.25">
      <c r="A2569" s="388"/>
      <c r="B2569" s="388"/>
    </row>
    <row r="2570" spans="1:2" x14ac:dyDescent="0.25">
      <c r="A2570" s="388"/>
      <c r="B2570" s="388"/>
    </row>
    <row r="2571" spans="1:2" x14ac:dyDescent="0.25">
      <c r="A2571" s="388"/>
      <c r="B2571" s="388"/>
    </row>
    <row r="2572" spans="1:2" x14ac:dyDescent="0.25">
      <c r="A2572" s="388"/>
      <c r="B2572" s="388"/>
    </row>
    <row r="2573" spans="1:2" x14ac:dyDescent="0.25">
      <c r="A2573" s="388"/>
      <c r="B2573" s="388"/>
    </row>
    <row r="2574" spans="1:2" x14ac:dyDescent="0.25">
      <c r="A2574" s="388"/>
      <c r="B2574" s="388"/>
    </row>
    <row r="2575" spans="1:2" x14ac:dyDescent="0.25">
      <c r="A2575" s="388"/>
      <c r="B2575" s="388"/>
    </row>
    <row r="2576" spans="1:2" x14ac:dyDescent="0.25">
      <c r="A2576" s="388"/>
      <c r="B2576" s="388"/>
    </row>
    <row r="2577" spans="1:2" x14ac:dyDescent="0.25">
      <c r="A2577" s="388"/>
      <c r="B2577" s="388"/>
    </row>
    <row r="2578" spans="1:2" x14ac:dyDescent="0.25">
      <c r="A2578" s="388"/>
      <c r="B2578" s="388"/>
    </row>
    <row r="2579" spans="1:2" x14ac:dyDescent="0.25">
      <c r="A2579" s="388"/>
      <c r="B2579" s="388"/>
    </row>
    <row r="2580" spans="1:2" x14ac:dyDescent="0.25">
      <c r="A2580" s="388"/>
      <c r="B2580" s="388"/>
    </row>
    <row r="2581" spans="1:2" x14ac:dyDescent="0.25">
      <c r="A2581" s="388"/>
      <c r="B2581" s="388"/>
    </row>
    <row r="2582" spans="1:2" x14ac:dyDescent="0.25">
      <c r="A2582" s="388"/>
      <c r="B2582" s="388"/>
    </row>
    <row r="2583" spans="1:2" x14ac:dyDescent="0.25">
      <c r="A2583" s="388"/>
      <c r="B2583" s="388"/>
    </row>
    <row r="2584" spans="1:2" x14ac:dyDescent="0.25">
      <c r="A2584" s="388"/>
      <c r="B2584" s="388"/>
    </row>
    <row r="2585" spans="1:2" x14ac:dyDescent="0.25">
      <c r="A2585" s="388"/>
      <c r="B2585" s="388"/>
    </row>
    <row r="2586" spans="1:2" x14ac:dyDescent="0.25">
      <c r="A2586" s="388"/>
      <c r="B2586" s="388"/>
    </row>
    <row r="2587" spans="1:2" x14ac:dyDescent="0.25">
      <c r="A2587" s="388"/>
      <c r="B2587" s="388"/>
    </row>
    <row r="2588" spans="1:2" x14ac:dyDescent="0.25">
      <c r="A2588" s="388"/>
      <c r="B2588" s="388"/>
    </row>
    <row r="2589" spans="1:2" x14ac:dyDescent="0.25">
      <c r="A2589" s="388"/>
      <c r="B2589" s="388"/>
    </row>
    <row r="2590" spans="1:2" x14ac:dyDescent="0.25">
      <c r="A2590" s="388"/>
      <c r="B2590" s="388"/>
    </row>
    <row r="2591" spans="1:2" x14ac:dyDescent="0.25">
      <c r="A2591" s="388"/>
      <c r="B2591" s="388"/>
    </row>
    <row r="2592" spans="1:2" x14ac:dyDescent="0.25">
      <c r="A2592" s="388"/>
      <c r="B2592" s="388"/>
    </row>
    <row r="2593" spans="1:2" x14ac:dyDescent="0.25">
      <c r="A2593" s="388"/>
      <c r="B2593" s="388"/>
    </row>
    <row r="2594" spans="1:2" x14ac:dyDescent="0.25">
      <c r="A2594" s="388"/>
      <c r="B2594" s="388"/>
    </row>
    <row r="2595" spans="1:2" x14ac:dyDescent="0.25">
      <c r="A2595" s="388"/>
      <c r="B2595" s="388"/>
    </row>
    <row r="2596" spans="1:2" x14ac:dyDescent="0.25">
      <c r="A2596" s="388"/>
      <c r="B2596" s="388"/>
    </row>
    <row r="2597" spans="1:2" x14ac:dyDescent="0.25">
      <c r="A2597" s="388"/>
      <c r="B2597" s="388"/>
    </row>
    <row r="2598" spans="1:2" x14ac:dyDescent="0.25">
      <c r="A2598" s="388"/>
      <c r="B2598" s="388"/>
    </row>
    <row r="2599" spans="1:2" x14ac:dyDescent="0.25">
      <c r="A2599" s="388"/>
      <c r="B2599" s="388"/>
    </row>
    <row r="2600" spans="1:2" x14ac:dyDescent="0.25">
      <c r="A2600" s="388"/>
      <c r="B2600" s="388"/>
    </row>
    <row r="2601" spans="1:2" x14ac:dyDescent="0.25">
      <c r="A2601" s="388"/>
      <c r="B2601" s="388"/>
    </row>
    <row r="2602" spans="1:2" x14ac:dyDescent="0.25">
      <c r="A2602" s="388"/>
      <c r="B2602" s="388"/>
    </row>
    <row r="2603" spans="1:2" x14ac:dyDescent="0.25">
      <c r="A2603" s="388"/>
      <c r="B2603" s="388"/>
    </row>
    <row r="2604" spans="1:2" x14ac:dyDescent="0.25">
      <c r="A2604" s="388"/>
      <c r="B2604" s="388"/>
    </row>
    <row r="2605" spans="1:2" x14ac:dyDescent="0.25">
      <c r="A2605" s="388"/>
      <c r="B2605" s="388"/>
    </row>
    <row r="2606" spans="1:2" x14ac:dyDescent="0.25">
      <c r="A2606" s="388"/>
      <c r="B2606" s="388"/>
    </row>
    <row r="2607" spans="1:2" x14ac:dyDescent="0.25">
      <c r="A2607" s="388"/>
      <c r="B2607" s="388"/>
    </row>
    <row r="2608" spans="1:2" x14ac:dyDescent="0.25">
      <c r="A2608" s="388"/>
      <c r="B2608" s="388"/>
    </row>
    <row r="2609" spans="1:2" x14ac:dyDescent="0.25">
      <c r="A2609" s="388"/>
      <c r="B2609" s="388"/>
    </row>
    <row r="2610" spans="1:2" x14ac:dyDescent="0.25">
      <c r="A2610" s="388"/>
      <c r="B2610" s="388"/>
    </row>
    <row r="2611" spans="1:2" x14ac:dyDescent="0.25">
      <c r="A2611" s="388"/>
      <c r="B2611" s="388"/>
    </row>
    <row r="2612" spans="1:2" x14ac:dyDescent="0.25">
      <c r="A2612" s="388"/>
      <c r="B2612" s="388"/>
    </row>
    <row r="2613" spans="1:2" x14ac:dyDescent="0.25">
      <c r="A2613" s="388"/>
      <c r="B2613" s="388"/>
    </row>
    <row r="2614" spans="1:2" x14ac:dyDescent="0.25">
      <c r="A2614" s="388"/>
      <c r="B2614" s="388"/>
    </row>
    <row r="2615" spans="1:2" x14ac:dyDescent="0.25">
      <c r="A2615" s="388"/>
      <c r="B2615" s="388"/>
    </row>
    <row r="2616" spans="1:2" x14ac:dyDescent="0.25">
      <c r="A2616" s="388"/>
      <c r="B2616" s="388"/>
    </row>
    <row r="2617" spans="1:2" x14ac:dyDescent="0.25">
      <c r="A2617" s="388"/>
      <c r="B2617" s="388"/>
    </row>
    <row r="2618" spans="1:2" x14ac:dyDescent="0.25">
      <c r="A2618" s="388"/>
      <c r="B2618" s="388"/>
    </row>
    <row r="2619" spans="1:2" x14ac:dyDescent="0.25">
      <c r="A2619" s="388"/>
      <c r="B2619" s="388"/>
    </row>
    <row r="2620" spans="1:2" x14ac:dyDescent="0.25">
      <c r="A2620" s="388"/>
      <c r="B2620" s="388"/>
    </row>
    <row r="2621" spans="1:2" x14ac:dyDescent="0.25">
      <c r="A2621" s="388"/>
      <c r="B2621" s="388"/>
    </row>
    <row r="2622" spans="1:2" x14ac:dyDescent="0.25">
      <c r="A2622" s="388"/>
      <c r="B2622" s="388"/>
    </row>
    <row r="2623" spans="1:2" x14ac:dyDescent="0.25">
      <c r="A2623" s="388"/>
      <c r="B2623" s="388"/>
    </row>
    <row r="2624" spans="1:2" x14ac:dyDescent="0.25">
      <c r="A2624" s="388"/>
      <c r="B2624" s="388"/>
    </row>
    <row r="2625" spans="1:2" x14ac:dyDescent="0.25">
      <c r="A2625" s="388"/>
      <c r="B2625" s="388"/>
    </row>
    <row r="2626" spans="1:2" x14ac:dyDescent="0.25">
      <c r="A2626" s="388"/>
      <c r="B2626" s="388"/>
    </row>
    <row r="2627" spans="1:2" x14ac:dyDescent="0.25">
      <c r="A2627" s="388"/>
      <c r="B2627" s="388"/>
    </row>
    <row r="2628" spans="1:2" x14ac:dyDescent="0.25">
      <c r="A2628" s="388"/>
      <c r="B2628" s="388"/>
    </row>
    <row r="2629" spans="1:2" x14ac:dyDescent="0.25">
      <c r="A2629" s="388"/>
      <c r="B2629" s="388"/>
    </row>
    <row r="2630" spans="1:2" x14ac:dyDescent="0.25">
      <c r="A2630" s="388"/>
      <c r="B2630" s="388"/>
    </row>
    <row r="2631" spans="1:2" x14ac:dyDescent="0.25">
      <c r="A2631" s="388"/>
      <c r="B2631" s="388"/>
    </row>
    <row r="2632" spans="1:2" x14ac:dyDescent="0.25">
      <c r="A2632" s="388"/>
      <c r="B2632" s="388"/>
    </row>
    <row r="2633" spans="1:2" x14ac:dyDescent="0.25">
      <c r="A2633" s="388"/>
      <c r="B2633" s="388"/>
    </row>
    <row r="2634" spans="1:2" x14ac:dyDescent="0.25">
      <c r="A2634" s="388"/>
      <c r="B2634" s="388"/>
    </row>
    <row r="2635" spans="1:2" x14ac:dyDescent="0.25">
      <c r="A2635" s="388"/>
      <c r="B2635" s="388"/>
    </row>
    <row r="2636" spans="1:2" x14ac:dyDescent="0.25">
      <c r="A2636" s="388"/>
      <c r="B2636" s="388"/>
    </row>
    <row r="2637" spans="1:2" x14ac:dyDescent="0.25">
      <c r="A2637" s="388"/>
      <c r="B2637" s="388"/>
    </row>
    <row r="2638" spans="1:2" x14ac:dyDescent="0.25">
      <c r="A2638" s="388"/>
      <c r="B2638" s="388"/>
    </row>
    <row r="2639" spans="1:2" x14ac:dyDescent="0.25">
      <c r="A2639" s="388"/>
      <c r="B2639" s="388"/>
    </row>
    <row r="2640" spans="1:2" x14ac:dyDescent="0.25">
      <c r="A2640" s="388"/>
      <c r="B2640" s="388"/>
    </row>
    <row r="2641" spans="1:2" x14ac:dyDescent="0.25">
      <c r="A2641" s="388"/>
      <c r="B2641" s="388"/>
    </row>
    <row r="2642" spans="1:2" x14ac:dyDescent="0.25">
      <c r="A2642" s="388"/>
      <c r="B2642" s="388"/>
    </row>
    <row r="2643" spans="1:2" x14ac:dyDescent="0.25">
      <c r="A2643" s="388"/>
      <c r="B2643" s="388"/>
    </row>
    <row r="2644" spans="1:2" x14ac:dyDescent="0.25">
      <c r="A2644" s="388"/>
      <c r="B2644" s="388"/>
    </row>
    <row r="2645" spans="1:2" x14ac:dyDescent="0.25">
      <c r="A2645" s="388"/>
      <c r="B2645" s="388"/>
    </row>
    <row r="2646" spans="1:2" x14ac:dyDescent="0.25">
      <c r="A2646" s="388"/>
      <c r="B2646" s="388"/>
    </row>
    <row r="2647" spans="1:2" x14ac:dyDescent="0.25">
      <c r="A2647" s="388"/>
      <c r="B2647" s="388"/>
    </row>
    <row r="2648" spans="1:2" x14ac:dyDescent="0.25">
      <c r="A2648" s="388"/>
      <c r="B2648" s="388"/>
    </row>
    <row r="2649" spans="1:2" x14ac:dyDescent="0.25">
      <c r="A2649" s="388"/>
      <c r="B2649" s="388"/>
    </row>
    <row r="2650" spans="1:2" x14ac:dyDescent="0.25">
      <c r="A2650" s="388"/>
      <c r="B2650" s="388"/>
    </row>
    <row r="2651" spans="1:2" x14ac:dyDescent="0.25">
      <c r="A2651" s="388"/>
      <c r="B2651" s="388"/>
    </row>
    <row r="2652" spans="1:2" x14ac:dyDescent="0.25">
      <c r="A2652" s="388"/>
      <c r="B2652" s="388"/>
    </row>
    <row r="2653" spans="1:2" x14ac:dyDescent="0.25">
      <c r="A2653" s="388"/>
      <c r="B2653" s="388"/>
    </row>
    <row r="2654" spans="1:2" x14ac:dyDescent="0.25">
      <c r="A2654" s="388"/>
      <c r="B2654" s="388"/>
    </row>
    <row r="2655" spans="1:2" x14ac:dyDescent="0.25">
      <c r="A2655" s="388"/>
      <c r="B2655" s="388"/>
    </row>
    <row r="2656" spans="1:2" x14ac:dyDescent="0.25">
      <c r="A2656" s="388"/>
      <c r="B2656" s="388"/>
    </row>
    <row r="2657" spans="1:2" x14ac:dyDescent="0.25">
      <c r="A2657" s="388"/>
      <c r="B2657" s="388"/>
    </row>
    <row r="2658" spans="1:2" x14ac:dyDescent="0.25">
      <c r="A2658" s="388"/>
      <c r="B2658" s="388"/>
    </row>
    <row r="2659" spans="1:2" x14ac:dyDescent="0.25">
      <c r="A2659" s="388"/>
      <c r="B2659" s="388"/>
    </row>
    <row r="2660" spans="1:2" x14ac:dyDescent="0.25">
      <c r="A2660" s="388"/>
      <c r="B2660" s="388"/>
    </row>
    <row r="2661" spans="1:2" x14ac:dyDescent="0.25">
      <c r="A2661" s="388"/>
      <c r="B2661" s="388"/>
    </row>
    <row r="2662" spans="1:2" x14ac:dyDescent="0.25">
      <c r="A2662" s="388"/>
      <c r="B2662" s="388"/>
    </row>
    <row r="2663" spans="1:2" x14ac:dyDescent="0.25">
      <c r="A2663" s="388"/>
      <c r="B2663" s="388"/>
    </row>
    <row r="2664" spans="1:2" x14ac:dyDescent="0.25">
      <c r="A2664" s="388"/>
      <c r="B2664" s="388"/>
    </row>
    <row r="2665" spans="1:2" x14ac:dyDescent="0.25">
      <c r="A2665" s="388"/>
      <c r="B2665" s="388"/>
    </row>
    <row r="2666" spans="1:2" x14ac:dyDescent="0.25">
      <c r="A2666" s="388"/>
      <c r="B2666" s="388"/>
    </row>
    <row r="2667" spans="1:2" x14ac:dyDescent="0.25">
      <c r="A2667" s="388"/>
      <c r="B2667" s="388"/>
    </row>
    <row r="2668" spans="1:2" x14ac:dyDescent="0.25">
      <c r="A2668" s="388"/>
      <c r="B2668" s="388"/>
    </row>
    <row r="2669" spans="1:2" x14ac:dyDescent="0.25">
      <c r="A2669" s="388"/>
      <c r="B2669" s="388"/>
    </row>
    <row r="2670" spans="1:2" x14ac:dyDescent="0.25">
      <c r="A2670" s="388"/>
      <c r="B2670" s="388"/>
    </row>
    <row r="2671" spans="1:2" x14ac:dyDescent="0.25">
      <c r="A2671" s="388"/>
      <c r="B2671" s="388"/>
    </row>
    <row r="2672" spans="1:2" x14ac:dyDescent="0.25">
      <c r="A2672" s="388"/>
      <c r="B2672" s="388"/>
    </row>
    <row r="2673" spans="1:2" x14ac:dyDescent="0.25">
      <c r="A2673" s="388"/>
      <c r="B2673" s="388"/>
    </row>
    <row r="2674" spans="1:2" x14ac:dyDescent="0.25">
      <c r="A2674" s="388"/>
      <c r="B2674" s="388"/>
    </row>
    <row r="2675" spans="1:2" x14ac:dyDescent="0.25">
      <c r="A2675" s="388"/>
      <c r="B2675" s="388"/>
    </row>
    <row r="2676" spans="1:2" x14ac:dyDescent="0.25">
      <c r="A2676" s="388"/>
      <c r="B2676" s="388"/>
    </row>
    <row r="2677" spans="1:2" x14ac:dyDescent="0.25">
      <c r="A2677" s="388"/>
      <c r="B2677" s="388"/>
    </row>
    <row r="2678" spans="1:2" x14ac:dyDescent="0.25">
      <c r="A2678" s="388"/>
      <c r="B2678" s="388"/>
    </row>
    <row r="2679" spans="1:2" x14ac:dyDescent="0.25">
      <c r="A2679" s="388"/>
      <c r="B2679" s="388"/>
    </row>
    <row r="2680" spans="1:2" x14ac:dyDescent="0.25">
      <c r="A2680" s="388"/>
      <c r="B2680" s="388"/>
    </row>
    <row r="2681" spans="1:2" x14ac:dyDescent="0.25">
      <c r="A2681" s="388"/>
      <c r="B2681" s="388"/>
    </row>
    <row r="2682" spans="1:2" x14ac:dyDescent="0.25">
      <c r="A2682" s="388"/>
      <c r="B2682" s="388"/>
    </row>
    <row r="2683" spans="1:2" x14ac:dyDescent="0.25">
      <c r="A2683" s="388"/>
      <c r="B2683" s="388"/>
    </row>
    <row r="2684" spans="1:2" x14ac:dyDescent="0.25">
      <c r="A2684" s="388"/>
      <c r="B2684" s="388"/>
    </row>
    <row r="2685" spans="1:2" x14ac:dyDescent="0.25">
      <c r="A2685" s="388"/>
      <c r="B2685" s="388"/>
    </row>
    <row r="2686" spans="1:2" x14ac:dyDescent="0.25">
      <c r="A2686" s="388"/>
      <c r="B2686" s="388"/>
    </row>
    <row r="2687" spans="1:2" x14ac:dyDescent="0.25">
      <c r="A2687" s="388"/>
      <c r="B2687" s="388"/>
    </row>
    <row r="2688" spans="1:2" x14ac:dyDescent="0.25">
      <c r="A2688" s="388"/>
      <c r="B2688" s="388"/>
    </row>
    <row r="2689" spans="1:2" x14ac:dyDescent="0.25">
      <c r="A2689" s="388"/>
      <c r="B2689" s="388"/>
    </row>
    <row r="2690" spans="1:2" x14ac:dyDescent="0.25">
      <c r="A2690" s="388"/>
      <c r="B2690" s="388"/>
    </row>
    <row r="2691" spans="1:2" x14ac:dyDescent="0.25">
      <c r="A2691" s="388"/>
      <c r="B2691" s="388"/>
    </row>
    <row r="2692" spans="1:2" x14ac:dyDescent="0.25">
      <c r="A2692" s="388"/>
      <c r="B2692" s="388"/>
    </row>
    <row r="2693" spans="1:2" x14ac:dyDescent="0.25">
      <c r="A2693" s="388"/>
      <c r="B2693" s="388"/>
    </row>
    <row r="2694" spans="1:2" x14ac:dyDescent="0.25">
      <c r="A2694" s="388"/>
      <c r="B2694" s="388"/>
    </row>
    <row r="2695" spans="1:2" x14ac:dyDescent="0.25">
      <c r="A2695" s="388"/>
      <c r="B2695" s="388"/>
    </row>
    <row r="2696" spans="1:2" x14ac:dyDescent="0.25">
      <c r="A2696" s="388"/>
      <c r="B2696" s="388"/>
    </row>
    <row r="2697" spans="1:2" x14ac:dyDescent="0.25">
      <c r="A2697" s="388"/>
      <c r="B2697" s="388"/>
    </row>
    <row r="2698" spans="1:2" x14ac:dyDescent="0.25">
      <c r="A2698" s="388"/>
      <c r="B2698" s="388"/>
    </row>
    <row r="2699" spans="1:2" x14ac:dyDescent="0.25">
      <c r="A2699" s="388"/>
      <c r="B2699" s="388"/>
    </row>
    <row r="2700" spans="1:2" x14ac:dyDescent="0.25">
      <c r="A2700" s="388"/>
      <c r="B2700" s="388"/>
    </row>
    <row r="2701" spans="1:2" x14ac:dyDescent="0.25">
      <c r="A2701" s="388"/>
      <c r="B2701" s="388"/>
    </row>
    <row r="2702" spans="1:2" x14ac:dyDescent="0.25">
      <c r="A2702" s="388"/>
      <c r="B2702" s="388"/>
    </row>
    <row r="2703" spans="1:2" x14ac:dyDescent="0.25">
      <c r="A2703" s="388"/>
      <c r="B2703" s="388"/>
    </row>
    <row r="2704" spans="1:2" x14ac:dyDescent="0.25">
      <c r="A2704" s="388"/>
      <c r="B2704" s="388"/>
    </row>
    <row r="2705" spans="1:2" x14ac:dyDescent="0.25">
      <c r="A2705" s="388"/>
      <c r="B2705" s="388"/>
    </row>
    <row r="2706" spans="1:2" x14ac:dyDescent="0.25">
      <c r="A2706" s="388"/>
      <c r="B2706" s="388"/>
    </row>
    <row r="2707" spans="1:2" x14ac:dyDescent="0.25">
      <c r="A2707" s="388"/>
      <c r="B2707" s="388"/>
    </row>
    <row r="2708" spans="1:2" x14ac:dyDescent="0.25">
      <c r="A2708" s="388"/>
      <c r="B2708" s="388"/>
    </row>
    <row r="2709" spans="1:2" x14ac:dyDescent="0.25">
      <c r="A2709" s="388"/>
      <c r="B2709" s="388"/>
    </row>
    <row r="2710" spans="1:2" x14ac:dyDescent="0.25">
      <c r="A2710" s="388"/>
      <c r="B2710" s="388"/>
    </row>
    <row r="2711" spans="1:2" x14ac:dyDescent="0.25">
      <c r="A2711" s="388"/>
      <c r="B2711" s="388"/>
    </row>
    <row r="2712" spans="1:2" x14ac:dyDescent="0.25">
      <c r="A2712" s="388"/>
      <c r="B2712" s="388"/>
    </row>
    <row r="2713" spans="1:2" x14ac:dyDescent="0.25">
      <c r="A2713" s="388"/>
      <c r="B2713" s="388"/>
    </row>
    <row r="2714" spans="1:2" x14ac:dyDescent="0.25">
      <c r="A2714" s="388"/>
      <c r="B2714" s="388"/>
    </row>
    <row r="2715" spans="1:2" x14ac:dyDescent="0.25">
      <c r="A2715" s="388"/>
      <c r="B2715" s="388"/>
    </row>
    <row r="2716" spans="1:2" x14ac:dyDescent="0.25">
      <c r="A2716" s="388"/>
      <c r="B2716" s="388"/>
    </row>
    <row r="2717" spans="1:2" x14ac:dyDescent="0.25">
      <c r="A2717" s="388"/>
      <c r="B2717" s="388"/>
    </row>
    <row r="2718" spans="1:2" x14ac:dyDescent="0.25">
      <c r="A2718" s="388"/>
      <c r="B2718" s="388"/>
    </row>
    <row r="2719" spans="1:2" x14ac:dyDescent="0.25">
      <c r="A2719" s="388"/>
      <c r="B2719" s="388"/>
    </row>
    <row r="2720" spans="1:2" x14ac:dyDescent="0.25">
      <c r="A2720" s="388"/>
      <c r="B2720" s="388"/>
    </row>
    <row r="2721" spans="1:2" x14ac:dyDescent="0.25">
      <c r="A2721" s="388"/>
      <c r="B2721" s="388"/>
    </row>
    <row r="2722" spans="1:2" x14ac:dyDescent="0.25">
      <c r="A2722" s="388"/>
      <c r="B2722" s="388"/>
    </row>
    <row r="2723" spans="1:2" x14ac:dyDescent="0.25">
      <c r="A2723" s="388"/>
      <c r="B2723" s="388"/>
    </row>
    <row r="2724" spans="1:2" x14ac:dyDescent="0.25">
      <c r="A2724" s="388"/>
      <c r="B2724" s="388"/>
    </row>
    <row r="2725" spans="1:2" x14ac:dyDescent="0.25">
      <c r="A2725" s="388"/>
      <c r="B2725" s="388"/>
    </row>
    <row r="2726" spans="1:2" x14ac:dyDescent="0.25">
      <c r="A2726" s="388"/>
      <c r="B2726" s="388"/>
    </row>
    <row r="2727" spans="1:2" x14ac:dyDescent="0.25">
      <c r="A2727" s="388"/>
      <c r="B2727" s="388"/>
    </row>
    <row r="2728" spans="1:2" x14ac:dyDescent="0.25">
      <c r="A2728" s="388"/>
      <c r="B2728" s="388"/>
    </row>
    <row r="2729" spans="1:2" x14ac:dyDescent="0.25">
      <c r="A2729" s="388"/>
      <c r="B2729" s="388"/>
    </row>
    <row r="2730" spans="1:2" x14ac:dyDescent="0.25">
      <c r="A2730" s="388"/>
      <c r="B2730" s="388"/>
    </row>
    <row r="2731" spans="1:2" x14ac:dyDescent="0.25">
      <c r="A2731" s="388"/>
      <c r="B2731" s="388"/>
    </row>
    <row r="2732" spans="1:2" x14ac:dyDescent="0.25">
      <c r="A2732" s="388"/>
      <c r="B2732" s="388"/>
    </row>
    <row r="2733" spans="1:2" x14ac:dyDescent="0.25">
      <c r="A2733" s="388"/>
      <c r="B2733" s="388"/>
    </row>
    <row r="2734" spans="1:2" x14ac:dyDescent="0.25">
      <c r="A2734" s="388"/>
      <c r="B2734" s="388"/>
    </row>
    <row r="2735" spans="1:2" x14ac:dyDescent="0.25">
      <c r="A2735" s="388"/>
      <c r="B2735" s="388"/>
    </row>
    <row r="2736" spans="1:2" x14ac:dyDescent="0.25">
      <c r="A2736" s="388"/>
      <c r="B2736" s="388"/>
    </row>
    <row r="2737" spans="1:2" x14ac:dyDescent="0.25">
      <c r="A2737" s="388"/>
      <c r="B2737" s="388"/>
    </row>
    <row r="2738" spans="1:2" x14ac:dyDescent="0.25">
      <c r="A2738" s="388"/>
      <c r="B2738" s="388"/>
    </row>
    <row r="2739" spans="1:2" x14ac:dyDescent="0.25">
      <c r="A2739" s="388"/>
      <c r="B2739" s="388"/>
    </row>
    <row r="2740" spans="1:2" x14ac:dyDescent="0.25">
      <c r="A2740" s="388"/>
      <c r="B2740" s="388"/>
    </row>
    <row r="2741" spans="1:2" x14ac:dyDescent="0.25">
      <c r="A2741" s="388"/>
      <c r="B2741" s="388"/>
    </row>
    <row r="2742" spans="1:2" x14ac:dyDescent="0.25">
      <c r="A2742" s="388"/>
      <c r="B2742" s="388"/>
    </row>
    <row r="2743" spans="1:2" x14ac:dyDescent="0.25">
      <c r="A2743" s="388"/>
      <c r="B2743" s="388"/>
    </row>
    <row r="2744" spans="1:2" x14ac:dyDescent="0.25">
      <c r="A2744" s="388"/>
      <c r="B2744" s="388"/>
    </row>
    <row r="2745" spans="1:2" x14ac:dyDescent="0.25">
      <c r="A2745" s="388"/>
      <c r="B2745" s="388"/>
    </row>
    <row r="2746" spans="1:2" x14ac:dyDescent="0.25">
      <c r="A2746" s="388"/>
      <c r="B2746" s="388"/>
    </row>
    <row r="2747" spans="1:2" x14ac:dyDescent="0.25">
      <c r="A2747" s="388"/>
      <c r="B2747" s="388"/>
    </row>
    <row r="2748" spans="1:2" x14ac:dyDescent="0.25">
      <c r="A2748" s="388"/>
      <c r="B2748" s="388"/>
    </row>
    <row r="2749" spans="1:2" x14ac:dyDescent="0.25">
      <c r="A2749" s="388"/>
      <c r="B2749" s="388"/>
    </row>
    <row r="2750" spans="1:2" x14ac:dyDescent="0.25">
      <c r="A2750" s="388"/>
      <c r="B2750" s="388"/>
    </row>
    <row r="2751" spans="1:2" x14ac:dyDescent="0.25">
      <c r="A2751" s="388"/>
      <c r="B2751" s="388"/>
    </row>
    <row r="2752" spans="1:2" x14ac:dyDescent="0.25">
      <c r="A2752" s="388"/>
      <c r="B2752" s="388"/>
    </row>
    <row r="2753" spans="1:2" x14ac:dyDescent="0.25">
      <c r="A2753" s="388"/>
      <c r="B2753" s="388"/>
    </row>
    <row r="2754" spans="1:2" x14ac:dyDescent="0.25">
      <c r="A2754" s="388"/>
      <c r="B2754" s="388"/>
    </row>
    <row r="2755" spans="1:2" x14ac:dyDescent="0.25">
      <c r="A2755" s="388"/>
      <c r="B2755" s="388"/>
    </row>
    <row r="2756" spans="1:2" x14ac:dyDescent="0.25">
      <c r="A2756" s="388"/>
      <c r="B2756" s="388"/>
    </row>
    <row r="2757" spans="1:2" x14ac:dyDescent="0.25">
      <c r="A2757" s="388"/>
      <c r="B2757" s="388"/>
    </row>
    <row r="2758" spans="1:2" x14ac:dyDescent="0.25">
      <c r="A2758" s="388"/>
      <c r="B2758" s="388"/>
    </row>
    <row r="2759" spans="1:2" x14ac:dyDescent="0.25">
      <c r="A2759" s="388"/>
      <c r="B2759" s="388"/>
    </row>
    <row r="2760" spans="1:2" x14ac:dyDescent="0.25">
      <c r="A2760" s="388"/>
      <c r="B2760" s="388"/>
    </row>
    <row r="2761" spans="1:2" x14ac:dyDescent="0.25">
      <c r="A2761" s="388"/>
      <c r="B2761" s="388"/>
    </row>
    <row r="2762" spans="1:2" x14ac:dyDescent="0.25">
      <c r="A2762" s="388"/>
      <c r="B2762" s="388"/>
    </row>
    <row r="2763" spans="1:2" x14ac:dyDescent="0.25">
      <c r="A2763" s="388"/>
      <c r="B2763" s="388"/>
    </row>
    <row r="2764" spans="1:2" x14ac:dyDescent="0.25">
      <c r="A2764" s="388"/>
      <c r="B2764" s="388"/>
    </row>
    <row r="2765" spans="1:2" x14ac:dyDescent="0.25">
      <c r="A2765" s="388"/>
      <c r="B2765" s="388"/>
    </row>
    <row r="2766" spans="1:2" x14ac:dyDescent="0.25">
      <c r="A2766" s="388"/>
      <c r="B2766" s="388"/>
    </row>
    <row r="2767" spans="1:2" x14ac:dyDescent="0.25">
      <c r="A2767" s="388"/>
      <c r="B2767" s="388"/>
    </row>
    <row r="2768" spans="1:2" x14ac:dyDescent="0.25">
      <c r="A2768" s="388"/>
      <c r="B2768" s="388"/>
    </row>
    <row r="2769" spans="1:2" x14ac:dyDescent="0.25">
      <c r="A2769" s="388"/>
      <c r="B2769" s="388"/>
    </row>
    <row r="2770" spans="1:2" x14ac:dyDescent="0.25">
      <c r="A2770" s="388"/>
      <c r="B2770" s="388"/>
    </row>
    <row r="2771" spans="1:2" x14ac:dyDescent="0.25">
      <c r="A2771" s="388"/>
      <c r="B2771" s="388"/>
    </row>
    <row r="2772" spans="1:2" x14ac:dyDescent="0.25">
      <c r="A2772" s="388"/>
      <c r="B2772" s="388"/>
    </row>
    <row r="2773" spans="1:2" x14ac:dyDescent="0.25">
      <c r="A2773" s="388"/>
      <c r="B2773" s="388"/>
    </row>
    <row r="2774" spans="1:2" x14ac:dyDescent="0.25">
      <c r="A2774" s="388"/>
      <c r="B2774" s="388"/>
    </row>
    <row r="2775" spans="1:2" x14ac:dyDescent="0.25">
      <c r="A2775" s="388"/>
      <c r="B2775" s="388"/>
    </row>
    <row r="2776" spans="1:2" x14ac:dyDescent="0.25">
      <c r="A2776" s="388"/>
      <c r="B2776" s="388"/>
    </row>
    <row r="2777" spans="1:2" x14ac:dyDescent="0.25">
      <c r="A2777" s="388"/>
      <c r="B2777" s="388"/>
    </row>
    <row r="2778" spans="1:2" x14ac:dyDescent="0.25">
      <c r="A2778" s="388"/>
      <c r="B2778" s="388"/>
    </row>
    <row r="2779" spans="1:2" x14ac:dyDescent="0.25">
      <c r="A2779" s="388"/>
      <c r="B2779" s="388"/>
    </row>
    <row r="2780" spans="1:2" x14ac:dyDescent="0.25">
      <c r="A2780" s="388"/>
      <c r="B2780" s="388"/>
    </row>
    <row r="2781" spans="1:2" x14ac:dyDescent="0.25">
      <c r="A2781" s="388"/>
      <c r="B2781" s="388"/>
    </row>
    <row r="2782" spans="1:2" x14ac:dyDescent="0.25">
      <c r="A2782" s="388"/>
      <c r="B2782" s="388"/>
    </row>
    <row r="2783" spans="1:2" x14ac:dyDescent="0.25">
      <c r="A2783" s="388"/>
      <c r="B2783" s="388"/>
    </row>
    <row r="2784" spans="1:2" x14ac:dyDescent="0.25">
      <c r="A2784" s="388"/>
      <c r="B2784" s="388"/>
    </row>
    <row r="2785" spans="1:2" x14ac:dyDescent="0.25">
      <c r="A2785" s="388"/>
      <c r="B2785" s="388"/>
    </row>
    <row r="2786" spans="1:2" x14ac:dyDescent="0.25">
      <c r="A2786" s="388"/>
      <c r="B2786" s="388"/>
    </row>
    <row r="2787" spans="1:2" x14ac:dyDescent="0.25">
      <c r="A2787" s="388"/>
      <c r="B2787" s="388"/>
    </row>
    <row r="2788" spans="1:2" x14ac:dyDescent="0.25">
      <c r="A2788" s="388"/>
      <c r="B2788" s="388"/>
    </row>
    <row r="2789" spans="1:2" x14ac:dyDescent="0.25">
      <c r="A2789" s="388"/>
      <c r="B2789" s="388"/>
    </row>
    <row r="2790" spans="1:2" x14ac:dyDescent="0.25">
      <c r="A2790" s="388"/>
      <c r="B2790" s="388"/>
    </row>
    <row r="2791" spans="1:2" x14ac:dyDescent="0.25">
      <c r="A2791" s="388"/>
      <c r="B2791" s="388"/>
    </row>
    <row r="2792" spans="1:2" x14ac:dyDescent="0.25">
      <c r="A2792" s="388"/>
      <c r="B2792" s="388"/>
    </row>
    <row r="2793" spans="1:2" x14ac:dyDescent="0.25">
      <c r="A2793" s="388"/>
      <c r="B2793" s="388"/>
    </row>
    <row r="2794" spans="1:2" x14ac:dyDescent="0.25">
      <c r="A2794" s="388"/>
      <c r="B2794" s="388"/>
    </row>
    <row r="2795" spans="1:2" x14ac:dyDescent="0.25">
      <c r="A2795" s="388"/>
      <c r="B2795" s="388"/>
    </row>
    <row r="2796" spans="1:2" x14ac:dyDescent="0.25">
      <c r="A2796" s="388"/>
      <c r="B2796" s="388"/>
    </row>
    <row r="2797" spans="1:2" x14ac:dyDescent="0.25">
      <c r="A2797" s="388"/>
      <c r="B2797" s="388"/>
    </row>
    <row r="2798" spans="1:2" x14ac:dyDescent="0.25">
      <c r="A2798" s="388"/>
      <c r="B2798" s="388"/>
    </row>
    <row r="2799" spans="1:2" x14ac:dyDescent="0.25">
      <c r="A2799" s="388"/>
      <c r="B2799" s="388"/>
    </row>
    <row r="2800" spans="1:2" x14ac:dyDescent="0.25">
      <c r="A2800" s="388"/>
      <c r="B2800" s="388"/>
    </row>
    <row r="2801" spans="1:2" x14ac:dyDescent="0.25">
      <c r="A2801" s="388"/>
      <c r="B2801" s="388"/>
    </row>
    <row r="2802" spans="1:2" x14ac:dyDescent="0.25">
      <c r="A2802" s="388"/>
      <c r="B2802" s="388"/>
    </row>
    <row r="2803" spans="1:2" x14ac:dyDescent="0.25">
      <c r="A2803" s="388"/>
      <c r="B2803" s="388"/>
    </row>
    <row r="2804" spans="1:2" x14ac:dyDescent="0.25">
      <c r="A2804" s="388"/>
      <c r="B2804" s="388"/>
    </row>
    <row r="2805" spans="1:2" x14ac:dyDescent="0.25">
      <c r="A2805" s="388"/>
      <c r="B2805" s="388"/>
    </row>
    <row r="2806" spans="1:2" x14ac:dyDescent="0.25">
      <c r="A2806" s="388"/>
      <c r="B2806" s="388"/>
    </row>
    <row r="2807" spans="1:2" x14ac:dyDescent="0.25">
      <c r="A2807" s="388"/>
      <c r="B2807" s="388"/>
    </row>
    <row r="2808" spans="1:2" x14ac:dyDescent="0.25">
      <c r="A2808" s="388"/>
      <c r="B2808" s="388"/>
    </row>
    <row r="2809" spans="1:2" x14ac:dyDescent="0.25">
      <c r="A2809" s="388"/>
      <c r="B2809" s="388"/>
    </row>
    <row r="2810" spans="1:2" x14ac:dyDescent="0.25">
      <c r="A2810" s="388"/>
      <c r="B2810" s="388"/>
    </row>
    <row r="2811" spans="1:2" x14ac:dyDescent="0.25">
      <c r="A2811" s="388"/>
      <c r="B2811" s="388"/>
    </row>
    <row r="2812" spans="1:2" x14ac:dyDescent="0.25">
      <c r="A2812" s="388"/>
      <c r="B2812" s="388"/>
    </row>
    <row r="2813" spans="1:2" x14ac:dyDescent="0.25">
      <c r="A2813" s="388"/>
      <c r="B2813" s="388"/>
    </row>
    <row r="2814" spans="1:2" x14ac:dyDescent="0.25">
      <c r="A2814" s="388"/>
      <c r="B2814" s="388"/>
    </row>
    <row r="2815" spans="1:2" x14ac:dyDescent="0.25">
      <c r="A2815" s="388"/>
      <c r="B2815" s="388"/>
    </row>
    <row r="2816" spans="1:2" x14ac:dyDescent="0.25">
      <c r="A2816" s="388"/>
      <c r="B2816" s="388"/>
    </row>
    <row r="2817" spans="1:2" x14ac:dyDescent="0.25">
      <c r="A2817" s="388"/>
      <c r="B2817" s="388"/>
    </row>
    <row r="2818" spans="1:2" x14ac:dyDescent="0.25">
      <c r="A2818" s="388"/>
      <c r="B2818" s="388"/>
    </row>
    <row r="2819" spans="1:2" x14ac:dyDescent="0.25">
      <c r="A2819" s="388"/>
      <c r="B2819" s="388"/>
    </row>
    <row r="2820" spans="1:2" x14ac:dyDescent="0.25">
      <c r="A2820" s="388"/>
      <c r="B2820" s="388"/>
    </row>
    <row r="2821" spans="1:2" x14ac:dyDescent="0.25">
      <c r="A2821" s="388"/>
      <c r="B2821" s="388"/>
    </row>
    <row r="2822" spans="1:2" x14ac:dyDescent="0.25">
      <c r="A2822" s="388"/>
      <c r="B2822" s="388"/>
    </row>
    <row r="2823" spans="1:2" x14ac:dyDescent="0.25">
      <c r="A2823" s="388"/>
      <c r="B2823" s="388"/>
    </row>
    <row r="2824" spans="1:2" x14ac:dyDescent="0.25">
      <c r="A2824" s="388"/>
      <c r="B2824" s="388"/>
    </row>
    <row r="2825" spans="1:2" x14ac:dyDescent="0.25">
      <c r="A2825" s="388"/>
      <c r="B2825" s="388"/>
    </row>
    <row r="2826" spans="1:2" x14ac:dyDescent="0.25">
      <c r="A2826" s="388"/>
      <c r="B2826" s="388"/>
    </row>
    <row r="2827" spans="1:2" x14ac:dyDescent="0.25">
      <c r="A2827" s="388"/>
      <c r="B2827" s="388"/>
    </row>
    <row r="2828" spans="1:2" x14ac:dyDescent="0.25">
      <c r="A2828" s="388"/>
      <c r="B2828" s="388"/>
    </row>
    <row r="2829" spans="1:2" x14ac:dyDescent="0.25">
      <c r="A2829" s="388"/>
      <c r="B2829" s="388"/>
    </row>
    <row r="2830" spans="1:2" x14ac:dyDescent="0.25">
      <c r="A2830" s="388"/>
      <c r="B2830" s="388"/>
    </row>
    <row r="2831" spans="1:2" x14ac:dyDescent="0.25">
      <c r="A2831" s="388"/>
      <c r="B2831" s="388"/>
    </row>
    <row r="2832" spans="1:2" x14ac:dyDescent="0.25">
      <c r="A2832" s="388"/>
      <c r="B2832" s="388"/>
    </row>
    <row r="2833" spans="1:2" x14ac:dyDescent="0.25">
      <c r="A2833" s="388"/>
      <c r="B2833" s="388"/>
    </row>
    <row r="2834" spans="1:2" x14ac:dyDescent="0.25">
      <c r="A2834" s="388"/>
      <c r="B2834" s="388"/>
    </row>
    <row r="2835" spans="1:2" x14ac:dyDescent="0.25">
      <c r="A2835" s="388"/>
      <c r="B2835" s="388"/>
    </row>
    <row r="2836" spans="1:2" x14ac:dyDescent="0.25">
      <c r="A2836" s="388"/>
      <c r="B2836" s="388"/>
    </row>
    <row r="2837" spans="1:2" x14ac:dyDescent="0.25">
      <c r="A2837" s="388"/>
      <c r="B2837" s="388"/>
    </row>
    <row r="2838" spans="1:2" x14ac:dyDescent="0.25">
      <c r="A2838" s="388"/>
      <c r="B2838" s="388"/>
    </row>
    <row r="2839" spans="1:2" x14ac:dyDescent="0.25">
      <c r="A2839" s="388"/>
      <c r="B2839" s="388"/>
    </row>
    <row r="2840" spans="1:2" x14ac:dyDescent="0.25">
      <c r="A2840" s="388"/>
      <c r="B2840" s="388"/>
    </row>
    <row r="2841" spans="1:2" x14ac:dyDescent="0.25">
      <c r="A2841" s="388"/>
      <c r="B2841" s="388"/>
    </row>
    <row r="2842" spans="1:2" x14ac:dyDescent="0.25">
      <c r="A2842" s="388"/>
      <c r="B2842" s="388"/>
    </row>
    <row r="2843" spans="1:2" x14ac:dyDescent="0.25">
      <c r="A2843" s="388"/>
      <c r="B2843" s="388"/>
    </row>
    <row r="2844" spans="1:2" x14ac:dyDescent="0.25">
      <c r="A2844" s="388"/>
      <c r="B2844" s="388"/>
    </row>
    <row r="2845" spans="1:2" x14ac:dyDescent="0.25">
      <c r="A2845" s="388"/>
      <c r="B2845" s="388"/>
    </row>
    <row r="2846" spans="1:2" x14ac:dyDescent="0.25">
      <c r="A2846" s="388"/>
      <c r="B2846" s="388"/>
    </row>
    <row r="2847" spans="1:2" x14ac:dyDescent="0.25">
      <c r="A2847" s="388"/>
      <c r="B2847" s="388"/>
    </row>
    <row r="2848" spans="1:2" x14ac:dyDescent="0.25">
      <c r="A2848" s="388"/>
      <c r="B2848" s="388"/>
    </row>
    <row r="2849" spans="1:2" x14ac:dyDescent="0.25">
      <c r="A2849" s="388"/>
      <c r="B2849" s="388"/>
    </row>
    <row r="2850" spans="1:2" x14ac:dyDescent="0.25">
      <c r="A2850" s="388"/>
      <c r="B2850" s="388"/>
    </row>
    <row r="2851" spans="1:2" x14ac:dyDescent="0.25">
      <c r="A2851" s="388"/>
      <c r="B2851" s="388"/>
    </row>
    <row r="2852" spans="1:2" x14ac:dyDescent="0.25">
      <c r="A2852" s="388"/>
      <c r="B2852" s="388"/>
    </row>
    <row r="2853" spans="1:2" x14ac:dyDescent="0.25">
      <c r="A2853" s="388"/>
      <c r="B2853" s="388"/>
    </row>
    <row r="2854" spans="1:2" x14ac:dyDescent="0.25">
      <c r="A2854" s="388"/>
      <c r="B2854" s="388"/>
    </row>
    <row r="2855" spans="1:2" x14ac:dyDescent="0.25">
      <c r="A2855" s="388"/>
      <c r="B2855" s="388"/>
    </row>
    <row r="2856" spans="1:2" x14ac:dyDescent="0.25">
      <c r="A2856" s="388"/>
      <c r="B2856" s="388"/>
    </row>
    <row r="2857" spans="1:2" x14ac:dyDescent="0.25">
      <c r="A2857" s="388"/>
      <c r="B2857" s="388"/>
    </row>
    <row r="2858" spans="1:2" x14ac:dyDescent="0.25">
      <c r="A2858" s="388"/>
      <c r="B2858" s="388"/>
    </row>
    <row r="2859" spans="1:2" x14ac:dyDescent="0.25">
      <c r="A2859" s="388"/>
      <c r="B2859" s="388"/>
    </row>
    <row r="2860" spans="1:2" x14ac:dyDescent="0.25">
      <c r="A2860" s="388"/>
      <c r="B2860" s="388"/>
    </row>
    <row r="2861" spans="1:2" x14ac:dyDescent="0.25">
      <c r="A2861" s="388"/>
      <c r="B2861" s="388"/>
    </row>
    <row r="2862" spans="1:2" x14ac:dyDescent="0.25">
      <c r="A2862" s="388"/>
      <c r="B2862" s="388"/>
    </row>
    <row r="2863" spans="1:2" x14ac:dyDescent="0.25">
      <c r="A2863" s="388"/>
      <c r="B2863" s="388"/>
    </row>
    <row r="2864" spans="1:2" x14ac:dyDescent="0.25">
      <c r="A2864" s="388"/>
      <c r="B2864" s="388"/>
    </row>
    <row r="2865" spans="1:2" x14ac:dyDescent="0.25">
      <c r="A2865" s="388"/>
      <c r="B2865" s="388"/>
    </row>
    <row r="2866" spans="1:2" x14ac:dyDescent="0.25">
      <c r="A2866" s="388"/>
      <c r="B2866" s="388"/>
    </row>
    <row r="2867" spans="1:2" x14ac:dyDescent="0.25">
      <c r="A2867" s="388"/>
      <c r="B2867" s="388"/>
    </row>
    <row r="2868" spans="1:2" x14ac:dyDescent="0.25">
      <c r="A2868" s="388"/>
      <c r="B2868" s="388"/>
    </row>
    <row r="2869" spans="1:2" x14ac:dyDescent="0.25">
      <c r="A2869" s="388"/>
      <c r="B2869" s="388"/>
    </row>
    <row r="2870" spans="1:2" x14ac:dyDescent="0.25">
      <c r="A2870" s="388"/>
      <c r="B2870" s="388"/>
    </row>
    <row r="2871" spans="1:2" x14ac:dyDescent="0.25">
      <c r="A2871" s="388"/>
      <c r="B2871" s="388"/>
    </row>
    <row r="2872" spans="1:2" x14ac:dyDescent="0.25">
      <c r="A2872" s="388"/>
      <c r="B2872" s="388"/>
    </row>
    <row r="2873" spans="1:2" x14ac:dyDescent="0.25">
      <c r="A2873" s="388"/>
      <c r="B2873" s="388"/>
    </row>
    <row r="2874" spans="1:2" x14ac:dyDescent="0.25">
      <c r="A2874" s="388"/>
      <c r="B2874" s="388"/>
    </row>
    <row r="2875" spans="1:2" x14ac:dyDescent="0.25">
      <c r="A2875" s="388"/>
      <c r="B2875" s="388"/>
    </row>
    <row r="2876" spans="1:2" x14ac:dyDescent="0.25">
      <c r="A2876" s="388"/>
      <c r="B2876" s="388"/>
    </row>
    <row r="2877" spans="1:2" x14ac:dyDescent="0.25">
      <c r="A2877" s="388"/>
      <c r="B2877" s="388"/>
    </row>
    <row r="2878" spans="1:2" x14ac:dyDescent="0.25">
      <c r="A2878" s="388"/>
      <c r="B2878" s="388"/>
    </row>
    <row r="2879" spans="1:2" x14ac:dyDescent="0.25">
      <c r="A2879" s="388"/>
      <c r="B2879" s="388"/>
    </row>
    <row r="2880" spans="1:2" x14ac:dyDescent="0.25">
      <c r="A2880" s="388"/>
      <c r="B2880" s="388"/>
    </row>
    <row r="2881" spans="1:2" x14ac:dyDescent="0.25">
      <c r="A2881" s="388"/>
      <c r="B2881" s="388"/>
    </row>
    <row r="2882" spans="1:2" x14ac:dyDescent="0.25">
      <c r="A2882" s="388"/>
      <c r="B2882" s="388"/>
    </row>
    <row r="2883" spans="1:2" x14ac:dyDescent="0.25">
      <c r="A2883" s="388"/>
      <c r="B2883" s="388"/>
    </row>
    <row r="2884" spans="1:2" x14ac:dyDescent="0.25">
      <c r="A2884" s="388"/>
      <c r="B2884" s="388"/>
    </row>
    <row r="2885" spans="1:2" x14ac:dyDescent="0.25">
      <c r="A2885" s="388"/>
      <c r="B2885" s="388"/>
    </row>
    <row r="2886" spans="1:2" x14ac:dyDescent="0.25">
      <c r="A2886" s="388"/>
      <c r="B2886" s="388"/>
    </row>
    <row r="2887" spans="1:2" x14ac:dyDescent="0.25">
      <c r="A2887" s="388"/>
      <c r="B2887" s="388"/>
    </row>
    <row r="2888" spans="1:2" x14ac:dyDescent="0.25">
      <c r="A2888" s="388"/>
      <c r="B2888" s="388"/>
    </row>
    <row r="2889" spans="1:2" x14ac:dyDescent="0.25">
      <c r="A2889" s="388"/>
      <c r="B2889" s="388"/>
    </row>
    <row r="2890" spans="1:2" x14ac:dyDescent="0.25">
      <c r="A2890" s="388"/>
      <c r="B2890" s="388"/>
    </row>
    <row r="2891" spans="1:2" x14ac:dyDescent="0.25">
      <c r="A2891" s="388"/>
      <c r="B2891" s="388"/>
    </row>
    <row r="2892" spans="1:2" x14ac:dyDescent="0.25">
      <c r="A2892" s="388"/>
      <c r="B2892" s="388"/>
    </row>
    <row r="2893" spans="1:2" x14ac:dyDescent="0.25">
      <c r="A2893" s="388"/>
      <c r="B2893" s="388"/>
    </row>
    <row r="2894" spans="1:2" x14ac:dyDescent="0.25">
      <c r="A2894" s="388"/>
      <c r="B2894" s="388"/>
    </row>
    <row r="2895" spans="1:2" x14ac:dyDescent="0.25">
      <c r="A2895" s="388"/>
      <c r="B2895" s="388"/>
    </row>
    <row r="2896" spans="1:2" x14ac:dyDescent="0.25">
      <c r="A2896" s="388"/>
      <c r="B2896" s="388"/>
    </row>
    <row r="2897" spans="1:2" x14ac:dyDescent="0.25">
      <c r="A2897" s="388"/>
      <c r="B2897" s="388"/>
    </row>
    <row r="2898" spans="1:2" x14ac:dyDescent="0.25">
      <c r="A2898" s="388"/>
      <c r="B2898" s="388"/>
    </row>
    <row r="2899" spans="1:2" x14ac:dyDescent="0.25">
      <c r="A2899" s="388"/>
      <c r="B2899" s="388"/>
    </row>
    <row r="2900" spans="1:2" x14ac:dyDescent="0.25">
      <c r="A2900" s="388"/>
      <c r="B2900" s="388"/>
    </row>
    <row r="2901" spans="1:2" x14ac:dyDescent="0.25">
      <c r="A2901" s="388"/>
      <c r="B2901" s="388"/>
    </row>
    <row r="2902" spans="1:2" x14ac:dyDescent="0.25">
      <c r="A2902" s="388"/>
      <c r="B2902" s="388"/>
    </row>
    <row r="2903" spans="1:2" x14ac:dyDescent="0.25">
      <c r="A2903" s="388"/>
      <c r="B2903" s="388"/>
    </row>
    <row r="2904" spans="1:2" x14ac:dyDescent="0.25">
      <c r="A2904" s="388"/>
      <c r="B2904" s="388"/>
    </row>
    <row r="2905" spans="1:2" x14ac:dyDescent="0.25">
      <c r="A2905" s="388"/>
      <c r="B2905" s="388"/>
    </row>
    <row r="2906" spans="1:2" x14ac:dyDescent="0.25">
      <c r="A2906" s="388"/>
      <c r="B2906" s="388"/>
    </row>
    <row r="2907" spans="1:2" x14ac:dyDescent="0.25">
      <c r="A2907" s="388"/>
      <c r="B2907" s="388"/>
    </row>
    <row r="2908" spans="1:2" x14ac:dyDescent="0.25">
      <c r="A2908" s="388"/>
      <c r="B2908" s="388"/>
    </row>
    <row r="2909" spans="1:2" x14ac:dyDescent="0.25">
      <c r="A2909" s="388"/>
      <c r="B2909" s="388"/>
    </row>
    <row r="2910" spans="1:2" x14ac:dyDescent="0.25">
      <c r="A2910" s="388"/>
      <c r="B2910" s="388"/>
    </row>
    <row r="2911" spans="1:2" x14ac:dyDescent="0.25">
      <c r="A2911" s="388"/>
      <c r="B2911" s="388"/>
    </row>
    <row r="2912" spans="1:2" x14ac:dyDescent="0.25">
      <c r="A2912" s="388"/>
      <c r="B2912" s="388"/>
    </row>
    <row r="2913" spans="1:2" x14ac:dyDescent="0.25">
      <c r="A2913" s="388"/>
      <c r="B2913" s="388"/>
    </row>
    <row r="2914" spans="1:2" x14ac:dyDescent="0.25">
      <c r="A2914" s="388"/>
      <c r="B2914" s="388"/>
    </row>
    <row r="2915" spans="1:2" x14ac:dyDescent="0.25">
      <c r="A2915" s="388"/>
      <c r="B2915" s="388"/>
    </row>
    <row r="2916" spans="1:2" x14ac:dyDescent="0.25">
      <c r="A2916" s="388"/>
      <c r="B2916" s="388"/>
    </row>
    <row r="2917" spans="1:2" x14ac:dyDescent="0.25">
      <c r="A2917" s="388"/>
      <c r="B2917" s="388"/>
    </row>
    <row r="2918" spans="1:2" x14ac:dyDescent="0.25">
      <c r="A2918" s="388"/>
      <c r="B2918" s="388"/>
    </row>
    <row r="2919" spans="1:2" x14ac:dyDescent="0.25">
      <c r="A2919" s="388"/>
      <c r="B2919" s="388"/>
    </row>
    <row r="2920" spans="1:2" x14ac:dyDescent="0.25">
      <c r="A2920" s="388"/>
      <c r="B2920" s="388"/>
    </row>
    <row r="2921" spans="1:2" x14ac:dyDescent="0.25">
      <c r="A2921" s="388"/>
      <c r="B2921" s="388"/>
    </row>
    <row r="2922" spans="1:2" x14ac:dyDescent="0.25">
      <c r="A2922" s="388"/>
      <c r="B2922" s="388"/>
    </row>
    <row r="2923" spans="1:2" x14ac:dyDescent="0.25">
      <c r="A2923" s="388"/>
      <c r="B2923" s="388"/>
    </row>
    <row r="2924" spans="1:2" x14ac:dyDescent="0.25">
      <c r="A2924" s="388"/>
      <c r="B2924" s="388"/>
    </row>
    <row r="2925" spans="1:2" x14ac:dyDescent="0.25">
      <c r="A2925" s="388"/>
      <c r="B2925" s="388"/>
    </row>
    <row r="2926" spans="1:2" x14ac:dyDescent="0.25">
      <c r="A2926" s="388"/>
      <c r="B2926" s="388"/>
    </row>
    <row r="2927" spans="1:2" x14ac:dyDescent="0.25">
      <c r="A2927" s="388"/>
      <c r="B2927" s="388"/>
    </row>
    <row r="2928" spans="1:2" x14ac:dyDescent="0.25">
      <c r="A2928" s="388"/>
      <c r="B2928" s="388"/>
    </row>
    <row r="2929" spans="1:2" x14ac:dyDescent="0.25">
      <c r="A2929" s="388"/>
      <c r="B2929" s="388"/>
    </row>
    <row r="2930" spans="1:2" x14ac:dyDescent="0.25">
      <c r="A2930" s="388"/>
      <c r="B2930" s="388"/>
    </row>
    <row r="2931" spans="1:2" x14ac:dyDescent="0.25">
      <c r="A2931" s="388"/>
      <c r="B2931" s="388"/>
    </row>
    <row r="2932" spans="1:2" x14ac:dyDescent="0.25">
      <c r="A2932" s="388"/>
      <c r="B2932" s="388"/>
    </row>
    <row r="2933" spans="1:2" x14ac:dyDescent="0.25">
      <c r="A2933" s="388"/>
      <c r="B2933" s="388"/>
    </row>
    <row r="2934" spans="1:2" x14ac:dyDescent="0.25">
      <c r="A2934" s="388"/>
      <c r="B2934" s="388"/>
    </row>
    <row r="2935" spans="1:2" x14ac:dyDescent="0.25">
      <c r="A2935" s="388"/>
      <c r="B2935" s="388"/>
    </row>
    <row r="2936" spans="1:2" x14ac:dyDescent="0.25">
      <c r="A2936" s="388"/>
      <c r="B2936" s="388"/>
    </row>
    <row r="2937" spans="1:2" x14ac:dyDescent="0.25">
      <c r="A2937" s="388"/>
      <c r="B2937" s="388"/>
    </row>
    <row r="2938" spans="1:2" x14ac:dyDescent="0.25">
      <c r="A2938" s="388"/>
      <c r="B2938" s="388"/>
    </row>
    <row r="2939" spans="1:2" x14ac:dyDescent="0.25">
      <c r="A2939" s="388"/>
      <c r="B2939" s="388"/>
    </row>
    <row r="2940" spans="1:2" x14ac:dyDescent="0.25">
      <c r="A2940" s="388"/>
      <c r="B2940" s="388"/>
    </row>
    <row r="2941" spans="1:2" x14ac:dyDescent="0.25">
      <c r="A2941" s="388"/>
      <c r="B2941" s="388"/>
    </row>
    <row r="2942" spans="1:2" x14ac:dyDescent="0.25">
      <c r="A2942" s="388"/>
      <c r="B2942" s="388"/>
    </row>
    <row r="2943" spans="1:2" x14ac:dyDescent="0.25">
      <c r="A2943" s="388"/>
      <c r="B2943" s="388"/>
    </row>
    <row r="2944" spans="1:2" x14ac:dyDescent="0.25">
      <c r="A2944" s="388"/>
      <c r="B2944" s="388"/>
    </row>
    <row r="2945" spans="1:2" x14ac:dyDescent="0.25">
      <c r="A2945" s="388"/>
      <c r="B2945" s="388"/>
    </row>
    <row r="2946" spans="1:2" x14ac:dyDescent="0.25">
      <c r="A2946" s="388"/>
      <c r="B2946" s="388"/>
    </row>
    <row r="2947" spans="1:2" x14ac:dyDescent="0.25">
      <c r="A2947" s="388"/>
      <c r="B2947" s="388"/>
    </row>
    <row r="2948" spans="1:2" x14ac:dyDescent="0.25">
      <c r="A2948" s="388"/>
      <c r="B2948" s="388"/>
    </row>
    <row r="2949" spans="1:2" x14ac:dyDescent="0.25">
      <c r="A2949" s="388"/>
      <c r="B2949" s="388"/>
    </row>
    <row r="2950" spans="1:2" x14ac:dyDescent="0.25">
      <c r="A2950" s="388"/>
      <c r="B2950" s="388"/>
    </row>
    <row r="2951" spans="1:2" x14ac:dyDescent="0.25">
      <c r="A2951" s="388"/>
      <c r="B2951" s="388"/>
    </row>
    <row r="2952" spans="1:2" x14ac:dyDescent="0.25">
      <c r="A2952" s="388"/>
      <c r="B2952" s="388"/>
    </row>
    <row r="2953" spans="1:2" x14ac:dyDescent="0.25">
      <c r="A2953" s="388"/>
      <c r="B2953" s="388"/>
    </row>
    <row r="2954" spans="1:2" x14ac:dyDescent="0.25">
      <c r="A2954" s="388"/>
      <c r="B2954" s="388"/>
    </row>
    <row r="2955" spans="1:2" x14ac:dyDescent="0.25">
      <c r="A2955" s="388"/>
      <c r="B2955" s="388"/>
    </row>
    <row r="2956" spans="1:2" x14ac:dyDescent="0.25">
      <c r="A2956" s="388"/>
      <c r="B2956" s="388"/>
    </row>
    <row r="2957" spans="1:2" x14ac:dyDescent="0.25">
      <c r="A2957" s="388"/>
      <c r="B2957" s="388"/>
    </row>
    <row r="2958" spans="1:2" x14ac:dyDescent="0.25">
      <c r="A2958" s="388"/>
      <c r="B2958" s="388"/>
    </row>
    <row r="2959" spans="1:2" x14ac:dyDescent="0.25">
      <c r="A2959" s="388"/>
      <c r="B2959" s="388"/>
    </row>
    <row r="2960" spans="1:2" x14ac:dyDescent="0.25">
      <c r="A2960" s="388"/>
      <c r="B2960" s="388"/>
    </row>
    <row r="2961" spans="1:2" x14ac:dyDescent="0.25">
      <c r="A2961" s="388"/>
      <c r="B2961" s="388"/>
    </row>
    <row r="2962" spans="1:2" x14ac:dyDescent="0.25">
      <c r="A2962" s="388"/>
      <c r="B2962" s="388"/>
    </row>
    <row r="2963" spans="1:2" x14ac:dyDescent="0.25">
      <c r="A2963" s="388"/>
      <c r="B2963" s="388"/>
    </row>
    <row r="2964" spans="1:2" x14ac:dyDescent="0.25">
      <c r="A2964" s="388"/>
      <c r="B2964" s="388"/>
    </row>
    <row r="2965" spans="1:2" x14ac:dyDescent="0.25">
      <c r="A2965" s="388"/>
      <c r="B2965" s="388"/>
    </row>
    <row r="2966" spans="1:2" x14ac:dyDescent="0.25">
      <c r="A2966" s="388"/>
      <c r="B2966" s="388"/>
    </row>
    <row r="2967" spans="1:2" x14ac:dyDescent="0.25">
      <c r="A2967" s="388"/>
      <c r="B2967" s="388"/>
    </row>
    <row r="2968" spans="1:2" x14ac:dyDescent="0.25">
      <c r="A2968" s="388"/>
      <c r="B2968" s="388"/>
    </row>
    <row r="2969" spans="1:2" x14ac:dyDescent="0.25">
      <c r="A2969" s="388"/>
      <c r="B2969" s="388"/>
    </row>
    <row r="2970" spans="1:2" x14ac:dyDescent="0.25">
      <c r="A2970" s="388"/>
      <c r="B2970" s="388"/>
    </row>
    <row r="2971" spans="1:2" x14ac:dyDescent="0.25">
      <c r="A2971" s="388"/>
      <c r="B2971" s="388"/>
    </row>
    <row r="2972" spans="1:2" x14ac:dyDescent="0.25">
      <c r="A2972" s="388"/>
      <c r="B2972" s="388"/>
    </row>
    <row r="2973" spans="1:2" x14ac:dyDescent="0.25">
      <c r="A2973" s="388"/>
      <c r="B2973" s="388"/>
    </row>
    <row r="2974" spans="1:2" x14ac:dyDescent="0.25">
      <c r="A2974" s="388"/>
      <c r="B2974" s="388"/>
    </row>
    <row r="2975" spans="1:2" x14ac:dyDescent="0.25">
      <c r="A2975" s="388"/>
      <c r="B2975" s="388"/>
    </row>
    <row r="2976" spans="1:2" x14ac:dyDescent="0.25">
      <c r="A2976" s="388"/>
      <c r="B2976" s="388"/>
    </row>
    <row r="2977" spans="1:2" x14ac:dyDescent="0.25">
      <c r="A2977" s="388"/>
      <c r="B2977" s="388"/>
    </row>
    <row r="2978" spans="1:2" x14ac:dyDescent="0.25">
      <c r="A2978" s="388"/>
      <c r="B2978" s="388"/>
    </row>
    <row r="2979" spans="1:2" x14ac:dyDescent="0.25">
      <c r="A2979" s="388"/>
      <c r="B2979" s="388"/>
    </row>
    <row r="2980" spans="1:2" x14ac:dyDescent="0.25">
      <c r="A2980" s="388"/>
      <c r="B2980" s="388"/>
    </row>
    <row r="2981" spans="1:2" x14ac:dyDescent="0.25">
      <c r="A2981" s="388"/>
      <c r="B2981" s="388"/>
    </row>
    <row r="2982" spans="1:2" x14ac:dyDescent="0.25">
      <c r="A2982" s="388"/>
      <c r="B2982" s="388"/>
    </row>
    <row r="2983" spans="1:2" x14ac:dyDescent="0.25">
      <c r="A2983" s="388"/>
      <c r="B2983" s="388"/>
    </row>
    <row r="2984" spans="1:2" x14ac:dyDescent="0.25">
      <c r="A2984" s="388"/>
      <c r="B2984" s="388"/>
    </row>
    <row r="2985" spans="1:2" x14ac:dyDescent="0.25">
      <c r="A2985" s="388"/>
      <c r="B2985" s="388"/>
    </row>
    <row r="2986" spans="1:2" x14ac:dyDescent="0.25">
      <c r="A2986" s="388"/>
      <c r="B2986" s="388"/>
    </row>
    <row r="2987" spans="1:2" x14ac:dyDescent="0.25">
      <c r="A2987" s="388"/>
      <c r="B2987" s="388"/>
    </row>
    <row r="2988" spans="1:2" x14ac:dyDescent="0.25">
      <c r="A2988" s="388"/>
      <c r="B2988" s="388"/>
    </row>
    <row r="2989" spans="1:2" x14ac:dyDescent="0.25">
      <c r="A2989" s="388"/>
      <c r="B2989" s="388"/>
    </row>
    <row r="2990" spans="1:2" x14ac:dyDescent="0.25">
      <c r="A2990" s="388"/>
      <c r="B2990" s="388"/>
    </row>
    <row r="2991" spans="1:2" x14ac:dyDescent="0.25">
      <c r="A2991" s="388"/>
      <c r="B2991" s="388"/>
    </row>
    <row r="2992" spans="1:2" x14ac:dyDescent="0.25">
      <c r="A2992" s="388"/>
      <c r="B2992" s="388"/>
    </row>
    <row r="2993" spans="1:2" x14ac:dyDescent="0.25">
      <c r="A2993" s="388"/>
      <c r="B2993" s="388"/>
    </row>
    <row r="2994" spans="1:2" x14ac:dyDescent="0.25">
      <c r="A2994" s="388"/>
      <c r="B2994" s="388"/>
    </row>
    <row r="2995" spans="1:2" x14ac:dyDescent="0.25">
      <c r="A2995" s="388"/>
      <c r="B2995" s="388"/>
    </row>
    <row r="2996" spans="1:2" x14ac:dyDescent="0.25">
      <c r="A2996" s="388"/>
      <c r="B2996" s="388"/>
    </row>
    <row r="2997" spans="1:2" x14ac:dyDescent="0.25">
      <c r="A2997" s="388"/>
      <c r="B2997" s="388"/>
    </row>
    <row r="2998" spans="1:2" x14ac:dyDescent="0.25">
      <c r="A2998" s="388"/>
      <c r="B2998" s="388"/>
    </row>
    <row r="2999" spans="1:2" x14ac:dyDescent="0.25">
      <c r="A2999" s="388"/>
      <c r="B2999" s="388"/>
    </row>
    <row r="3000" spans="1:2" x14ac:dyDescent="0.25">
      <c r="A3000" s="388"/>
      <c r="B3000" s="388"/>
    </row>
    <row r="3001" spans="1:2" x14ac:dyDescent="0.25">
      <c r="A3001" s="388"/>
      <c r="B3001" s="388"/>
    </row>
    <row r="3002" spans="1:2" x14ac:dyDescent="0.25">
      <c r="A3002" s="388"/>
      <c r="B3002" s="388"/>
    </row>
    <row r="3003" spans="1:2" x14ac:dyDescent="0.25">
      <c r="A3003" s="388"/>
      <c r="B3003" s="388"/>
    </row>
    <row r="3004" spans="1:2" x14ac:dyDescent="0.25">
      <c r="A3004" s="388"/>
      <c r="B3004" s="388"/>
    </row>
    <row r="3005" spans="1:2" x14ac:dyDescent="0.25">
      <c r="A3005" s="388"/>
      <c r="B3005" s="388"/>
    </row>
    <row r="3006" spans="1:2" x14ac:dyDescent="0.25">
      <c r="A3006" s="388"/>
      <c r="B3006" s="388"/>
    </row>
    <row r="3007" spans="1:2" x14ac:dyDescent="0.25">
      <c r="A3007" s="388"/>
      <c r="B3007" s="388"/>
    </row>
    <row r="3008" spans="1:2" x14ac:dyDescent="0.25">
      <c r="A3008" s="388"/>
      <c r="B3008" s="388"/>
    </row>
    <row r="3009" spans="1:2" x14ac:dyDescent="0.25">
      <c r="A3009" s="388"/>
      <c r="B3009" s="388"/>
    </row>
    <row r="3010" spans="1:2" x14ac:dyDescent="0.25">
      <c r="A3010" s="388"/>
      <c r="B3010" s="388"/>
    </row>
    <row r="3011" spans="1:2" x14ac:dyDescent="0.25">
      <c r="A3011" s="388"/>
      <c r="B3011" s="388"/>
    </row>
    <row r="3012" spans="1:2" x14ac:dyDescent="0.25">
      <c r="A3012" s="388"/>
      <c r="B3012" s="388"/>
    </row>
    <row r="3013" spans="1:2" x14ac:dyDescent="0.25">
      <c r="A3013" s="388"/>
      <c r="B3013" s="388"/>
    </row>
    <row r="3014" spans="1:2" x14ac:dyDescent="0.25">
      <c r="A3014" s="388"/>
      <c r="B3014" s="388"/>
    </row>
    <row r="3015" spans="1:2" x14ac:dyDescent="0.25">
      <c r="A3015" s="388"/>
      <c r="B3015" s="388"/>
    </row>
    <row r="3016" spans="1:2" x14ac:dyDescent="0.25">
      <c r="A3016" s="388"/>
      <c r="B3016" s="388"/>
    </row>
    <row r="3017" spans="1:2" x14ac:dyDescent="0.25">
      <c r="A3017" s="388"/>
      <c r="B3017" s="388"/>
    </row>
    <row r="3018" spans="1:2" x14ac:dyDescent="0.25">
      <c r="A3018" s="388"/>
      <c r="B3018" s="388"/>
    </row>
    <row r="3019" spans="1:2" x14ac:dyDescent="0.25">
      <c r="A3019" s="388"/>
      <c r="B3019" s="388"/>
    </row>
    <row r="3020" spans="1:2" x14ac:dyDescent="0.25">
      <c r="A3020" s="388"/>
      <c r="B3020" s="388"/>
    </row>
    <row r="3021" spans="1:2" x14ac:dyDescent="0.25">
      <c r="A3021" s="388"/>
      <c r="B3021" s="388"/>
    </row>
    <row r="3022" spans="1:2" x14ac:dyDescent="0.25">
      <c r="A3022" s="388"/>
      <c r="B3022" s="388"/>
    </row>
    <row r="3023" spans="1:2" x14ac:dyDescent="0.25">
      <c r="A3023" s="388"/>
      <c r="B3023" s="388"/>
    </row>
    <row r="3024" spans="1:2" x14ac:dyDescent="0.25">
      <c r="A3024" s="388"/>
      <c r="B3024" s="388"/>
    </row>
    <row r="3025" spans="1:2" x14ac:dyDescent="0.25">
      <c r="A3025" s="388"/>
      <c r="B3025" s="388"/>
    </row>
    <row r="3026" spans="1:2" x14ac:dyDescent="0.25">
      <c r="A3026" s="388"/>
      <c r="B3026" s="388"/>
    </row>
    <row r="3027" spans="1:2" x14ac:dyDescent="0.25">
      <c r="A3027" s="388"/>
      <c r="B3027" s="388"/>
    </row>
    <row r="3028" spans="1:2" x14ac:dyDescent="0.25">
      <c r="A3028" s="388"/>
      <c r="B3028" s="388"/>
    </row>
    <row r="3029" spans="1:2" x14ac:dyDescent="0.25">
      <c r="A3029" s="388"/>
      <c r="B3029" s="388"/>
    </row>
    <row r="3030" spans="1:2" x14ac:dyDescent="0.25">
      <c r="A3030" s="388"/>
      <c r="B3030" s="388"/>
    </row>
    <row r="3031" spans="1:2" x14ac:dyDescent="0.25">
      <c r="A3031" s="388"/>
      <c r="B3031" s="388"/>
    </row>
    <row r="3032" spans="1:2" x14ac:dyDescent="0.25">
      <c r="A3032" s="388"/>
      <c r="B3032" s="388"/>
    </row>
    <row r="3033" spans="1:2" x14ac:dyDescent="0.25">
      <c r="A3033" s="388"/>
      <c r="B3033" s="388"/>
    </row>
    <row r="3034" spans="1:2" x14ac:dyDescent="0.25">
      <c r="A3034" s="388"/>
      <c r="B3034" s="388"/>
    </row>
    <row r="3035" spans="1:2" x14ac:dyDescent="0.25">
      <c r="A3035" s="388"/>
      <c r="B3035" s="388"/>
    </row>
    <row r="3036" spans="1:2" x14ac:dyDescent="0.25">
      <c r="A3036" s="388"/>
      <c r="B3036" s="388"/>
    </row>
    <row r="3037" spans="1:2" x14ac:dyDescent="0.25">
      <c r="A3037" s="388"/>
      <c r="B3037" s="388"/>
    </row>
    <row r="3038" spans="1:2" x14ac:dyDescent="0.25">
      <c r="A3038" s="388"/>
      <c r="B3038" s="388"/>
    </row>
    <row r="3039" spans="1:2" x14ac:dyDescent="0.25">
      <c r="A3039" s="388"/>
      <c r="B3039" s="388"/>
    </row>
    <row r="3040" spans="1:2" x14ac:dyDescent="0.25">
      <c r="A3040" s="388"/>
      <c r="B3040" s="388"/>
    </row>
    <row r="3041" spans="1:2" x14ac:dyDescent="0.25">
      <c r="A3041" s="388"/>
      <c r="B3041" s="388"/>
    </row>
    <row r="3042" spans="1:2" x14ac:dyDescent="0.25">
      <c r="A3042" s="388"/>
      <c r="B3042" s="388"/>
    </row>
    <row r="3043" spans="1:2" x14ac:dyDescent="0.25">
      <c r="A3043" s="388"/>
      <c r="B3043" s="388"/>
    </row>
    <row r="3044" spans="1:2" x14ac:dyDescent="0.25">
      <c r="A3044" s="388"/>
      <c r="B3044" s="388"/>
    </row>
    <row r="3045" spans="1:2" x14ac:dyDescent="0.25">
      <c r="A3045" s="388"/>
      <c r="B3045" s="388"/>
    </row>
    <row r="3046" spans="1:2" x14ac:dyDescent="0.25">
      <c r="A3046" s="388"/>
      <c r="B3046" s="388"/>
    </row>
    <row r="3047" spans="1:2" x14ac:dyDescent="0.25">
      <c r="A3047" s="388"/>
      <c r="B3047" s="388"/>
    </row>
    <row r="3048" spans="1:2" x14ac:dyDescent="0.25">
      <c r="A3048" s="388"/>
      <c r="B3048" s="388"/>
    </row>
    <row r="3049" spans="1:2" x14ac:dyDescent="0.25">
      <c r="A3049" s="388"/>
      <c r="B3049" s="388"/>
    </row>
    <row r="3050" spans="1:2" x14ac:dyDescent="0.25">
      <c r="A3050" s="388"/>
      <c r="B3050" s="388"/>
    </row>
    <row r="3051" spans="1:2" x14ac:dyDescent="0.25">
      <c r="A3051" s="388"/>
      <c r="B3051" s="388"/>
    </row>
    <row r="3052" spans="1:2" x14ac:dyDescent="0.25">
      <c r="A3052" s="388"/>
      <c r="B3052" s="388"/>
    </row>
    <row r="3053" spans="1:2" x14ac:dyDescent="0.25">
      <c r="A3053" s="388"/>
      <c r="B3053" s="388"/>
    </row>
    <row r="3054" spans="1:2" x14ac:dyDescent="0.25">
      <c r="A3054" s="388"/>
      <c r="B3054" s="388"/>
    </row>
    <row r="3055" spans="1:2" x14ac:dyDescent="0.25">
      <c r="A3055" s="388"/>
      <c r="B3055" s="388"/>
    </row>
    <row r="3056" spans="1:2" x14ac:dyDescent="0.25">
      <c r="A3056" s="388"/>
      <c r="B3056" s="388"/>
    </row>
    <row r="3057" spans="1:2" x14ac:dyDescent="0.25">
      <c r="A3057" s="388"/>
      <c r="B3057" s="388"/>
    </row>
    <row r="3058" spans="1:2" x14ac:dyDescent="0.25">
      <c r="A3058" s="388"/>
      <c r="B3058" s="388"/>
    </row>
    <row r="3059" spans="1:2" x14ac:dyDescent="0.25">
      <c r="A3059" s="388"/>
      <c r="B3059" s="388"/>
    </row>
    <row r="3060" spans="1:2" x14ac:dyDescent="0.25">
      <c r="A3060" s="388"/>
      <c r="B3060" s="388"/>
    </row>
    <row r="3061" spans="1:2" x14ac:dyDescent="0.25">
      <c r="A3061" s="388"/>
      <c r="B3061" s="388"/>
    </row>
    <row r="3062" spans="1:2" x14ac:dyDescent="0.25">
      <c r="A3062" s="388"/>
      <c r="B3062" s="388"/>
    </row>
    <row r="3063" spans="1:2" x14ac:dyDescent="0.25">
      <c r="A3063" s="388"/>
      <c r="B3063" s="388"/>
    </row>
    <row r="3064" spans="1:2" x14ac:dyDescent="0.25">
      <c r="A3064" s="388"/>
      <c r="B3064" s="388"/>
    </row>
    <row r="3065" spans="1:2" x14ac:dyDescent="0.25">
      <c r="A3065" s="388"/>
      <c r="B3065" s="388"/>
    </row>
    <row r="3066" spans="1:2" x14ac:dyDescent="0.25">
      <c r="A3066" s="388"/>
      <c r="B3066" s="388"/>
    </row>
    <row r="3067" spans="1:2" x14ac:dyDescent="0.25">
      <c r="A3067" s="388"/>
      <c r="B3067" s="388"/>
    </row>
    <row r="3068" spans="1:2" x14ac:dyDescent="0.25">
      <c r="A3068" s="388"/>
      <c r="B3068" s="388"/>
    </row>
    <row r="3069" spans="1:2" x14ac:dyDescent="0.25">
      <c r="A3069" s="388"/>
      <c r="B3069" s="388"/>
    </row>
    <row r="3070" spans="1:2" x14ac:dyDescent="0.25">
      <c r="A3070" s="388"/>
      <c r="B3070" s="388"/>
    </row>
    <row r="3071" spans="1:2" x14ac:dyDescent="0.25">
      <c r="A3071" s="388"/>
      <c r="B3071" s="388"/>
    </row>
    <row r="3072" spans="1:2" x14ac:dyDescent="0.25">
      <c r="A3072" s="388"/>
      <c r="B3072" s="388"/>
    </row>
    <row r="3073" spans="1:2" x14ac:dyDescent="0.25">
      <c r="A3073" s="388"/>
      <c r="B3073" s="388"/>
    </row>
    <row r="3074" spans="1:2" x14ac:dyDescent="0.25">
      <c r="A3074" s="388"/>
      <c r="B3074" s="388"/>
    </row>
    <row r="3075" spans="1:2" x14ac:dyDescent="0.25">
      <c r="A3075" s="388"/>
      <c r="B3075" s="388"/>
    </row>
    <row r="3076" spans="1:2" x14ac:dyDescent="0.25">
      <c r="A3076" s="388"/>
      <c r="B3076" s="388"/>
    </row>
    <row r="3077" spans="1:2" x14ac:dyDescent="0.25">
      <c r="A3077" s="388"/>
      <c r="B3077" s="388"/>
    </row>
    <row r="3078" spans="1:2" x14ac:dyDescent="0.25">
      <c r="A3078" s="388"/>
      <c r="B3078" s="388"/>
    </row>
    <row r="3079" spans="1:2" x14ac:dyDescent="0.25">
      <c r="A3079" s="388"/>
      <c r="B3079" s="388"/>
    </row>
    <row r="3080" spans="1:2" x14ac:dyDescent="0.25">
      <c r="A3080" s="388"/>
      <c r="B3080" s="388"/>
    </row>
    <row r="3081" spans="1:2" x14ac:dyDescent="0.25">
      <c r="A3081" s="388"/>
      <c r="B3081" s="388"/>
    </row>
    <row r="3082" spans="1:2" x14ac:dyDescent="0.25">
      <c r="A3082" s="388"/>
      <c r="B3082" s="388"/>
    </row>
    <row r="3083" spans="1:2" x14ac:dyDescent="0.25">
      <c r="A3083" s="388"/>
      <c r="B3083" s="388"/>
    </row>
    <row r="3084" spans="1:2" x14ac:dyDescent="0.25">
      <c r="A3084" s="388"/>
      <c r="B3084" s="388"/>
    </row>
    <row r="3085" spans="1:2" x14ac:dyDescent="0.25">
      <c r="A3085" s="388"/>
      <c r="B3085" s="388"/>
    </row>
    <row r="3086" spans="1:2" x14ac:dyDescent="0.25">
      <c r="A3086" s="388"/>
      <c r="B3086" s="388"/>
    </row>
    <row r="3087" spans="1:2" x14ac:dyDescent="0.25">
      <c r="A3087" s="388"/>
      <c r="B3087" s="388"/>
    </row>
    <row r="3088" spans="1:2" x14ac:dyDescent="0.25">
      <c r="A3088" s="388"/>
      <c r="B3088" s="388"/>
    </row>
    <row r="3089" spans="1:2" x14ac:dyDescent="0.25">
      <c r="A3089" s="388"/>
      <c r="B3089" s="388"/>
    </row>
    <row r="3090" spans="1:2" x14ac:dyDescent="0.25">
      <c r="A3090" s="388"/>
      <c r="B3090" s="388"/>
    </row>
    <row r="3091" spans="1:2" x14ac:dyDescent="0.25">
      <c r="A3091" s="388"/>
      <c r="B3091" s="388"/>
    </row>
    <row r="3092" spans="1:2" x14ac:dyDescent="0.25">
      <c r="A3092" s="388"/>
      <c r="B3092" s="388"/>
    </row>
    <row r="3093" spans="1:2" x14ac:dyDescent="0.25">
      <c r="A3093" s="388"/>
      <c r="B3093" s="388"/>
    </row>
    <row r="3094" spans="1:2" x14ac:dyDescent="0.25">
      <c r="A3094" s="388"/>
      <c r="B3094" s="388"/>
    </row>
    <row r="3095" spans="1:2" x14ac:dyDescent="0.25">
      <c r="A3095" s="388"/>
      <c r="B3095" s="388"/>
    </row>
    <row r="3096" spans="1:2" x14ac:dyDescent="0.25">
      <c r="A3096" s="388"/>
      <c r="B3096" s="388"/>
    </row>
    <row r="3097" spans="1:2" x14ac:dyDescent="0.25">
      <c r="A3097" s="388"/>
      <c r="B3097" s="388"/>
    </row>
    <row r="3098" spans="1:2" x14ac:dyDescent="0.25">
      <c r="A3098" s="388"/>
      <c r="B3098" s="388"/>
    </row>
    <row r="3099" spans="1:2" x14ac:dyDescent="0.25">
      <c r="A3099" s="388"/>
      <c r="B3099" s="388"/>
    </row>
    <row r="3100" spans="1:2" x14ac:dyDescent="0.25">
      <c r="A3100" s="388"/>
      <c r="B3100" s="388"/>
    </row>
    <row r="3101" spans="1:2" x14ac:dyDescent="0.25">
      <c r="A3101" s="388"/>
      <c r="B3101" s="388"/>
    </row>
    <row r="3102" spans="1:2" x14ac:dyDescent="0.25">
      <c r="A3102" s="388"/>
      <c r="B3102" s="388"/>
    </row>
    <row r="3103" spans="1:2" x14ac:dyDescent="0.25">
      <c r="A3103" s="388"/>
      <c r="B3103" s="388"/>
    </row>
    <row r="3104" spans="1:2" x14ac:dyDescent="0.25">
      <c r="A3104" s="388"/>
      <c r="B3104" s="388"/>
    </row>
    <row r="3105" spans="1:2" x14ac:dyDescent="0.25">
      <c r="A3105" s="388"/>
      <c r="B3105" s="388"/>
    </row>
    <row r="3106" spans="1:2" x14ac:dyDescent="0.25">
      <c r="A3106" s="388"/>
      <c r="B3106" s="388"/>
    </row>
    <row r="3107" spans="1:2" x14ac:dyDescent="0.25">
      <c r="A3107" s="388"/>
      <c r="B3107" s="388"/>
    </row>
    <row r="3108" spans="1:2" x14ac:dyDescent="0.25">
      <c r="A3108" s="388"/>
      <c r="B3108" s="388"/>
    </row>
    <row r="3109" spans="1:2" x14ac:dyDescent="0.25">
      <c r="A3109" s="388"/>
      <c r="B3109" s="388"/>
    </row>
    <row r="3110" spans="1:2" x14ac:dyDescent="0.25">
      <c r="A3110" s="388"/>
      <c r="B3110" s="388"/>
    </row>
    <row r="3111" spans="1:2" x14ac:dyDescent="0.25">
      <c r="A3111" s="388"/>
      <c r="B3111" s="388"/>
    </row>
    <row r="3112" spans="1:2" x14ac:dyDescent="0.25">
      <c r="A3112" s="388"/>
      <c r="B3112" s="388"/>
    </row>
    <row r="3113" spans="1:2" x14ac:dyDescent="0.25">
      <c r="A3113" s="388"/>
      <c r="B3113" s="388"/>
    </row>
    <row r="3114" spans="1:2" x14ac:dyDescent="0.25">
      <c r="A3114" s="388"/>
      <c r="B3114" s="388"/>
    </row>
    <row r="3115" spans="1:2" x14ac:dyDescent="0.25">
      <c r="A3115" s="388"/>
      <c r="B3115" s="388"/>
    </row>
    <row r="3116" spans="1:2" x14ac:dyDescent="0.25">
      <c r="A3116" s="388"/>
      <c r="B3116" s="388"/>
    </row>
    <row r="3117" spans="1:2" x14ac:dyDescent="0.25">
      <c r="A3117" s="388"/>
      <c r="B3117" s="388"/>
    </row>
    <row r="3118" spans="1:2" x14ac:dyDescent="0.25">
      <c r="A3118" s="388"/>
      <c r="B3118" s="388"/>
    </row>
    <row r="3119" spans="1:2" x14ac:dyDescent="0.25">
      <c r="A3119" s="388"/>
      <c r="B3119" s="388"/>
    </row>
    <row r="3120" spans="1:2" x14ac:dyDescent="0.25">
      <c r="A3120" s="388"/>
      <c r="B3120" s="388"/>
    </row>
    <row r="3121" spans="1:2" x14ac:dyDescent="0.25">
      <c r="A3121" s="388"/>
      <c r="B3121" s="388"/>
    </row>
    <row r="3122" spans="1:2" x14ac:dyDescent="0.25">
      <c r="A3122" s="388"/>
      <c r="B3122" s="388"/>
    </row>
    <row r="3123" spans="1:2" x14ac:dyDescent="0.25">
      <c r="A3123" s="388"/>
      <c r="B3123" s="388"/>
    </row>
    <row r="3124" spans="1:2" x14ac:dyDescent="0.25">
      <c r="A3124" s="388"/>
      <c r="B3124" s="388"/>
    </row>
    <row r="3125" spans="1:2" x14ac:dyDescent="0.25">
      <c r="A3125" s="388"/>
      <c r="B3125" s="388"/>
    </row>
    <row r="3126" spans="1:2" x14ac:dyDescent="0.25">
      <c r="A3126" s="388"/>
      <c r="B3126" s="388"/>
    </row>
    <row r="3127" spans="1:2" x14ac:dyDescent="0.25">
      <c r="A3127" s="388"/>
      <c r="B3127" s="388"/>
    </row>
    <row r="3128" spans="1:2" x14ac:dyDescent="0.25">
      <c r="A3128" s="388"/>
      <c r="B3128" s="388"/>
    </row>
    <row r="3129" spans="1:2" x14ac:dyDescent="0.25">
      <c r="A3129" s="388"/>
      <c r="B3129" s="388"/>
    </row>
    <row r="3130" spans="1:2" x14ac:dyDescent="0.25">
      <c r="A3130" s="388"/>
      <c r="B3130" s="388"/>
    </row>
    <row r="3131" spans="1:2" x14ac:dyDescent="0.25">
      <c r="A3131" s="388"/>
      <c r="B3131" s="388"/>
    </row>
    <row r="3132" spans="1:2" x14ac:dyDescent="0.25">
      <c r="A3132" s="388"/>
      <c r="B3132" s="388"/>
    </row>
    <row r="3133" spans="1:2" x14ac:dyDescent="0.25">
      <c r="A3133" s="388"/>
      <c r="B3133" s="388"/>
    </row>
    <row r="3134" spans="1:2" x14ac:dyDescent="0.25">
      <c r="A3134" s="388"/>
      <c r="B3134" s="388"/>
    </row>
    <row r="3135" spans="1:2" x14ac:dyDescent="0.25">
      <c r="A3135" s="388"/>
      <c r="B3135" s="388"/>
    </row>
    <row r="3136" spans="1:2" x14ac:dyDescent="0.25">
      <c r="A3136" s="388"/>
      <c r="B3136" s="388"/>
    </row>
    <row r="3137" spans="1:2" x14ac:dyDescent="0.25">
      <c r="A3137" s="388"/>
      <c r="B3137" s="388"/>
    </row>
    <row r="3138" spans="1:2" x14ac:dyDescent="0.25">
      <c r="A3138" s="388"/>
      <c r="B3138" s="388"/>
    </row>
    <row r="3139" spans="1:2" x14ac:dyDescent="0.25">
      <c r="A3139" s="388"/>
      <c r="B3139" s="388"/>
    </row>
    <row r="3140" spans="1:2" x14ac:dyDescent="0.25">
      <c r="A3140" s="388"/>
      <c r="B3140" s="388"/>
    </row>
    <row r="3141" spans="1:2" x14ac:dyDescent="0.25">
      <c r="A3141" s="388"/>
      <c r="B3141" s="388"/>
    </row>
    <row r="3142" spans="1:2" x14ac:dyDescent="0.25">
      <c r="A3142" s="388"/>
      <c r="B3142" s="388"/>
    </row>
    <row r="3143" spans="1:2" x14ac:dyDescent="0.25">
      <c r="A3143" s="388"/>
      <c r="B3143" s="388"/>
    </row>
    <row r="3144" spans="1:2" x14ac:dyDescent="0.25">
      <c r="A3144" s="388"/>
      <c r="B3144" s="388"/>
    </row>
    <row r="3145" spans="1:2" x14ac:dyDescent="0.25">
      <c r="A3145" s="388"/>
      <c r="B3145" s="388"/>
    </row>
    <row r="3146" spans="1:2" x14ac:dyDescent="0.25">
      <c r="A3146" s="388"/>
      <c r="B3146" s="388"/>
    </row>
    <row r="3147" spans="1:2" x14ac:dyDescent="0.25">
      <c r="A3147" s="388"/>
      <c r="B3147" s="388"/>
    </row>
    <row r="3148" spans="1:2" x14ac:dyDescent="0.25">
      <c r="A3148" s="388"/>
      <c r="B3148" s="388"/>
    </row>
    <row r="3149" spans="1:2" x14ac:dyDescent="0.25">
      <c r="A3149" s="388"/>
      <c r="B3149" s="388"/>
    </row>
    <row r="3150" spans="1:2" x14ac:dyDescent="0.25">
      <c r="A3150" s="388"/>
      <c r="B3150" s="388"/>
    </row>
    <row r="3151" spans="1:2" x14ac:dyDescent="0.25">
      <c r="A3151" s="388"/>
      <c r="B3151" s="388"/>
    </row>
    <row r="3152" spans="1:2" x14ac:dyDescent="0.25">
      <c r="A3152" s="388"/>
      <c r="B3152" s="388"/>
    </row>
    <row r="3153" spans="1:2" x14ac:dyDescent="0.25">
      <c r="A3153" s="388"/>
      <c r="B3153" s="388"/>
    </row>
    <row r="3154" spans="1:2" x14ac:dyDescent="0.25">
      <c r="A3154" s="388"/>
      <c r="B3154" s="388"/>
    </row>
    <row r="3155" spans="1:2" x14ac:dyDescent="0.25">
      <c r="A3155" s="388"/>
      <c r="B3155" s="388"/>
    </row>
    <row r="3156" spans="1:2" x14ac:dyDescent="0.25">
      <c r="A3156" s="388"/>
      <c r="B3156" s="388"/>
    </row>
    <row r="3157" spans="1:2" x14ac:dyDescent="0.25">
      <c r="A3157" s="388"/>
      <c r="B3157" s="388"/>
    </row>
    <row r="3158" spans="1:2" x14ac:dyDescent="0.25">
      <c r="A3158" s="388"/>
      <c r="B3158" s="388"/>
    </row>
    <row r="3159" spans="1:2" x14ac:dyDescent="0.25">
      <c r="A3159" s="388"/>
      <c r="B3159" s="388"/>
    </row>
    <row r="3160" spans="1:2" x14ac:dyDescent="0.25">
      <c r="A3160" s="388"/>
      <c r="B3160" s="388"/>
    </row>
    <row r="3161" spans="1:2" x14ac:dyDescent="0.25">
      <c r="A3161" s="388"/>
      <c r="B3161" s="388"/>
    </row>
    <row r="3162" spans="1:2" x14ac:dyDescent="0.25">
      <c r="A3162" s="388"/>
      <c r="B3162" s="388"/>
    </row>
    <row r="3163" spans="1:2" x14ac:dyDescent="0.25">
      <c r="A3163" s="388"/>
      <c r="B3163" s="388"/>
    </row>
    <row r="3164" spans="1:2" x14ac:dyDescent="0.25">
      <c r="A3164" s="388"/>
      <c r="B3164" s="388"/>
    </row>
    <row r="3165" spans="1:2" x14ac:dyDescent="0.25">
      <c r="A3165" s="388"/>
      <c r="B3165" s="388"/>
    </row>
    <row r="3166" spans="1:2" x14ac:dyDescent="0.25">
      <c r="A3166" s="388"/>
      <c r="B3166" s="388"/>
    </row>
    <row r="3167" spans="1:2" x14ac:dyDescent="0.25">
      <c r="A3167" s="388"/>
      <c r="B3167" s="388"/>
    </row>
    <row r="3168" spans="1:2" x14ac:dyDescent="0.25">
      <c r="A3168" s="388"/>
      <c r="B3168" s="388"/>
    </row>
    <row r="3169" spans="1:2" x14ac:dyDescent="0.25">
      <c r="A3169" s="388"/>
      <c r="B3169" s="388"/>
    </row>
    <row r="3170" spans="1:2" x14ac:dyDescent="0.25">
      <c r="A3170" s="388"/>
      <c r="B3170" s="388"/>
    </row>
    <row r="3171" spans="1:2" x14ac:dyDescent="0.25">
      <c r="A3171" s="388"/>
      <c r="B3171" s="388"/>
    </row>
    <row r="3172" spans="1:2" x14ac:dyDescent="0.25">
      <c r="A3172" s="388"/>
      <c r="B3172" s="388"/>
    </row>
    <row r="3173" spans="1:2" x14ac:dyDescent="0.25">
      <c r="A3173" s="388"/>
      <c r="B3173" s="388"/>
    </row>
    <row r="3174" spans="1:2" x14ac:dyDescent="0.25">
      <c r="A3174" s="388"/>
      <c r="B3174" s="388"/>
    </row>
    <row r="3175" spans="1:2" x14ac:dyDescent="0.25">
      <c r="A3175" s="388"/>
      <c r="B3175" s="388"/>
    </row>
    <row r="3176" spans="1:2" x14ac:dyDescent="0.25">
      <c r="A3176" s="388"/>
      <c r="B3176" s="388"/>
    </row>
    <row r="3177" spans="1:2" x14ac:dyDescent="0.25">
      <c r="A3177" s="388"/>
      <c r="B3177" s="388"/>
    </row>
    <row r="3178" spans="1:2" x14ac:dyDescent="0.25">
      <c r="A3178" s="388"/>
      <c r="B3178" s="388"/>
    </row>
    <row r="3179" spans="1:2" x14ac:dyDescent="0.25">
      <c r="A3179" s="388"/>
      <c r="B3179" s="388"/>
    </row>
    <row r="3180" spans="1:2" x14ac:dyDescent="0.25">
      <c r="A3180" s="388"/>
      <c r="B3180" s="388"/>
    </row>
    <row r="3181" spans="1:2" x14ac:dyDescent="0.25">
      <c r="A3181" s="388"/>
      <c r="B3181" s="388"/>
    </row>
    <row r="3182" spans="1:2" x14ac:dyDescent="0.25">
      <c r="A3182" s="388"/>
      <c r="B3182" s="388"/>
    </row>
    <row r="3183" spans="1:2" x14ac:dyDescent="0.25">
      <c r="A3183" s="388"/>
      <c r="B3183" s="388"/>
    </row>
    <row r="3184" spans="1:2" x14ac:dyDescent="0.25">
      <c r="A3184" s="388"/>
      <c r="B3184" s="388"/>
    </row>
    <row r="3185" spans="1:2" x14ac:dyDescent="0.25">
      <c r="A3185" s="388"/>
      <c r="B3185" s="388"/>
    </row>
    <row r="3186" spans="1:2" x14ac:dyDescent="0.25">
      <c r="A3186" s="388"/>
      <c r="B3186" s="388"/>
    </row>
    <row r="3187" spans="1:2" x14ac:dyDescent="0.25">
      <c r="A3187" s="388"/>
      <c r="B3187" s="388"/>
    </row>
    <row r="3188" spans="1:2" x14ac:dyDescent="0.25">
      <c r="A3188" s="388"/>
      <c r="B3188" s="388"/>
    </row>
    <row r="3189" spans="1:2" x14ac:dyDescent="0.25">
      <c r="A3189" s="388"/>
      <c r="B3189" s="388"/>
    </row>
    <row r="3190" spans="1:2" x14ac:dyDescent="0.25">
      <c r="A3190" s="388"/>
      <c r="B3190" s="388"/>
    </row>
    <row r="3191" spans="1:2" x14ac:dyDescent="0.25">
      <c r="A3191" s="388"/>
      <c r="B3191" s="388"/>
    </row>
    <row r="3192" spans="1:2" x14ac:dyDescent="0.25">
      <c r="A3192" s="388"/>
      <c r="B3192" s="388"/>
    </row>
    <row r="3193" spans="1:2" x14ac:dyDescent="0.25">
      <c r="A3193" s="388"/>
      <c r="B3193" s="388"/>
    </row>
    <row r="3194" spans="1:2" x14ac:dyDescent="0.25">
      <c r="A3194" s="388"/>
      <c r="B3194" s="388"/>
    </row>
    <row r="3195" spans="1:2" x14ac:dyDescent="0.25">
      <c r="A3195" s="388"/>
      <c r="B3195" s="388"/>
    </row>
    <row r="3196" spans="1:2" x14ac:dyDescent="0.25">
      <c r="A3196" s="388"/>
      <c r="B3196" s="388"/>
    </row>
    <row r="3197" spans="1:2" x14ac:dyDescent="0.25">
      <c r="A3197" s="388"/>
      <c r="B3197" s="388"/>
    </row>
    <row r="3198" spans="1:2" x14ac:dyDescent="0.25">
      <c r="A3198" s="388"/>
      <c r="B3198" s="388"/>
    </row>
    <row r="3199" spans="1:2" x14ac:dyDescent="0.25">
      <c r="A3199" s="388"/>
      <c r="B3199" s="388"/>
    </row>
    <row r="3200" spans="1:2" x14ac:dyDescent="0.25">
      <c r="A3200" s="388"/>
      <c r="B3200" s="388"/>
    </row>
    <row r="3201" spans="1:2" x14ac:dyDescent="0.25">
      <c r="A3201" s="388"/>
      <c r="B3201" s="388"/>
    </row>
    <row r="3202" spans="1:2" x14ac:dyDescent="0.25">
      <c r="A3202" s="388"/>
      <c r="B3202" s="388"/>
    </row>
    <row r="3203" spans="1:2" x14ac:dyDescent="0.25">
      <c r="A3203" s="388"/>
      <c r="B3203" s="388"/>
    </row>
    <row r="3204" spans="1:2" x14ac:dyDescent="0.25">
      <c r="A3204" s="388"/>
      <c r="B3204" s="388"/>
    </row>
    <row r="3205" spans="1:2" x14ac:dyDescent="0.25">
      <c r="A3205" s="388"/>
      <c r="B3205" s="388"/>
    </row>
    <row r="3206" spans="1:2" x14ac:dyDescent="0.25">
      <c r="A3206" s="388"/>
      <c r="B3206" s="388"/>
    </row>
    <row r="3207" spans="1:2" x14ac:dyDescent="0.25">
      <c r="A3207" s="388"/>
      <c r="B3207" s="388"/>
    </row>
    <row r="3208" spans="1:2" x14ac:dyDescent="0.25">
      <c r="A3208" s="388"/>
      <c r="B3208" s="388"/>
    </row>
    <row r="3209" spans="1:2" x14ac:dyDescent="0.25">
      <c r="A3209" s="388"/>
      <c r="B3209" s="388"/>
    </row>
    <row r="3210" spans="1:2" x14ac:dyDescent="0.25">
      <c r="A3210" s="388"/>
      <c r="B3210" s="388"/>
    </row>
    <row r="3211" spans="1:2" x14ac:dyDescent="0.25">
      <c r="A3211" s="388"/>
      <c r="B3211" s="388"/>
    </row>
    <row r="3212" spans="1:2" x14ac:dyDescent="0.25">
      <c r="A3212" s="388"/>
      <c r="B3212" s="388"/>
    </row>
    <row r="3213" spans="1:2" x14ac:dyDescent="0.25">
      <c r="A3213" s="388"/>
      <c r="B3213" s="388"/>
    </row>
    <row r="3214" spans="1:2" x14ac:dyDescent="0.25">
      <c r="A3214" s="388"/>
      <c r="B3214" s="388"/>
    </row>
    <row r="3215" spans="1:2" x14ac:dyDescent="0.25">
      <c r="A3215" s="388"/>
      <c r="B3215" s="388"/>
    </row>
    <row r="3216" spans="1:2" x14ac:dyDescent="0.25">
      <c r="A3216" s="388"/>
      <c r="B3216" s="388"/>
    </row>
    <row r="3217" spans="1:2" x14ac:dyDescent="0.25">
      <c r="A3217" s="388"/>
      <c r="B3217" s="388"/>
    </row>
    <row r="3218" spans="1:2" x14ac:dyDescent="0.25">
      <c r="A3218" s="388"/>
      <c r="B3218" s="388"/>
    </row>
    <row r="3219" spans="1:2" x14ac:dyDescent="0.25">
      <c r="A3219" s="388"/>
      <c r="B3219" s="388"/>
    </row>
    <row r="3220" spans="1:2" x14ac:dyDescent="0.25">
      <c r="A3220" s="388"/>
      <c r="B3220" s="388"/>
    </row>
    <row r="3221" spans="1:2" x14ac:dyDescent="0.25">
      <c r="A3221" s="388"/>
      <c r="B3221" s="388"/>
    </row>
    <row r="3222" spans="1:2" x14ac:dyDescent="0.25">
      <c r="A3222" s="388"/>
      <c r="B3222" s="388"/>
    </row>
    <row r="3223" spans="1:2" x14ac:dyDescent="0.25">
      <c r="A3223" s="388"/>
      <c r="B3223" s="388"/>
    </row>
    <row r="3224" spans="1:2" x14ac:dyDescent="0.25">
      <c r="A3224" s="388"/>
      <c r="B3224" s="388"/>
    </row>
    <row r="3225" spans="1:2" x14ac:dyDescent="0.25">
      <c r="A3225" s="388"/>
      <c r="B3225" s="388"/>
    </row>
    <row r="3226" spans="1:2" x14ac:dyDescent="0.25">
      <c r="A3226" s="388"/>
      <c r="B3226" s="388"/>
    </row>
    <row r="3227" spans="1:2" x14ac:dyDescent="0.25">
      <c r="A3227" s="388"/>
      <c r="B3227" s="388"/>
    </row>
    <row r="3228" spans="1:2" x14ac:dyDescent="0.25">
      <c r="A3228" s="388"/>
      <c r="B3228" s="388"/>
    </row>
    <row r="3229" spans="1:2" x14ac:dyDescent="0.25">
      <c r="A3229" s="388"/>
      <c r="B3229" s="388"/>
    </row>
    <row r="3230" spans="1:2" x14ac:dyDescent="0.25">
      <c r="A3230" s="388"/>
      <c r="B3230" s="388"/>
    </row>
    <row r="3231" spans="1:2" x14ac:dyDescent="0.25">
      <c r="A3231" s="388"/>
      <c r="B3231" s="388"/>
    </row>
    <row r="3232" spans="1:2" x14ac:dyDescent="0.25">
      <c r="A3232" s="388"/>
      <c r="B3232" s="388"/>
    </row>
    <row r="3233" spans="1:2" x14ac:dyDescent="0.25">
      <c r="A3233" s="388"/>
      <c r="B3233" s="388"/>
    </row>
    <row r="3234" spans="1:2" x14ac:dyDescent="0.25">
      <c r="A3234" s="388"/>
      <c r="B3234" s="388"/>
    </row>
    <row r="3235" spans="1:2" x14ac:dyDescent="0.25">
      <c r="A3235" s="388"/>
      <c r="B3235" s="388"/>
    </row>
    <row r="3236" spans="1:2" x14ac:dyDescent="0.25">
      <c r="A3236" s="388"/>
      <c r="B3236" s="388"/>
    </row>
    <row r="3237" spans="1:2" x14ac:dyDescent="0.25">
      <c r="A3237" s="388"/>
      <c r="B3237" s="388"/>
    </row>
    <row r="3238" spans="1:2" x14ac:dyDescent="0.25">
      <c r="A3238" s="388"/>
      <c r="B3238" s="388"/>
    </row>
    <row r="3239" spans="1:2" x14ac:dyDescent="0.25">
      <c r="A3239" s="388"/>
      <c r="B3239" s="388"/>
    </row>
    <row r="3240" spans="1:2" x14ac:dyDescent="0.25">
      <c r="A3240" s="388"/>
      <c r="B3240" s="388"/>
    </row>
    <row r="3241" spans="1:2" x14ac:dyDescent="0.25">
      <c r="A3241" s="388"/>
      <c r="B3241" s="388"/>
    </row>
    <row r="3242" spans="1:2" x14ac:dyDescent="0.25">
      <c r="A3242" s="388"/>
      <c r="B3242" s="388"/>
    </row>
    <row r="3243" spans="1:2" x14ac:dyDescent="0.25">
      <c r="A3243" s="388"/>
      <c r="B3243" s="388"/>
    </row>
    <row r="3244" spans="1:2" x14ac:dyDescent="0.25">
      <c r="A3244" s="388"/>
      <c r="B3244" s="388"/>
    </row>
    <row r="3245" spans="1:2" x14ac:dyDescent="0.25">
      <c r="A3245" s="388"/>
      <c r="B3245" s="388"/>
    </row>
    <row r="3246" spans="1:2" x14ac:dyDescent="0.25">
      <c r="A3246" s="388"/>
      <c r="B3246" s="388"/>
    </row>
    <row r="3247" spans="1:2" x14ac:dyDescent="0.25">
      <c r="A3247" s="388"/>
      <c r="B3247" s="388"/>
    </row>
    <row r="3248" spans="1:2" x14ac:dyDescent="0.25">
      <c r="A3248" s="388"/>
      <c r="B3248" s="388"/>
    </row>
    <row r="3249" spans="1:2" x14ac:dyDescent="0.25">
      <c r="A3249" s="388"/>
      <c r="B3249" s="388"/>
    </row>
    <row r="3250" spans="1:2" x14ac:dyDescent="0.25">
      <c r="A3250" s="388"/>
      <c r="B3250" s="388"/>
    </row>
    <row r="3251" spans="1:2" x14ac:dyDescent="0.25">
      <c r="A3251" s="388"/>
      <c r="B3251" s="388"/>
    </row>
    <row r="3252" spans="1:2" x14ac:dyDescent="0.25">
      <c r="A3252" s="388"/>
      <c r="B3252" s="388"/>
    </row>
    <row r="3253" spans="1:2" x14ac:dyDescent="0.25">
      <c r="A3253" s="388"/>
      <c r="B3253" s="388"/>
    </row>
    <row r="3254" spans="1:2" x14ac:dyDescent="0.25">
      <c r="A3254" s="388"/>
      <c r="B3254" s="388"/>
    </row>
    <row r="3255" spans="1:2" x14ac:dyDescent="0.25">
      <c r="A3255" s="388"/>
      <c r="B3255" s="388"/>
    </row>
    <row r="3256" spans="1:2" x14ac:dyDescent="0.25">
      <c r="A3256" s="388"/>
      <c r="B3256" s="388"/>
    </row>
    <row r="3257" spans="1:2" x14ac:dyDescent="0.25">
      <c r="A3257" s="388"/>
      <c r="B3257" s="388"/>
    </row>
    <row r="3258" spans="1:2" x14ac:dyDescent="0.25">
      <c r="A3258" s="388"/>
      <c r="B3258" s="388"/>
    </row>
    <row r="3259" spans="1:2" x14ac:dyDescent="0.25">
      <c r="A3259" s="388"/>
      <c r="B3259" s="388"/>
    </row>
    <row r="3260" spans="1:2" x14ac:dyDescent="0.25">
      <c r="A3260" s="388"/>
      <c r="B3260" s="388"/>
    </row>
    <row r="3261" spans="1:2" x14ac:dyDescent="0.25">
      <c r="A3261" s="388"/>
      <c r="B3261" s="388"/>
    </row>
    <row r="3262" spans="1:2" x14ac:dyDescent="0.25">
      <c r="A3262" s="388"/>
      <c r="B3262" s="388"/>
    </row>
    <row r="3263" spans="1:2" x14ac:dyDescent="0.25">
      <c r="A3263" s="388"/>
      <c r="B3263" s="388"/>
    </row>
    <row r="3264" spans="1:2" x14ac:dyDescent="0.25">
      <c r="A3264" s="388"/>
      <c r="B3264" s="388"/>
    </row>
    <row r="3265" spans="1:2" x14ac:dyDescent="0.25">
      <c r="A3265" s="388"/>
      <c r="B3265" s="388"/>
    </row>
    <row r="3266" spans="1:2" x14ac:dyDescent="0.25">
      <c r="A3266" s="388"/>
      <c r="B3266" s="388"/>
    </row>
    <row r="3267" spans="1:2" x14ac:dyDescent="0.25">
      <c r="A3267" s="388"/>
      <c r="B3267" s="388"/>
    </row>
    <row r="3268" spans="1:2" x14ac:dyDescent="0.25">
      <c r="A3268" s="388"/>
      <c r="B3268" s="388"/>
    </row>
    <row r="3269" spans="1:2" x14ac:dyDescent="0.25">
      <c r="A3269" s="388"/>
      <c r="B3269" s="388"/>
    </row>
    <row r="3270" spans="1:2" x14ac:dyDescent="0.25">
      <c r="A3270" s="388"/>
      <c r="B3270" s="388"/>
    </row>
    <row r="3271" spans="1:2" x14ac:dyDescent="0.25">
      <c r="A3271" s="388"/>
      <c r="B3271" s="388"/>
    </row>
    <row r="3272" spans="1:2" x14ac:dyDescent="0.25">
      <c r="A3272" s="388"/>
      <c r="B3272" s="388"/>
    </row>
    <row r="3273" spans="1:2" x14ac:dyDescent="0.25">
      <c r="A3273" s="388"/>
      <c r="B3273" s="388"/>
    </row>
    <row r="3274" spans="1:2" x14ac:dyDescent="0.25">
      <c r="A3274" s="388"/>
      <c r="B3274" s="388"/>
    </row>
    <row r="3275" spans="1:2" x14ac:dyDescent="0.25">
      <c r="A3275" s="388"/>
      <c r="B3275" s="388"/>
    </row>
    <row r="3276" spans="1:2" x14ac:dyDescent="0.25">
      <c r="A3276" s="388"/>
      <c r="B3276" s="388"/>
    </row>
    <row r="3277" spans="1:2" x14ac:dyDescent="0.25">
      <c r="A3277" s="388"/>
      <c r="B3277" s="388"/>
    </row>
    <row r="3278" spans="1:2" x14ac:dyDescent="0.25">
      <c r="A3278" s="388"/>
      <c r="B3278" s="388"/>
    </row>
    <row r="3279" spans="1:2" x14ac:dyDescent="0.25">
      <c r="A3279" s="388"/>
      <c r="B3279" s="388"/>
    </row>
    <row r="3280" spans="1:2" x14ac:dyDescent="0.25">
      <c r="A3280" s="388"/>
      <c r="B3280" s="388"/>
    </row>
    <row r="3281" spans="1:2" x14ac:dyDescent="0.25">
      <c r="A3281" s="388"/>
      <c r="B3281" s="388"/>
    </row>
    <row r="3282" spans="1:2" x14ac:dyDescent="0.25">
      <c r="A3282" s="388"/>
      <c r="B3282" s="388"/>
    </row>
    <row r="3283" spans="1:2" x14ac:dyDescent="0.25">
      <c r="A3283" s="388"/>
      <c r="B3283" s="388"/>
    </row>
    <row r="3284" spans="1:2" x14ac:dyDescent="0.25">
      <c r="A3284" s="388"/>
      <c r="B3284" s="388"/>
    </row>
    <row r="3285" spans="1:2" x14ac:dyDescent="0.25">
      <c r="A3285" s="388"/>
      <c r="B3285" s="388"/>
    </row>
    <row r="3286" spans="1:2" x14ac:dyDescent="0.25">
      <c r="A3286" s="388"/>
      <c r="B3286" s="388"/>
    </row>
    <row r="3287" spans="1:2" x14ac:dyDescent="0.25">
      <c r="A3287" s="388"/>
      <c r="B3287" s="388"/>
    </row>
    <row r="3288" spans="1:2" x14ac:dyDescent="0.25">
      <c r="A3288" s="388"/>
      <c r="B3288" s="388"/>
    </row>
    <row r="3289" spans="1:2" x14ac:dyDescent="0.25">
      <c r="A3289" s="388"/>
      <c r="B3289" s="388"/>
    </row>
    <row r="3290" spans="1:2" x14ac:dyDescent="0.25">
      <c r="A3290" s="388"/>
      <c r="B3290" s="388"/>
    </row>
    <row r="3291" spans="1:2" x14ac:dyDescent="0.25">
      <c r="A3291" s="388"/>
      <c r="B3291" s="388"/>
    </row>
    <row r="3292" spans="1:2" x14ac:dyDescent="0.25">
      <c r="A3292" s="388"/>
      <c r="B3292" s="388"/>
    </row>
    <row r="3293" spans="1:2" x14ac:dyDescent="0.25">
      <c r="A3293" s="388"/>
      <c r="B3293" s="388"/>
    </row>
    <row r="3294" spans="1:2" x14ac:dyDescent="0.25">
      <c r="A3294" s="388"/>
      <c r="B3294" s="388"/>
    </row>
    <row r="3295" spans="1:2" x14ac:dyDescent="0.25">
      <c r="A3295" s="388"/>
      <c r="B3295" s="388"/>
    </row>
    <row r="3296" spans="1:2" x14ac:dyDescent="0.25">
      <c r="A3296" s="388"/>
      <c r="B3296" s="388"/>
    </row>
    <row r="3297" spans="1:2" x14ac:dyDescent="0.25">
      <c r="A3297" s="388"/>
      <c r="B3297" s="388"/>
    </row>
    <row r="3298" spans="1:2" x14ac:dyDescent="0.25">
      <c r="A3298" s="388"/>
      <c r="B3298" s="388"/>
    </row>
    <row r="3299" spans="1:2" x14ac:dyDescent="0.25">
      <c r="A3299" s="388"/>
      <c r="B3299" s="388"/>
    </row>
    <row r="3300" spans="1:2" x14ac:dyDescent="0.25">
      <c r="A3300" s="388"/>
      <c r="B3300" s="388"/>
    </row>
    <row r="3301" spans="1:2" x14ac:dyDescent="0.25">
      <c r="A3301" s="388"/>
      <c r="B3301" s="388"/>
    </row>
    <row r="3302" spans="1:2" x14ac:dyDescent="0.25">
      <c r="A3302" s="388"/>
      <c r="B3302" s="388"/>
    </row>
    <row r="3303" spans="1:2" x14ac:dyDescent="0.25">
      <c r="A3303" s="388"/>
      <c r="B3303" s="388"/>
    </row>
    <row r="3304" spans="1:2" x14ac:dyDescent="0.25">
      <c r="A3304" s="388"/>
      <c r="B3304" s="388"/>
    </row>
    <row r="3305" spans="1:2" x14ac:dyDescent="0.25">
      <c r="A3305" s="388"/>
      <c r="B3305" s="388"/>
    </row>
    <row r="3306" spans="1:2" x14ac:dyDescent="0.25">
      <c r="A3306" s="388"/>
      <c r="B3306" s="388"/>
    </row>
    <row r="3307" spans="1:2" x14ac:dyDescent="0.25">
      <c r="A3307" s="388"/>
      <c r="B3307" s="388"/>
    </row>
    <row r="3308" spans="1:2" x14ac:dyDescent="0.25">
      <c r="A3308" s="388"/>
      <c r="B3308" s="388"/>
    </row>
    <row r="3309" spans="1:2" x14ac:dyDescent="0.25">
      <c r="A3309" s="388"/>
      <c r="B3309" s="388"/>
    </row>
    <row r="3310" spans="1:2" x14ac:dyDescent="0.25">
      <c r="A3310" s="388"/>
      <c r="B3310" s="388"/>
    </row>
    <row r="3311" spans="1:2" x14ac:dyDescent="0.25">
      <c r="A3311" s="388"/>
      <c r="B3311" s="388"/>
    </row>
    <row r="3312" spans="1:2" x14ac:dyDescent="0.25">
      <c r="A3312" s="388"/>
      <c r="B3312" s="388"/>
    </row>
    <row r="3313" spans="1:2" x14ac:dyDescent="0.25">
      <c r="A3313" s="388"/>
      <c r="B3313" s="388"/>
    </row>
    <row r="3314" spans="1:2" x14ac:dyDescent="0.25">
      <c r="A3314" s="388"/>
      <c r="B3314" s="388"/>
    </row>
    <row r="3315" spans="1:2" x14ac:dyDescent="0.25">
      <c r="A3315" s="388"/>
      <c r="B3315" s="388"/>
    </row>
    <row r="3316" spans="1:2" x14ac:dyDescent="0.25">
      <c r="A3316" s="388"/>
      <c r="B3316" s="388"/>
    </row>
    <row r="3317" spans="1:2" x14ac:dyDescent="0.25">
      <c r="A3317" s="388"/>
      <c r="B3317" s="388"/>
    </row>
    <row r="3318" spans="1:2" x14ac:dyDescent="0.25">
      <c r="A3318" s="388"/>
      <c r="B3318" s="388"/>
    </row>
    <row r="3319" spans="1:2" x14ac:dyDescent="0.25">
      <c r="A3319" s="388"/>
      <c r="B3319" s="388"/>
    </row>
    <row r="3320" spans="1:2" x14ac:dyDescent="0.25">
      <c r="A3320" s="388"/>
      <c r="B3320" s="388"/>
    </row>
    <row r="3321" spans="1:2" x14ac:dyDescent="0.25">
      <c r="A3321" s="388"/>
      <c r="B3321" s="388"/>
    </row>
    <row r="3322" spans="1:2" x14ac:dyDescent="0.25">
      <c r="A3322" s="388"/>
      <c r="B3322" s="388"/>
    </row>
    <row r="3323" spans="1:2" x14ac:dyDescent="0.25">
      <c r="A3323" s="388"/>
      <c r="B3323" s="388"/>
    </row>
    <row r="3324" spans="1:2" x14ac:dyDescent="0.25">
      <c r="A3324" s="388"/>
      <c r="B3324" s="388"/>
    </row>
    <row r="3325" spans="1:2" x14ac:dyDescent="0.25">
      <c r="A3325" s="388"/>
      <c r="B3325" s="388"/>
    </row>
    <row r="3326" spans="1:2" x14ac:dyDescent="0.25">
      <c r="A3326" s="388"/>
      <c r="B3326" s="388"/>
    </row>
    <row r="3327" spans="1:2" x14ac:dyDescent="0.25">
      <c r="A3327" s="388"/>
      <c r="B3327" s="388"/>
    </row>
    <row r="3328" spans="1:2" x14ac:dyDescent="0.25">
      <c r="A3328" s="388"/>
      <c r="B3328" s="388"/>
    </row>
    <row r="3329" spans="1:2" x14ac:dyDescent="0.25">
      <c r="A3329" s="388"/>
      <c r="B3329" s="388"/>
    </row>
    <row r="3330" spans="1:2" x14ac:dyDescent="0.25">
      <c r="A3330" s="388"/>
      <c r="B3330" s="388"/>
    </row>
    <row r="3331" spans="1:2" x14ac:dyDescent="0.25">
      <c r="A3331" s="388"/>
      <c r="B3331" s="388"/>
    </row>
    <row r="3332" spans="1:2" x14ac:dyDescent="0.25">
      <c r="A3332" s="388"/>
      <c r="B3332" s="388"/>
    </row>
    <row r="3333" spans="1:2" x14ac:dyDescent="0.25">
      <c r="A3333" s="388"/>
      <c r="B3333" s="388"/>
    </row>
    <row r="3334" spans="1:2" x14ac:dyDescent="0.25">
      <c r="A3334" s="388"/>
      <c r="B3334" s="388"/>
    </row>
    <row r="3335" spans="1:2" x14ac:dyDescent="0.25">
      <c r="A3335" s="388"/>
      <c r="B3335" s="388"/>
    </row>
    <row r="3336" spans="1:2" x14ac:dyDescent="0.25">
      <c r="A3336" s="388"/>
      <c r="B3336" s="388"/>
    </row>
    <row r="3337" spans="1:2" x14ac:dyDescent="0.25">
      <c r="A3337" s="388"/>
      <c r="B3337" s="388"/>
    </row>
    <row r="3338" spans="1:2" x14ac:dyDescent="0.25">
      <c r="A3338" s="388"/>
      <c r="B3338" s="388"/>
    </row>
    <row r="3339" spans="1:2" x14ac:dyDescent="0.25">
      <c r="A3339" s="388"/>
      <c r="B3339" s="388"/>
    </row>
    <row r="3340" spans="1:2" x14ac:dyDescent="0.25">
      <c r="A3340" s="388"/>
      <c r="B3340" s="388"/>
    </row>
    <row r="3341" spans="1:2" x14ac:dyDescent="0.25">
      <c r="A3341" s="388"/>
      <c r="B3341" s="388"/>
    </row>
    <row r="3342" spans="1:2" x14ac:dyDescent="0.25">
      <c r="A3342" s="388"/>
      <c r="B3342" s="388"/>
    </row>
    <row r="3343" spans="1:2" x14ac:dyDescent="0.25">
      <c r="A3343" s="388"/>
      <c r="B3343" s="388"/>
    </row>
    <row r="3344" spans="1:2" x14ac:dyDescent="0.25">
      <c r="A3344" s="388"/>
      <c r="B3344" s="388"/>
    </row>
    <row r="3345" spans="1:2" x14ac:dyDescent="0.25">
      <c r="A3345" s="388"/>
      <c r="B3345" s="388"/>
    </row>
    <row r="3346" spans="1:2" x14ac:dyDescent="0.25">
      <c r="A3346" s="388"/>
      <c r="B3346" s="388"/>
    </row>
    <row r="3347" spans="1:2" x14ac:dyDescent="0.25">
      <c r="A3347" s="388"/>
      <c r="B3347" s="388"/>
    </row>
    <row r="3348" spans="1:2" x14ac:dyDescent="0.25">
      <c r="A3348" s="388"/>
      <c r="B3348" s="388"/>
    </row>
    <row r="3349" spans="1:2" x14ac:dyDescent="0.25">
      <c r="A3349" s="388"/>
      <c r="B3349" s="388"/>
    </row>
    <row r="3350" spans="1:2" x14ac:dyDescent="0.25">
      <c r="A3350" s="388"/>
      <c r="B3350" s="388"/>
    </row>
    <row r="3351" spans="1:2" x14ac:dyDescent="0.25">
      <c r="A3351" s="388"/>
      <c r="B3351" s="388"/>
    </row>
    <row r="3352" spans="1:2" x14ac:dyDescent="0.25">
      <c r="A3352" s="388"/>
      <c r="B3352" s="388"/>
    </row>
    <row r="3353" spans="1:2" x14ac:dyDescent="0.25">
      <c r="A3353" s="388"/>
      <c r="B3353" s="388"/>
    </row>
    <row r="3354" spans="1:2" x14ac:dyDescent="0.25">
      <c r="A3354" s="388"/>
      <c r="B3354" s="388"/>
    </row>
    <row r="3355" spans="1:2" x14ac:dyDescent="0.25">
      <c r="A3355" s="388"/>
      <c r="B3355" s="388"/>
    </row>
    <row r="3356" spans="1:2" x14ac:dyDescent="0.25">
      <c r="A3356" s="388"/>
      <c r="B3356" s="388"/>
    </row>
    <row r="3357" spans="1:2" x14ac:dyDescent="0.25">
      <c r="A3357" s="388"/>
      <c r="B3357" s="388"/>
    </row>
    <row r="3358" spans="1:2" x14ac:dyDescent="0.25">
      <c r="A3358" s="388"/>
      <c r="B3358" s="388"/>
    </row>
    <row r="3359" spans="1:2" x14ac:dyDescent="0.25">
      <c r="A3359" s="388"/>
      <c r="B3359" s="388"/>
    </row>
    <row r="3360" spans="1:2" x14ac:dyDescent="0.25">
      <c r="A3360" s="388"/>
      <c r="B3360" s="388"/>
    </row>
    <row r="3361" spans="1:2" x14ac:dyDescent="0.25">
      <c r="A3361" s="388"/>
      <c r="B3361" s="388"/>
    </row>
    <row r="3362" spans="1:2" x14ac:dyDescent="0.25">
      <c r="A3362" s="388"/>
      <c r="B3362" s="388"/>
    </row>
    <row r="3363" spans="1:2" x14ac:dyDescent="0.25">
      <c r="A3363" s="388"/>
      <c r="B3363" s="388"/>
    </row>
    <row r="3364" spans="1:2" x14ac:dyDescent="0.25">
      <c r="A3364" s="388"/>
      <c r="B3364" s="388"/>
    </row>
    <row r="3365" spans="1:2" x14ac:dyDescent="0.25">
      <c r="A3365" s="388"/>
      <c r="B3365" s="388"/>
    </row>
    <row r="3366" spans="1:2" x14ac:dyDescent="0.25">
      <c r="A3366" s="388"/>
      <c r="B3366" s="388"/>
    </row>
    <row r="3367" spans="1:2" x14ac:dyDescent="0.25">
      <c r="A3367" s="388"/>
      <c r="B3367" s="388"/>
    </row>
    <row r="3368" spans="1:2" x14ac:dyDescent="0.25">
      <c r="A3368" s="388"/>
      <c r="B3368" s="388"/>
    </row>
    <row r="3369" spans="1:2" x14ac:dyDescent="0.25">
      <c r="A3369" s="388"/>
      <c r="B3369" s="388"/>
    </row>
    <row r="3370" spans="1:2" x14ac:dyDescent="0.25">
      <c r="A3370" s="388"/>
      <c r="B3370" s="388"/>
    </row>
    <row r="3371" spans="1:2" x14ac:dyDescent="0.25">
      <c r="A3371" s="388"/>
      <c r="B3371" s="388"/>
    </row>
    <row r="3372" spans="1:2" x14ac:dyDescent="0.25">
      <c r="A3372" s="388"/>
      <c r="B3372" s="388"/>
    </row>
    <row r="3373" spans="1:2" x14ac:dyDescent="0.25">
      <c r="A3373" s="388"/>
      <c r="B3373" s="388"/>
    </row>
    <row r="3374" spans="1:2" x14ac:dyDescent="0.25">
      <c r="A3374" s="388"/>
      <c r="B3374" s="388"/>
    </row>
    <row r="3375" spans="1:2" x14ac:dyDescent="0.25">
      <c r="A3375" s="388"/>
      <c r="B3375" s="388"/>
    </row>
    <row r="3376" spans="1:2" x14ac:dyDescent="0.25">
      <c r="A3376" s="388"/>
      <c r="B3376" s="388"/>
    </row>
    <row r="3377" spans="1:2" x14ac:dyDescent="0.25">
      <c r="A3377" s="388"/>
      <c r="B3377" s="388"/>
    </row>
    <row r="3378" spans="1:2" x14ac:dyDescent="0.25">
      <c r="A3378" s="388"/>
      <c r="B3378" s="388"/>
    </row>
    <row r="3379" spans="1:2" x14ac:dyDescent="0.25">
      <c r="A3379" s="388"/>
      <c r="B3379" s="388"/>
    </row>
    <row r="3380" spans="1:2" x14ac:dyDescent="0.25">
      <c r="A3380" s="388"/>
      <c r="B3380" s="388"/>
    </row>
    <row r="3381" spans="1:2" x14ac:dyDescent="0.25">
      <c r="A3381" s="388"/>
      <c r="B3381" s="388"/>
    </row>
    <row r="3382" spans="1:2" x14ac:dyDescent="0.25">
      <c r="A3382" s="388"/>
      <c r="B3382" s="388"/>
    </row>
    <row r="3383" spans="1:2" x14ac:dyDescent="0.25">
      <c r="A3383" s="388"/>
      <c r="B3383" s="388"/>
    </row>
    <row r="3384" spans="1:2" x14ac:dyDescent="0.25">
      <c r="A3384" s="388"/>
      <c r="B3384" s="388"/>
    </row>
    <row r="3385" spans="1:2" x14ac:dyDescent="0.25">
      <c r="A3385" s="388"/>
      <c r="B3385" s="388"/>
    </row>
    <row r="3386" spans="1:2" x14ac:dyDescent="0.25">
      <c r="A3386" s="388"/>
      <c r="B3386" s="388"/>
    </row>
    <row r="3387" spans="1:2" x14ac:dyDescent="0.25">
      <c r="A3387" s="388"/>
      <c r="B3387" s="388"/>
    </row>
    <row r="3388" spans="1:2" x14ac:dyDescent="0.25">
      <c r="A3388" s="388"/>
      <c r="B3388" s="388"/>
    </row>
    <row r="3389" spans="1:2" x14ac:dyDescent="0.25">
      <c r="A3389" s="388"/>
      <c r="B3389" s="388"/>
    </row>
    <row r="3390" spans="1:2" x14ac:dyDescent="0.25">
      <c r="A3390" s="388"/>
      <c r="B3390" s="388"/>
    </row>
    <row r="3391" spans="1:2" x14ac:dyDescent="0.25">
      <c r="A3391" s="388"/>
      <c r="B3391" s="388"/>
    </row>
    <row r="3392" spans="1:2" x14ac:dyDescent="0.25">
      <c r="A3392" s="388"/>
      <c r="B3392" s="388"/>
    </row>
    <row r="3393" spans="1:2" x14ac:dyDescent="0.25">
      <c r="A3393" s="388"/>
      <c r="B3393" s="388"/>
    </row>
    <row r="3394" spans="1:2" x14ac:dyDescent="0.25">
      <c r="A3394" s="388"/>
      <c r="B3394" s="388"/>
    </row>
    <row r="3395" spans="1:2" x14ac:dyDescent="0.25">
      <c r="A3395" s="388"/>
      <c r="B3395" s="388"/>
    </row>
    <row r="3396" spans="1:2" x14ac:dyDescent="0.25">
      <c r="A3396" s="388"/>
      <c r="B3396" s="388"/>
    </row>
    <row r="3397" spans="1:2" x14ac:dyDescent="0.25">
      <c r="A3397" s="388"/>
      <c r="B3397" s="388"/>
    </row>
    <row r="3398" spans="1:2" x14ac:dyDescent="0.25">
      <c r="A3398" s="388"/>
      <c r="B3398" s="388"/>
    </row>
    <row r="3399" spans="1:2" x14ac:dyDescent="0.25">
      <c r="A3399" s="388"/>
      <c r="B3399" s="388"/>
    </row>
    <row r="3400" spans="1:2" x14ac:dyDescent="0.25">
      <c r="A3400" s="388"/>
      <c r="B3400" s="388"/>
    </row>
    <row r="3401" spans="1:2" x14ac:dyDescent="0.25">
      <c r="A3401" s="388"/>
      <c r="B3401" s="388"/>
    </row>
    <row r="3402" spans="1:2" x14ac:dyDescent="0.25">
      <c r="A3402" s="388"/>
      <c r="B3402" s="388"/>
    </row>
    <row r="3403" spans="1:2" x14ac:dyDescent="0.25">
      <c r="A3403" s="388"/>
      <c r="B3403" s="388"/>
    </row>
    <row r="3404" spans="1:2" x14ac:dyDescent="0.25">
      <c r="A3404" s="388"/>
      <c r="B3404" s="388"/>
    </row>
    <row r="3405" spans="1:2" x14ac:dyDescent="0.25">
      <c r="A3405" s="388"/>
      <c r="B3405" s="388"/>
    </row>
    <row r="3406" spans="1:2" x14ac:dyDescent="0.25">
      <c r="A3406" s="388"/>
      <c r="B3406" s="388"/>
    </row>
    <row r="3407" spans="1:2" x14ac:dyDescent="0.25">
      <c r="A3407" s="388"/>
      <c r="B3407" s="388"/>
    </row>
    <row r="3408" spans="1:2" x14ac:dyDescent="0.25">
      <c r="A3408" s="388"/>
      <c r="B3408" s="388"/>
    </row>
    <row r="3409" spans="1:2" x14ac:dyDescent="0.25">
      <c r="A3409" s="388"/>
      <c r="B3409" s="388"/>
    </row>
    <row r="3410" spans="1:2" x14ac:dyDescent="0.25">
      <c r="A3410" s="388"/>
      <c r="B3410" s="388"/>
    </row>
    <row r="3411" spans="1:2" x14ac:dyDescent="0.25">
      <c r="A3411" s="388"/>
      <c r="B3411" s="388"/>
    </row>
    <row r="3412" spans="1:2" x14ac:dyDescent="0.25">
      <c r="A3412" s="388"/>
      <c r="B3412" s="388"/>
    </row>
    <row r="3413" spans="1:2" x14ac:dyDescent="0.25">
      <c r="A3413" s="388"/>
      <c r="B3413" s="388"/>
    </row>
    <row r="3414" spans="1:2" x14ac:dyDescent="0.25">
      <c r="A3414" s="388"/>
      <c r="B3414" s="388"/>
    </row>
    <row r="3415" spans="1:2" x14ac:dyDescent="0.25">
      <c r="A3415" s="388"/>
      <c r="B3415" s="388"/>
    </row>
    <row r="3416" spans="1:2" x14ac:dyDescent="0.25">
      <c r="A3416" s="388"/>
      <c r="B3416" s="388"/>
    </row>
    <row r="3417" spans="1:2" x14ac:dyDescent="0.25">
      <c r="A3417" s="388"/>
      <c r="B3417" s="388"/>
    </row>
    <row r="3418" spans="1:2" x14ac:dyDescent="0.25">
      <c r="A3418" s="388"/>
      <c r="B3418" s="388"/>
    </row>
    <row r="3419" spans="1:2" x14ac:dyDescent="0.25">
      <c r="A3419" s="388"/>
      <c r="B3419" s="388"/>
    </row>
    <row r="3420" spans="1:2" x14ac:dyDescent="0.25">
      <c r="A3420" s="388"/>
      <c r="B3420" s="388"/>
    </row>
    <row r="3421" spans="1:2" x14ac:dyDescent="0.25">
      <c r="A3421" s="388"/>
      <c r="B3421" s="388"/>
    </row>
    <row r="3422" spans="1:2" x14ac:dyDescent="0.25">
      <c r="A3422" s="388"/>
      <c r="B3422" s="388"/>
    </row>
    <row r="3423" spans="1:2" x14ac:dyDescent="0.25">
      <c r="A3423" s="388"/>
      <c r="B3423" s="388"/>
    </row>
    <row r="3424" spans="1:2" x14ac:dyDescent="0.25">
      <c r="A3424" s="388"/>
      <c r="B3424" s="388"/>
    </row>
    <row r="3425" spans="1:2" x14ac:dyDescent="0.25">
      <c r="A3425" s="388"/>
      <c r="B3425" s="388"/>
    </row>
    <row r="3426" spans="1:2" x14ac:dyDescent="0.25">
      <c r="A3426" s="388"/>
      <c r="B3426" s="388"/>
    </row>
    <row r="3427" spans="1:2" x14ac:dyDescent="0.25">
      <c r="A3427" s="388"/>
      <c r="B3427" s="388"/>
    </row>
    <row r="3428" spans="1:2" x14ac:dyDescent="0.25">
      <c r="A3428" s="388"/>
      <c r="B3428" s="388"/>
    </row>
    <row r="3429" spans="1:2" x14ac:dyDescent="0.25">
      <c r="A3429" s="388"/>
      <c r="B3429" s="388"/>
    </row>
    <row r="3430" spans="1:2" x14ac:dyDescent="0.25">
      <c r="A3430" s="388"/>
      <c r="B3430" s="388"/>
    </row>
    <row r="3431" spans="1:2" x14ac:dyDescent="0.25">
      <c r="A3431" s="388"/>
      <c r="B3431" s="388"/>
    </row>
    <row r="3432" spans="1:2" x14ac:dyDescent="0.25">
      <c r="A3432" s="388"/>
      <c r="B3432" s="388"/>
    </row>
    <row r="3433" spans="1:2" x14ac:dyDescent="0.25">
      <c r="A3433" s="388"/>
      <c r="B3433" s="388"/>
    </row>
    <row r="3434" spans="1:2" x14ac:dyDescent="0.25">
      <c r="A3434" s="388"/>
      <c r="B3434" s="388"/>
    </row>
    <row r="3435" spans="1:2" x14ac:dyDescent="0.25">
      <c r="A3435" s="388"/>
      <c r="B3435" s="388"/>
    </row>
    <row r="3436" spans="1:2" x14ac:dyDescent="0.25">
      <c r="A3436" s="388"/>
      <c r="B3436" s="388"/>
    </row>
    <row r="3437" spans="1:2" x14ac:dyDescent="0.25">
      <c r="A3437" s="388"/>
      <c r="B3437" s="388"/>
    </row>
    <row r="3438" spans="1:2" x14ac:dyDescent="0.25">
      <c r="A3438" s="388"/>
      <c r="B3438" s="388"/>
    </row>
    <row r="3439" spans="1:2" x14ac:dyDescent="0.25">
      <c r="A3439" s="388"/>
      <c r="B3439" s="388"/>
    </row>
    <row r="3440" spans="1:2" x14ac:dyDescent="0.25">
      <c r="A3440" s="388"/>
      <c r="B3440" s="388"/>
    </row>
    <row r="3441" spans="1:2" x14ac:dyDescent="0.25">
      <c r="A3441" s="388"/>
      <c r="B3441" s="388"/>
    </row>
    <row r="3442" spans="1:2" x14ac:dyDescent="0.25">
      <c r="A3442" s="388"/>
      <c r="B3442" s="388"/>
    </row>
    <row r="3443" spans="1:2" x14ac:dyDescent="0.25">
      <c r="A3443" s="388"/>
      <c r="B3443" s="388"/>
    </row>
    <row r="3444" spans="1:2" x14ac:dyDescent="0.25">
      <c r="A3444" s="388"/>
      <c r="B3444" s="388"/>
    </row>
    <row r="3445" spans="1:2" x14ac:dyDescent="0.25">
      <c r="A3445" s="388"/>
      <c r="B3445" s="388"/>
    </row>
    <row r="3446" spans="1:2" x14ac:dyDescent="0.25">
      <c r="A3446" s="388"/>
      <c r="B3446" s="388"/>
    </row>
    <row r="3447" spans="1:2" x14ac:dyDescent="0.25">
      <c r="A3447" s="388"/>
      <c r="B3447" s="388"/>
    </row>
    <row r="3448" spans="1:2" x14ac:dyDescent="0.25">
      <c r="A3448" s="388"/>
      <c r="B3448" s="388"/>
    </row>
    <row r="3449" spans="1:2" x14ac:dyDescent="0.25">
      <c r="A3449" s="388"/>
      <c r="B3449" s="388"/>
    </row>
    <row r="3450" spans="1:2" x14ac:dyDescent="0.25">
      <c r="A3450" s="388"/>
      <c r="B3450" s="388"/>
    </row>
    <row r="3451" spans="1:2" x14ac:dyDescent="0.25">
      <c r="A3451" s="388"/>
      <c r="B3451" s="388"/>
    </row>
    <row r="3452" spans="1:2" x14ac:dyDescent="0.25">
      <c r="A3452" s="388"/>
      <c r="B3452" s="388"/>
    </row>
    <row r="3453" spans="1:2" x14ac:dyDescent="0.25">
      <c r="A3453" s="388"/>
      <c r="B3453" s="388"/>
    </row>
    <row r="3454" spans="1:2" x14ac:dyDescent="0.25">
      <c r="A3454" s="388"/>
      <c r="B3454" s="388"/>
    </row>
    <row r="3455" spans="1:2" x14ac:dyDescent="0.25">
      <c r="A3455" s="388"/>
      <c r="B3455" s="388"/>
    </row>
    <row r="3456" spans="1:2" x14ac:dyDescent="0.25">
      <c r="A3456" s="388"/>
      <c r="B3456" s="388"/>
    </row>
    <row r="3457" spans="1:2" x14ac:dyDescent="0.25">
      <c r="A3457" s="388"/>
      <c r="B3457" s="388"/>
    </row>
    <row r="3458" spans="1:2" x14ac:dyDescent="0.25">
      <c r="A3458" s="388"/>
      <c r="B3458" s="388"/>
    </row>
    <row r="3459" spans="1:2" x14ac:dyDescent="0.25">
      <c r="A3459" s="388"/>
      <c r="B3459" s="388"/>
    </row>
    <row r="3460" spans="1:2" x14ac:dyDescent="0.25">
      <c r="A3460" s="388"/>
      <c r="B3460" s="388"/>
    </row>
    <row r="3461" spans="1:2" x14ac:dyDescent="0.25">
      <c r="A3461" s="388"/>
      <c r="B3461" s="388"/>
    </row>
    <row r="3462" spans="1:2" x14ac:dyDescent="0.25">
      <c r="A3462" s="388"/>
      <c r="B3462" s="388"/>
    </row>
    <row r="3463" spans="1:2" x14ac:dyDescent="0.25">
      <c r="A3463" s="388"/>
      <c r="B3463" s="388"/>
    </row>
    <row r="3464" spans="1:2" x14ac:dyDescent="0.25">
      <c r="A3464" s="388"/>
      <c r="B3464" s="388"/>
    </row>
    <row r="3465" spans="1:2" x14ac:dyDescent="0.25">
      <c r="A3465" s="388"/>
      <c r="B3465" s="388"/>
    </row>
    <row r="3466" spans="1:2" x14ac:dyDescent="0.25">
      <c r="A3466" s="388"/>
      <c r="B3466" s="388"/>
    </row>
    <row r="3467" spans="1:2" x14ac:dyDescent="0.25">
      <c r="A3467" s="388"/>
      <c r="B3467" s="388"/>
    </row>
    <row r="3468" spans="1:2" x14ac:dyDescent="0.25">
      <c r="A3468" s="388"/>
      <c r="B3468" s="388"/>
    </row>
    <row r="3469" spans="1:2" x14ac:dyDescent="0.25">
      <c r="A3469" s="388"/>
      <c r="B3469" s="388"/>
    </row>
    <row r="3470" spans="1:2" x14ac:dyDescent="0.25">
      <c r="A3470" s="388"/>
      <c r="B3470" s="388"/>
    </row>
    <row r="3471" spans="1:2" x14ac:dyDescent="0.25">
      <c r="A3471" s="388"/>
      <c r="B3471" s="388"/>
    </row>
    <row r="3472" spans="1:2" x14ac:dyDescent="0.25">
      <c r="A3472" s="388"/>
      <c r="B3472" s="388"/>
    </row>
    <row r="3473" spans="1:2" x14ac:dyDescent="0.25">
      <c r="A3473" s="388"/>
      <c r="B3473" s="388"/>
    </row>
    <row r="3474" spans="1:2" x14ac:dyDescent="0.25">
      <c r="A3474" s="388"/>
      <c r="B3474" s="388"/>
    </row>
    <row r="3475" spans="1:2" x14ac:dyDescent="0.25">
      <c r="A3475" s="388"/>
      <c r="B3475" s="388"/>
    </row>
    <row r="3476" spans="1:2" x14ac:dyDescent="0.25">
      <c r="A3476" s="388"/>
      <c r="B3476" s="388"/>
    </row>
    <row r="3477" spans="1:2" x14ac:dyDescent="0.25">
      <c r="A3477" s="388"/>
      <c r="B3477" s="388"/>
    </row>
    <row r="3478" spans="1:2" x14ac:dyDescent="0.25">
      <c r="A3478" s="388"/>
      <c r="B3478" s="388"/>
    </row>
    <row r="3479" spans="1:2" x14ac:dyDescent="0.25">
      <c r="A3479" s="388"/>
      <c r="B3479" s="388"/>
    </row>
    <row r="3480" spans="1:2" x14ac:dyDescent="0.25">
      <c r="A3480" s="388"/>
      <c r="B3480" s="388"/>
    </row>
    <row r="3481" spans="1:2" x14ac:dyDescent="0.25">
      <c r="A3481" s="388"/>
      <c r="B3481" s="388"/>
    </row>
    <row r="3482" spans="1:2" x14ac:dyDescent="0.25">
      <c r="A3482" s="388"/>
      <c r="B3482" s="388"/>
    </row>
    <row r="3483" spans="1:2" x14ac:dyDescent="0.25">
      <c r="A3483" s="388"/>
      <c r="B3483" s="388"/>
    </row>
    <row r="3484" spans="1:2" x14ac:dyDescent="0.25">
      <c r="A3484" s="388"/>
      <c r="B3484" s="388"/>
    </row>
    <row r="3485" spans="1:2" x14ac:dyDescent="0.25">
      <c r="A3485" s="388"/>
      <c r="B3485" s="388"/>
    </row>
    <row r="3486" spans="1:2" x14ac:dyDescent="0.25">
      <c r="A3486" s="388"/>
      <c r="B3486" s="388"/>
    </row>
    <row r="3487" spans="1:2" x14ac:dyDescent="0.25">
      <c r="A3487" s="388"/>
      <c r="B3487" s="388"/>
    </row>
    <row r="3488" spans="1:2" x14ac:dyDescent="0.25">
      <c r="A3488" s="388"/>
      <c r="B3488" s="388"/>
    </row>
    <row r="3489" spans="1:2" x14ac:dyDescent="0.25">
      <c r="A3489" s="388"/>
      <c r="B3489" s="388"/>
    </row>
    <row r="3490" spans="1:2" x14ac:dyDescent="0.25">
      <c r="A3490" s="388"/>
      <c r="B3490" s="388"/>
    </row>
    <row r="3491" spans="1:2" x14ac:dyDescent="0.25">
      <c r="A3491" s="388"/>
      <c r="B3491" s="388"/>
    </row>
    <row r="3492" spans="1:2" x14ac:dyDescent="0.25">
      <c r="A3492" s="388"/>
      <c r="B3492" s="388"/>
    </row>
    <row r="3493" spans="1:2" x14ac:dyDescent="0.25">
      <c r="A3493" s="388"/>
      <c r="B3493" s="388"/>
    </row>
    <row r="3494" spans="1:2" x14ac:dyDescent="0.25">
      <c r="A3494" s="388"/>
      <c r="B3494" s="388"/>
    </row>
    <row r="3495" spans="1:2" x14ac:dyDescent="0.25">
      <c r="A3495" s="388"/>
      <c r="B3495" s="388"/>
    </row>
    <row r="3496" spans="1:2" x14ac:dyDescent="0.25">
      <c r="A3496" s="388"/>
      <c r="B3496" s="388"/>
    </row>
    <row r="3497" spans="1:2" x14ac:dyDescent="0.25">
      <c r="A3497" s="388"/>
      <c r="B3497" s="388"/>
    </row>
    <row r="3498" spans="1:2" x14ac:dyDescent="0.25">
      <c r="A3498" s="388"/>
      <c r="B3498" s="388"/>
    </row>
    <row r="3499" spans="1:2" x14ac:dyDescent="0.25">
      <c r="A3499" s="388"/>
      <c r="B3499" s="388"/>
    </row>
    <row r="3500" spans="1:2" x14ac:dyDescent="0.25">
      <c r="A3500" s="388"/>
      <c r="B3500" s="388"/>
    </row>
    <row r="3501" spans="1:2" x14ac:dyDescent="0.25">
      <c r="A3501" s="388"/>
      <c r="B3501" s="388"/>
    </row>
    <row r="3502" spans="1:2" x14ac:dyDescent="0.25">
      <c r="A3502" s="388"/>
      <c r="B3502" s="388"/>
    </row>
    <row r="3503" spans="1:2" x14ac:dyDescent="0.25">
      <c r="A3503" s="388"/>
      <c r="B3503" s="388"/>
    </row>
    <row r="3504" spans="1:2" x14ac:dyDescent="0.25">
      <c r="A3504" s="388"/>
      <c r="B3504" s="388"/>
    </row>
    <row r="3505" spans="1:2" x14ac:dyDescent="0.25">
      <c r="A3505" s="388"/>
      <c r="B3505" s="388"/>
    </row>
    <row r="3506" spans="1:2" x14ac:dyDescent="0.25">
      <c r="A3506" s="388"/>
      <c r="B3506" s="388"/>
    </row>
    <row r="3507" spans="1:2" x14ac:dyDescent="0.25">
      <c r="A3507" s="388"/>
      <c r="B3507" s="388"/>
    </row>
    <row r="3508" spans="1:2" x14ac:dyDescent="0.25">
      <c r="A3508" s="388"/>
      <c r="B3508" s="388"/>
    </row>
    <row r="3509" spans="1:2" x14ac:dyDescent="0.25">
      <c r="A3509" s="388"/>
      <c r="B3509" s="388"/>
    </row>
    <row r="3510" spans="1:2" x14ac:dyDescent="0.25">
      <c r="A3510" s="388"/>
      <c r="B3510" s="388"/>
    </row>
    <row r="3511" spans="1:2" x14ac:dyDescent="0.25">
      <c r="A3511" s="388"/>
      <c r="B3511" s="388"/>
    </row>
    <row r="3512" spans="1:2" x14ac:dyDescent="0.25">
      <c r="A3512" s="388"/>
      <c r="B3512" s="388"/>
    </row>
    <row r="3513" spans="1:2" x14ac:dyDescent="0.25">
      <c r="A3513" s="388"/>
      <c r="B3513" s="388"/>
    </row>
    <row r="3514" spans="1:2" x14ac:dyDescent="0.25">
      <c r="A3514" s="388"/>
      <c r="B3514" s="388"/>
    </row>
    <row r="3515" spans="1:2" x14ac:dyDescent="0.25">
      <c r="A3515" s="388"/>
      <c r="B3515" s="388"/>
    </row>
    <row r="3516" spans="1:2" x14ac:dyDescent="0.25">
      <c r="A3516" s="388"/>
      <c r="B3516" s="388"/>
    </row>
    <row r="3517" spans="1:2" x14ac:dyDescent="0.25">
      <c r="A3517" s="388"/>
      <c r="B3517" s="388"/>
    </row>
    <row r="3518" spans="1:2" x14ac:dyDescent="0.25">
      <c r="A3518" s="388"/>
      <c r="B3518" s="388"/>
    </row>
    <row r="3519" spans="1:2" x14ac:dyDescent="0.25">
      <c r="A3519" s="388"/>
      <c r="B3519" s="388"/>
    </row>
    <row r="3520" spans="1:2" x14ac:dyDescent="0.25">
      <c r="A3520" s="388"/>
      <c r="B3520" s="388"/>
    </row>
    <row r="3521" spans="1:2" x14ac:dyDescent="0.25">
      <c r="A3521" s="388"/>
      <c r="B3521" s="388"/>
    </row>
    <row r="3522" spans="1:2" x14ac:dyDescent="0.25">
      <c r="A3522" s="388"/>
      <c r="B3522" s="388"/>
    </row>
    <row r="3523" spans="1:2" x14ac:dyDescent="0.25">
      <c r="A3523" s="388"/>
      <c r="B3523" s="388"/>
    </row>
    <row r="3524" spans="1:2" x14ac:dyDescent="0.25">
      <c r="A3524" s="388"/>
      <c r="B3524" s="388"/>
    </row>
    <row r="3525" spans="1:2" x14ac:dyDescent="0.25">
      <c r="A3525" s="388"/>
      <c r="B3525" s="388"/>
    </row>
    <row r="3526" spans="1:2" x14ac:dyDescent="0.25">
      <c r="A3526" s="388"/>
      <c r="B3526" s="388"/>
    </row>
    <row r="3527" spans="1:2" x14ac:dyDescent="0.25">
      <c r="A3527" s="388"/>
      <c r="B3527" s="388"/>
    </row>
    <row r="3528" spans="1:2" x14ac:dyDescent="0.25">
      <c r="A3528" s="388"/>
      <c r="B3528" s="388"/>
    </row>
    <row r="3529" spans="1:2" x14ac:dyDescent="0.25">
      <c r="A3529" s="388"/>
      <c r="B3529" s="388"/>
    </row>
    <row r="3530" spans="1:2" x14ac:dyDescent="0.25">
      <c r="A3530" s="388"/>
      <c r="B3530" s="388"/>
    </row>
    <row r="3531" spans="1:2" x14ac:dyDescent="0.25">
      <c r="A3531" s="388"/>
      <c r="B3531" s="388"/>
    </row>
    <row r="3532" spans="1:2" x14ac:dyDescent="0.25">
      <c r="A3532" s="388"/>
      <c r="B3532" s="388"/>
    </row>
    <row r="3533" spans="1:2" x14ac:dyDescent="0.25">
      <c r="A3533" s="388"/>
      <c r="B3533" s="388"/>
    </row>
    <row r="3534" spans="1:2" x14ac:dyDescent="0.25">
      <c r="A3534" s="388"/>
      <c r="B3534" s="388"/>
    </row>
    <row r="3535" spans="1:2" x14ac:dyDescent="0.25">
      <c r="A3535" s="388"/>
      <c r="B3535" s="388"/>
    </row>
    <row r="3536" spans="1:2" x14ac:dyDescent="0.25">
      <c r="A3536" s="388"/>
      <c r="B3536" s="388"/>
    </row>
    <row r="3537" spans="1:2" x14ac:dyDescent="0.25">
      <c r="A3537" s="388"/>
      <c r="B3537" s="388"/>
    </row>
    <row r="3538" spans="1:2" x14ac:dyDescent="0.25">
      <c r="A3538" s="388"/>
      <c r="B3538" s="388"/>
    </row>
    <row r="3539" spans="1:2" x14ac:dyDescent="0.25">
      <c r="A3539" s="388"/>
      <c r="B3539" s="388"/>
    </row>
    <row r="3540" spans="1:2" x14ac:dyDescent="0.25">
      <c r="A3540" s="388"/>
      <c r="B3540" s="388"/>
    </row>
    <row r="3541" spans="1:2" x14ac:dyDescent="0.25">
      <c r="A3541" s="388"/>
      <c r="B3541" s="388"/>
    </row>
    <row r="3542" spans="1:2" x14ac:dyDescent="0.25">
      <c r="A3542" s="388"/>
      <c r="B3542" s="388"/>
    </row>
    <row r="3543" spans="1:2" x14ac:dyDescent="0.25">
      <c r="A3543" s="388"/>
      <c r="B3543" s="388"/>
    </row>
    <row r="3544" spans="1:2" x14ac:dyDescent="0.25">
      <c r="A3544" s="388"/>
      <c r="B3544" s="388"/>
    </row>
    <row r="3545" spans="1:2" x14ac:dyDescent="0.25">
      <c r="A3545" s="388"/>
      <c r="B3545" s="388"/>
    </row>
    <row r="3546" spans="1:2" x14ac:dyDescent="0.25">
      <c r="A3546" s="388"/>
      <c r="B3546" s="388"/>
    </row>
    <row r="3547" spans="1:2" x14ac:dyDescent="0.25">
      <c r="A3547" s="388"/>
      <c r="B3547" s="388"/>
    </row>
    <row r="3548" spans="1:2" x14ac:dyDescent="0.25">
      <c r="A3548" s="388"/>
      <c r="B3548" s="388"/>
    </row>
    <row r="3549" spans="1:2" x14ac:dyDescent="0.25">
      <c r="A3549" s="388"/>
      <c r="B3549" s="388"/>
    </row>
    <row r="3550" spans="1:2" x14ac:dyDescent="0.25">
      <c r="A3550" s="388"/>
      <c r="B3550" s="388"/>
    </row>
    <row r="3551" spans="1:2" x14ac:dyDescent="0.25">
      <c r="A3551" s="388"/>
      <c r="B3551" s="388"/>
    </row>
    <row r="3552" spans="1:2" x14ac:dyDescent="0.25">
      <c r="A3552" s="388"/>
      <c r="B3552" s="388"/>
    </row>
    <row r="3553" spans="1:2" x14ac:dyDescent="0.25">
      <c r="A3553" s="388"/>
      <c r="B3553" s="388"/>
    </row>
    <row r="3554" spans="1:2" x14ac:dyDescent="0.25">
      <c r="A3554" s="388"/>
      <c r="B3554" s="388"/>
    </row>
    <row r="3555" spans="1:2" x14ac:dyDescent="0.25">
      <c r="A3555" s="388"/>
      <c r="B3555" s="388"/>
    </row>
    <row r="3556" spans="1:2" x14ac:dyDescent="0.25">
      <c r="A3556" s="388"/>
      <c r="B3556" s="388"/>
    </row>
    <row r="3557" spans="1:2" x14ac:dyDescent="0.25">
      <c r="A3557" s="388"/>
      <c r="B3557" s="388"/>
    </row>
    <row r="3558" spans="1:2" x14ac:dyDescent="0.25">
      <c r="A3558" s="388"/>
      <c r="B3558" s="388"/>
    </row>
    <row r="3559" spans="1:2" x14ac:dyDescent="0.25">
      <c r="A3559" s="388"/>
      <c r="B3559" s="388"/>
    </row>
    <row r="3560" spans="1:2" x14ac:dyDescent="0.25">
      <c r="A3560" s="388"/>
      <c r="B3560" s="388"/>
    </row>
    <row r="3561" spans="1:2" x14ac:dyDescent="0.25">
      <c r="A3561" s="388"/>
      <c r="B3561" s="388"/>
    </row>
    <row r="3562" spans="1:2" x14ac:dyDescent="0.25">
      <c r="A3562" s="388"/>
      <c r="B3562" s="388"/>
    </row>
    <row r="3563" spans="1:2" x14ac:dyDescent="0.25">
      <c r="A3563" s="388"/>
      <c r="B3563" s="388"/>
    </row>
    <row r="3564" spans="1:2" x14ac:dyDescent="0.25">
      <c r="A3564" s="388"/>
      <c r="B3564" s="388"/>
    </row>
    <row r="3565" spans="1:2" x14ac:dyDescent="0.25">
      <c r="A3565" s="388"/>
      <c r="B3565" s="388"/>
    </row>
    <row r="3566" spans="1:2" x14ac:dyDescent="0.25">
      <c r="A3566" s="388"/>
      <c r="B3566" s="388"/>
    </row>
    <row r="3567" spans="1:2" x14ac:dyDescent="0.25">
      <c r="A3567" s="388"/>
      <c r="B3567" s="388"/>
    </row>
    <row r="3568" spans="1:2" x14ac:dyDescent="0.25">
      <c r="A3568" s="388"/>
      <c r="B3568" s="388"/>
    </row>
    <row r="3569" spans="1:2" x14ac:dyDescent="0.25">
      <c r="A3569" s="388"/>
      <c r="B3569" s="388"/>
    </row>
    <row r="3570" spans="1:2" x14ac:dyDescent="0.25">
      <c r="A3570" s="388"/>
      <c r="B3570" s="388"/>
    </row>
    <row r="3571" spans="1:2" x14ac:dyDescent="0.25">
      <c r="A3571" s="388"/>
      <c r="B3571" s="388"/>
    </row>
    <row r="3572" spans="1:2" x14ac:dyDescent="0.25">
      <c r="A3572" s="388"/>
      <c r="B3572" s="388"/>
    </row>
    <row r="3573" spans="1:2" x14ac:dyDescent="0.25">
      <c r="A3573" s="388"/>
      <c r="B3573" s="388"/>
    </row>
    <row r="3574" spans="1:2" x14ac:dyDescent="0.25">
      <c r="A3574" s="388"/>
      <c r="B3574" s="388"/>
    </row>
    <row r="3575" spans="1:2" x14ac:dyDescent="0.25">
      <c r="A3575" s="388"/>
      <c r="B3575" s="388"/>
    </row>
    <row r="3576" spans="1:2" x14ac:dyDescent="0.25">
      <c r="A3576" s="388"/>
      <c r="B3576" s="388"/>
    </row>
    <row r="3577" spans="1:2" x14ac:dyDescent="0.25">
      <c r="A3577" s="388"/>
      <c r="B3577" s="388"/>
    </row>
    <row r="3578" spans="1:2" x14ac:dyDescent="0.25">
      <c r="A3578" s="388"/>
      <c r="B3578" s="388"/>
    </row>
    <row r="3579" spans="1:2" x14ac:dyDescent="0.25">
      <c r="A3579" s="388"/>
      <c r="B3579" s="388"/>
    </row>
    <row r="3580" spans="1:2" x14ac:dyDescent="0.25">
      <c r="A3580" s="388"/>
      <c r="B3580" s="388"/>
    </row>
    <row r="3581" spans="1:2" x14ac:dyDescent="0.25">
      <c r="A3581" s="388"/>
      <c r="B3581" s="388"/>
    </row>
    <row r="3582" spans="1:2" x14ac:dyDescent="0.25">
      <c r="A3582" s="388"/>
      <c r="B3582" s="388"/>
    </row>
    <row r="3583" spans="1:2" x14ac:dyDescent="0.25">
      <c r="A3583" s="388"/>
      <c r="B3583" s="388"/>
    </row>
    <row r="3584" spans="1:2" x14ac:dyDescent="0.25">
      <c r="A3584" s="388"/>
      <c r="B3584" s="388"/>
    </row>
    <row r="3585" spans="1:2" x14ac:dyDescent="0.25">
      <c r="A3585" s="388"/>
      <c r="B3585" s="388"/>
    </row>
    <row r="3586" spans="1:2" x14ac:dyDescent="0.25">
      <c r="A3586" s="388"/>
      <c r="B3586" s="388"/>
    </row>
    <row r="3587" spans="1:2" x14ac:dyDescent="0.25">
      <c r="A3587" s="388"/>
      <c r="B3587" s="388"/>
    </row>
    <row r="3588" spans="1:2" x14ac:dyDescent="0.25">
      <c r="A3588" s="388"/>
      <c r="B3588" s="388"/>
    </row>
    <row r="3589" spans="1:2" x14ac:dyDescent="0.25">
      <c r="A3589" s="388"/>
      <c r="B3589" s="388"/>
    </row>
    <row r="3590" spans="1:2" x14ac:dyDescent="0.25">
      <c r="A3590" s="388"/>
      <c r="B3590" s="388"/>
    </row>
    <row r="3591" spans="1:2" x14ac:dyDescent="0.25">
      <c r="A3591" s="388"/>
      <c r="B3591" s="388"/>
    </row>
    <row r="3592" spans="1:2" x14ac:dyDescent="0.25">
      <c r="A3592" s="388"/>
      <c r="B3592" s="388"/>
    </row>
    <row r="3593" spans="1:2" x14ac:dyDescent="0.25">
      <c r="A3593" s="388"/>
      <c r="B3593" s="388"/>
    </row>
    <row r="3594" spans="1:2" x14ac:dyDescent="0.25">
      <c r="A3594" s="388"/>
      <c r="B3594" s="388"/>
    </row>
    <row r="3595" spans="1:2" x14ac:dyDescent="0.25">
      <c r="A3595" s="388"/>
      <c r="B3595" s="388"/>
    </row>
    <row r="3596" spans="1:2" x14ac:dyDescent="0.25">
      <c r="A3596" s="388"/>
      <c r="B3596" s="388"/>
    </row>
    <row r="3597" spans="1:2" x14ac:dyDescent="0.25">
      <c r="A3597" s="388"/>
      <c r="B3597" s="388"/>
    </row>
    <row r="3598" spans="1:2" x14ac:dyDescent="0.25">
      <c r="A3598" s="388"/>
      <c r="B3598" s="388"/>
    </row>
    <row r="3599" spans="1:2" x14ac:dyDescent="0.25">
      <c r="A3599" s="388"/>
      <c r="B3599" s="388"/>
    </row>
    <row r="3600" spans="1:2" x14ac:dyDescent="0.25">
      <c r="A3600" s="388"/>
      <c r="B3600" s="388"/>
    </row>
    <row r="3601" spans="1:2" x14ac:dyDescent="0.25">
      <c r="A3601" s="388"/>
      <c r="B3601" s="388"/>
    </row>
    <row r="3602" spans="1:2" x14ac:dyDescent="0.25">
      <c r="A3602" s="388"/>
      <c r="B3602" s="388"/>
    </row>
    <row r="3603" spans="1:2" x14ac:dyDescent="0.25">
      <c r="A3603" s="388"/>
      <c r="B3603" s="388"/>
    </row>
    <row r="3604" spans="1:2" x14ac:dyDescent="0.25">
      <c r="A3604" s="388"/>
      <c r="B3604" s="388"/>
    </row>
    <row r="3605" spans="1:2" x14ac:dyDescent="0.25">
      <c r="A3605" s="388"/>
      <c r="B3605" s="388"/>
    </row>
    <row r="3606" spans="1:2" x14ac:dyDescent="0.25">
      <c r="A3606" s="388"/>
      <c r="B3606" s="388"/>
    </row>
    <row r="3607" spans="1:2" x14ac:dyDescent="0.25">
      <c r="A3607" s="388"/>
      <c r="B3607" s="388"/>
    </row>
    <row r="3608" spans="1:2" x14ac:dyDescent="0.25">
      <c r="A3608" s="388"/>
      <c r="B3608" s="388"/>
    </row>
    <row r="3609" spans="1:2" x14ac:dyDescent="0.25">
      <c r="A3609" s="388"/>
      <c r="B3609" s="388"/>
    </row>
    <row r="3610" spans="1:2" x14ac:dyDescent="0.25">
      <c r="A3610" s="388"/>
      <c r="B3610" s="388"/>
    </row>
    <row r="3611" spans="1:2" x14ac:dyDescent="0.25">
      <c r="A3611" s="388"/>
      <c r="B3611" s="388"/>
    </row>
    <row r="3612" spans="1:2" x14ac:dyDescent="0.25">
      <c r="A3612" s="388"/>
      <c r="B3612" s="388"/>
    </row>
    <row r="3613" spans="1:2" x14ac:dyDescent="0.25">
      <c r="A3613" s="388"/>
      <c r="B3613" s="388"/>
    </row>
    <row r="3614" spans="1:2" x14ac:dyDescent="0.25">
      <c r="A3614" s="388"/>
      <c r="B3614" s="388"/>
    </row>
    <row r="3615" spans="1:2" x14ac:dyDescent="0.25">
      <c r="A3615" s="388"/>
      <c r="B3615" s="388"/>
    </row>
    <row r="3616" spans="1:2" x14ac:dyDescent="0.25">
      <c r="A3616" s="388"/>
      <c r="B3616" s="388"/>
    </row>
    <row r="3617" spans="1:2" x14ac:dyDescent="0.25">
      <c r="A3617" s="388"/>
      <c r="B3617" s="388"/>
    </row>
    <row r="3618" spans="1:2" x14ac:dyDescent="0.25">
      <c r="A3618" s="388"/>
      <c r="B3618" s="388"/>
    </row>
    <row r="3619" spans="1:2" x14ac:dyDescent="0.25">
      <c r="A3619" s="388"/>
      <c r="B3619" s="388"/>
    </row>
    <row r="3620" spans="1:2" x14ac:dyDescent="0.25">
      <c r="A3620" s="388"/>
      <c r="B3620" s="388"/>
    </row>
    <row r="3621" spans="1:2" x14ac:dyDescent="0.25">
      <c r="A3621" s="388"/>
      <c r="B3621" s="388"/>
    </row>
    <row r="3622" spans="1:2" x14ac:dyDescent="0.25">
      <c r="A3622" s="388"/>
      <c r="B3622" s="388"/>
    </row>
    <row r="3623" spans="1:2" x14ac:dyDescent="0.25">
      <c r="A3623" s="388"/>
      <c r="B3623" s="388"/>
    </row>
    <row r="3624" spans="1:2" x14ac:dyDescent="0.25">
      <c r="A3624" s="388"/>
      <c r="B3624" s="388"/>
    </row>
    <row r="3625" spans="1:2" x14ac:dyDescent="0.25">
      <c r="A3625" s="388"/>
      <c r="B3625" s="388"/>
    </row>
    <row r="3626" spans="1:2" x14ac:dyDescent="0.25">
      <c r="A3626" s="388"/>
      <c r="B3626" s="388"/>
    </row>
    <row r="3627" spans="1:2" x14ac:dyDescent="0.25">
      <c r="A3627" s="388"/>
      <c r="B3627" s="388"/>
    </row>
    <row r="3628" spans="1:2" x14ac:dyDescent="0.25">
      <c r="A3628" s="388"/>
      <c r="B3628" s="388"/>
    </row>
    <row r="3629" spans="1:2" x14ac:dyDescent="0.25">
      <c r="A3629" s="388"/>
      <c r="B3629" s="388"/>
    </row>
    <row r="3630" spans="1:2" x14ac:dyDescent="0.25">
      <c r="A3630" s="388"/>
      <c r="B3630" s="388"/>
    </row>
    <row r="3631" spans="1:2" x14ac:dyDescent="0.25">
      <c r="A3631" s="388"/>
      <c r="B3631" s="388"/>
    </row>
    <row r="3632" spans="1:2" x14ac:dyDescent="0.25">
      <c r="A3632" s="388"/>
      <c r="B3632" s="388"/>
    </row>
    <row r="3633" spans="1:2" x14ac:dyDescent="0.25">
      <c r="A3633" s="388"/>
      <c r="B3633" s="388"/>
    </row>
    <row r="3634" spans="1:2" x14ac:dyDescent="0.25">
      <c r="A3634" s="388"/>
      <c r="B3634" s="388"/>
    </row>
    <row r="3635" spans="1:2" x14ac:dyDescent="0.25">
      <c r="A3635" s="388"/>
      <c r="B3635" s="388"/>
    </row>
    <row r="3636" spans="1:2" x14ac:dyDescent="0.25">
      <c r="A3636" s="388"/>
      <c r="B3636" s="388"/>
    </row>
    <row r="3637" spans="1:2" x14ac:dyDescent="0.25">
      <c r="A3637" s="388"/>
      <c r="B3637" s="388"/>
    </row>
    <row r="3638" spans="1:2" x14ac:dyDescent="0.25">
      <c r="A3638" s="388"/>
      <c r="B3638" s="388"/>
    </row>
    <row r="3639" spans="1:2" x14ac:dyDescent="0.25">
      <c r="A3639" s="388"/>
      <c r="B3639" s="388"/>
    </row>
    <row r="3640" spans="1:2" x14ac:dyDescent="0.25">
      <c r="A3640" s="388"/>
      <c r="B3640" s="388"/>
    </row>
    <row r="3641" spans="1:2" x14ac:dyDescent="0.25">
      <c r="A3641" s="388"/>
      <c r="B3641" s="388"/>
    </row>
    <row r="3642" spans="1:2" x14ac:dyDescent="0.25">
      <c r="A3642" s="388"/>
      <c r="B3642" s="388"/>
    </row>
    <row r="3643" spans="1:2" x14ac:dyDescent="0.25">
      <c r="A3643" s="388"/>
      <c r="B3643" s="388"/>
    </row>
    <row r="3644" spans="1:2" x14ac:dyDescent="0.25">
      <c r="A3644" s="388"/>
      <c r="B3644" s="388"/>
    </row>
    <row r="3645" spans="1:2" x14ac:dyDescent="0.25">
      <c r="A3645" s="388"/>
      <c r="B3645" s="388"/>
    </row>
    <row r="3646" spans="1:2" x14ac:dyDescent="0.25">
      <c r="A3646" s="388"/>
      <c r="B3646" s="388"/>
    </row>
    <row r="3647" spans="1:2" x14ac:dyDescent="0.25">
      <c r="A3647" s="388"/>
      <c r="B3647" s="388"/>
    </row>
    <row r="3648" spans="1:2" x14ac:dyDescent="0.25">
      <c r="A3648" s="388"/>
      <c r="B3648" s="388"/>
    </row>
    <row r="3649" spans="1:2" x14ac:dyDescent="0.25">
      <c r="A3649" s="388"/>
      <c r="B3649" s="388"/>
    </row>
    <row r="3650" spans="1:2" x14ac:dyDescent="0.25">
      <c r="A3650" s="388"/>
      <c r="B3650" s="388"/>
    </row>
    <row r="3651" spans="1:2" x14ac:dyDescent="0.25">
      <c r="A3651" s="388"/>
      <c r="B3651" s="388"/>
    </row>
    <row r="3652" spans="1:2" x14ac:dyDescent="0.25">
      <c r="A3652" s="388"/>
      <c r="B3652" s="388"/>
    </row>
    <row r="3653" spans="1:2" x14ac:dyDescent="0.25">
      <c r="A3653" s="388"/>
      <c r="B3653" s="388"/>
    </row>
    <row r="3654" spans="1:2" x14ac:dyDescent="0.25">
      <c r="A3654" s="388"/>
      <c r="B3654" s="388"/>
    </row>
    <row r="3655" spans="1:2" x14ac:dyDescent="0.25">
      <c r="A3655" s="388"/>
      <c r="B3655" s="388"/>
    </row>
    <row r="3656" spans="1:2" x14ac:dyDescent="0.25">
      <c r="A3656" s="388"/>
      <c r="B3656" s="388"/>
    </row>
    <row r="3657" spans="1:2" x14ac:dyDescent="0.25">
      <c r="A3657" s="388"/>
      <c r="B3657" s="388"/>
    </row>
    <row r="3658" spans="1:2" x14ac:dyDescent="0.25">
      <c r="A3658" s="388"/>
      <c r="B3658" s="388"/>
    </row>
    <row r="3659" spans="1:2" x14ac:dyDescent="0.25">
      <c r="A3659" s="388"/>
      <c r="B3659" s="388"/>
    </row>
    <row r="3660" spans="1:2" x14ac:dyDescent="0.25">
      <c r="A3660" s="388"/>
      <c r="B3660" s="388"/>
    </row>
    <row r="3661" spans="1:2" x14ac:dyDescent="0.25">
      <c r="A3661" s="388"/>
      <c r="B3661" s="388"/>
    </row>
    <row r="3662" spans="1:2" x14ac:dyDescent="0.25">
      <c r="A3662" s="388"/>
      <c r="B3662" s="388"/>
    </row>
    <row r="3663" spans="1:2" x14ac:dyDescent="0.25">
      <c r="A3663" s="388"/>
      <c r="B3663" s="388"/>
    </row>
    <row r="3664" spans="1:2" x14ac:dyDescent="0.25">
      <c r="A3664" s="388"/>
      <c r="B3664" s="388"/>
    </row>
    <row r="3665" spans="1:2" x14ac:dyDescent="0.25">
      <c r="A3665" s="388"/>
      <c r="B3665" s="388"/>
    </row>
    <row r="3666" spans="1:2" x14ac:dyDescent="0.25">
      <c r="A3666" s="388"/>
      <c r="B3666" s="388"/>
    </row>
    <row r="3667" spans="1:2" x14ac:dyDescent="0.25">
      <c r="A3667" s="388"/>
      <c r="B3667" s="388"/>
    </row>
    <row r="3668" spans="1:2" x14ac:dyDescent="0.25">
      <c r="A3668" s="388"/>
      <c r="B3668" s="388"/>
    </row>
    <row r="3669" spans="1:2" x14ac:dyDescent="0.25">
      <c r="A3669" s="388"/>
      <c r="B3669" s="388"/>
    </row>
    <row r="3670" spans="1:2" x14ac:dyDescent="0.25">
      <c r="A3670" s="388"/>
      <c r="B3670" s="388"/>
    </row>
    <row r="3671" spans="1:2" x14ac:dyDescent="0.25">
      <c r="A3671" s="388"/>
      <c r="B3671" s="388"/>
    </row>
    <row r="3672" spans="1:2" x14ac:dyDescent="0.25">
      <c r="A3672" s="388"/>
      <c r="B3672" s="388"/>
    </row>
    <row r="3673" spans="1:2" x14ac:dyDescent="0.25">
      <c r="A3673" s="388"/>
      <c r="B3673" s="388"/>
    </row>
    <row r="3674" spans="1:2" x14ac:dyDescent="0.25">
      <c r="A3674" s="388"/>
      <c r="B3674" s="388"/>
    </row>
    <row r="3675" spans="1:2" x14ac:dyDescent="0.25">
      <c r="A3675" s="388"/>
      <c r="B3675" s="388"/>
    </row>
    <row r="3676" spans="1:2" x14ac:dyDescent="0.25">
      <c r="A3676" s="388"/>
      <c r="B3676" s="388"/>
    </row>
    <row r="3677" spans="1:2" x14ac:dyDescent="0.25">
      <c r="A3677" s="388"/>
      <c r="B3677" s="388"/>
    </row>
    <row r="3678" spans="1:2" x14ac:dyDescent="0.25">
      <c r="A3678" s="388"/>
      <c r="B3678" s="388"/>
    </row>
    <row r="3679" spans="1:2" x14ac:dyDescent="0.25">
      <c r="A3679" s="388"/>
      <c r="B3679" s="388"/>
    </row>
    <row r="3680" spans="1:2" x14ac:dyDescent="0.25">
      <c r="A3680" s="388"/>
      <c r="B3680" s="388"/>
    </row>
    <row r="3681" spans="1:2" x14ac:dyDescent="0.25">
      <c r="A3681" s="388"/>
      <c r="B3681" s="388"/>
    </row>
    <row r="3682" spans="1:2" x14ac:dyDescent="0.25">
      <c r="A3682" s="388"/>
      <c r="B3682" s="388"/>
    </row>
    <row r="3683" spans="1:2" x14ac:dyDescent="0.25">
      <c r="A3683" s="388"/>
      <c r="B3683" s="388"/>
    </row>
    <row r="3684" spans="1:2" x14ac:dyDescent="0.25">
      <c r="A3684" s="388"/>
      <c r="B3684" s="388"/>
    </row>
    <row r="3685" spans="1:2" x14ac:dyDescent="0.25">
      <c r="A3685" s="388"/>
      <c r="B3685" s="388"/>
    </row>
    <row r="3686" spans="1:2" x14ac:dyDescent="0.25">
      <c r="A3686" s="388"/>
      <c r="B3686" s="388"/>
    </row>
    <row r="3687" spans="1:2" x14ac:dyDescent="0.25">
      <c r="A3687" s="388"/>
      <c r="B3687" s="388"/>
    </row>
    <row r="3688" spans="1:2" x14ac:dyDescent="0.25">
      <c r="A3688" s="388"/>
      <c r="B3688" s="388"/>
    </row>
    <row r="3689" spans="1:2" x14ac:dyDescent="0.25">
      <c r="A3689" s="388"/>
      <c r="B3689" s="388"/>
    </row>
    <row r="3690" spans="1:2" x14ac:dyDescent="0.25">
      <c r="A3690" s="388"/>
      <c r="B3690" s="388"/>
    </row>
    <row r="3691" spans="1:2" x14ac:dyDescent="0.25">
      <c r="A3691" s="388"/>
      <c r="B3691" s="388"/>
    </row>
    <row r="3692" spans="1:2" x14ac:dyDescent="0.25">
      <c r="A3692" s="388"/>
      <c r="B3692" s="388"/>
    </row>
    <row r="3693" spans="1:2" x14ac:dyDescent="0.25">
      <c r="A3693" s="388"/>
      <c r="B3693" s="388"/>
    </row>
    <row r="3694" spans="1:2" x14ac:dyDescent="0.25">
      <c r="A3694" s="388"/>
      <c r="B3694" s="388"/>
    </row>
    <row r="3695" spans="1:2" x14ac:dyDescent="0.25">
      <c r="A3695" s="388"/>
      <c r="B3695" s="388"/>
    </row>
    <row r="3696" spans="1:2" x14ac:dyDescent="0.25">
      <c r="A3696" s="388"/>
      <c r="B3696" s="388"/>
    </row>
    <row r="3697" spans="1:2" x14ac:dyDescent="0.25">
      <c r="A3697" s="388"/>
      <c r="B3697" s="388"/>
    </row>
    <row r="3698" spans="1:2" x14ac:dyDescent="0.25">
      <c r="A3698" s="388"/>
      <c r="B3698" s="388"/>
    </row>
    <row r="3699" spans="1:2" x14ac:dyDescent="0.25">
      <c r="A3699" s="388"/>
      <c r="B3699" s="388"/>
    </row>
    <row r="3700" spans="1:2" x14ac:dyDescent="0.25">
      <c r="A3700" s="388"/>
      <c r="B3700" s="388"/>
    </row>
    <row r="3701" spans="1:2" x14ac:dyDescent="0.25">
      <c r="A3701" s="388"/>
      <c r="B3701" s="388"/>
    </row>
    <row r="3702" spans="1:2" x14ac:dyDescent="0.25">
      <c r="A3702" s="388"/>
      <c r="B3702" s="388"/>
    </row>
    <row r="3703" spans="1:2" x14ac:dyDescent="0.25">
      <c r="A3703" s="388"/>
      <c r="B3703" s="388"/>
    </row>
    <row r="3704" spans="1:2" x14ac:dyDescent="0.25">
      <c r="A3704" s="388"/>
      <c r="B3704" s="388"/>
    </row>
    <row r="3705" spans="1:2" x14ac:dyDescent="0.25">
      <c r="A3705" s="388"/>
      <c r="B3705" s="388"/>
    </row>
    <row r="3706" spans="1:2" x14ac:dyDescent="0.25">
      <c r="A3706" s="388"/>
      <c r="B3706" s="388"/>
    </row>
    <row r="3707" spans="1:2" x14ac:dyDescent="0.25">
      <c r="A3707" s="388"/>
      <c r="B3707" s="388"/>
    </row>
    <row r="3708" spans="1:2" x14ac:dyDescent="0.25">
      <c r="A3708" s="388"/>
      <c r="B3708" s="388"/>
    </row>
    <row r="3709" spans="1:2" x14ac:dyDescent="0.25">
      <c r="A3709" s="388"/>
      <c r="B3709" s="388"/>
    </row>
    <row r="3710" spans="1:2" x14ac:dyDescent="0.25">
      <c r="A3710" s="388"/>
      <c r="B3710" s="388"/>
    </row>
    <row r="3711" spans="1:2" x14ac:dyDescent="0.25">
      <c r="A3711" s="388"/>
      <c r="B3711" s="388"/>
    </row>
    <row r="3712" spans="1:2" x14ac:dyDescent="0.25">
      <c r="A3712" s="388"/>
      <c r="B3712" s="388"/>
    </row>
    <row r="3713" spans="1:2" x14ac:dyDescent="0.25">
      <c r="A3713" s="388"/>
      <c r="B3713" s="388"/>
    </row>
    <row r="3714" spans="1:2" x14ac:dyDescent="0.25">
      <c r="A3714" s="388"/>
      <c r="B3714" s="388"/>
    </row>
    <row r="3715" spans="1:2" x14ac:dyDescent="0.25">
      <c r="A3715" s="388"/>
      <c r="B3715" s="388"/>
    </row>
    <row r="3716" spans="1:2" x14ac:dyDescent="0.25">
      <c r="A3716" s="388"/>
      <c r="B3716" s="388"/>
    </row>
    <row r="3717" spans="1:2" x14ac:dyDescent="0.25">
      <c r="A3717" s="388"/>
      <c r="B3717" s="388"/>
    </row>
    <row r="3718" spans="1:2" x14ac:dyDescent="0.25">
      <c r="A3718" s="388"/>
      <c r="B3718" s="388"/>
    </row>
    <row r="3719" spans="1:2" x14ac:dyDescent="0.25">
      <c r="A3719" s="388"/>
      <c r="B3719" s="388"/>
    </row>
    <row r="3720" spans="1:2" x14ac:dyDescent="0.25">
      <c r="A3720" s="388"/>
      <c r="B3720" s="388"/>
    </row>
    <row r="3721" spans="1:2" x14ac:dyDescent="0.25">
      <c r="A3721" s="388"/>
      <c r="B3721" s="388"/>
    </row>
    <row r="3722" spans="1:2" x14ac:dyDescent="0.25">
      <c r="A3722" s="388"/>
      <c r="B3722" s="388"/>
    </row>
    <row r="3723" spans="1:2" x14ac:dyDescent="0.25">
      <c r="A3723" s="388"/>
      <c r="B3723" s="388"/>
    </row>
    <row r="3724" spans="1:2" x14ac:dyDescent="0.25">
      <c r="A3724" s="388"/>
      <c r="B3724" s="388"/>
    </row>
    <row r="3725" spans="1:2" x14ac:dyDescent="0.25">
      <c r="A3725" s="388"/>
      <c r="B3725" s="388"/>
    </row>
    <row r="3726" spans="1:2" x14ac:dyDescent="0.25">
      <c r="A3726" s="388"/>
      <c r="B3726" s="388"/>
    </row>
    <row r="3727" spans="1:2" x14ac:dyDescent="0.25">
      <c r="A3727" s="388"/>
      <c r="B3727" s="388"/>
    </row>
    <row r="3728" spans="1:2" x14ac:dyDescent="0.25">
      <c r="A3728" s="388"/>
      <c r="B3728" s="388"/>
    </row>
    <row r="3729" spans="1:2" x14ac:dyDescent="0.25">
      <c r="A3729" s="388"/>
      <c r="B3729" s="388"/>
    </row>
    <row r="3730" spans="1:2" x14ac:dyDescent="0.25">
      <c r="A3730" s="388"/>
      <c r="B3730" s="388"/>
    </row>
    <row r="3731" spans="1:2" x14ac:dyDescent="0.25">
      <c r="A3731" s="388"/>
      <c r="B3731" s="388"/>
    </row>
    <row r="3732" spans="1:2" x14ac:dyDescent="0.25">
      <c r="A3732" s="388"/>
      <c r="B3732" s="388"/>
    </row>
    <row r="3733" spans="1:2" x14ac:dyDescent="0.25">
      <c r="A3733" s="388"/>
      <c r="B3733" s="388"/>
    </row>
    <row r="3734" spans="1:2" x14ac:dyDescent="0.25">
      <c r="A3734" s="388"/>
      <c r="B3734" s="388"/>
    </row>
    <row r="3735" spans="1:2" x14ac:dyDescent="0.25">
      <c r="A3735" s="388"/>
      <c r="B3735" s="388"/>
    </row>
    <row r="3736" spans="1:2" x14ac:dyDescent="0.25">
      <c r="A3736" s="388"/>
      <c r="B3736" s="388"/>
    </row>
    <row r="3737" spans="1:2" x14ac:dyDescent="0.25">
      <c r="A3737" s="388"/>
      <c r="B3737" s="388"/>
    </row>
    <row r="3738" spans="1:2" x14ac:dyDescent="0.25">
      <c r="A3738" s="388"/>
      <c r="B3738" s="388"/>
    </row>
    <row r="3739" spans="1:2" x14ac:dyDescent="0.25">
      <c r="A3739" s="388"/>
      <c r="B3739" s="388"/>
    </row>
    <row r="3740" spans="1:2" x14ac:dyDescent="0.25">
      <c r="A3740" s="388"/>
      <c r="B3740" s="388"/>
    </row>
    <row r="3741" spans="1:2" x14ac:dyDescent="0.25">
      <c r="A3741" s="388"/>
      <c r="B3741" s="388"/>
    </row>
    <row r="3742" spans="1:2" x14ac:dyDescent="0.25">
      <c r="A3742" s="388"/>
      <c r="B3742" s="388"/>
    </row>
    <row r="3743" spans="1:2" x14ac:dyDescent="0.25">
      <c r="A3743" s="388"/>
      <c r="B3743" s="388"/>
    </row>
    <row r="3744" spans="1:2" x14ac:dyDescent="0.25">
      <c r="A3744" s="388"/>
      <c r="B3744" s="388"/>
    </row>
    <row r="3745" spans="1:2" x14ac:dyDescent="0.25">
      <c r="A3745" s="388"/>
      <c r="B3745" s="388"/>
    </row>
    <row r="3746" spans="1:2" x14ac:dyDescent="0.25">
      <c r="A3746" s="388"/>
      <c r="B3746" s="388"/>
    </row>
    <row r="3747" spans="1:2" x14ac:dyDescent="0.25">
      <c r="A3747" s="388"/>
      <c r="B3747" s="388"/>
    </row>
    <row r="3748" spans="1:2" x14ac:dyDescent="0.25">
      <c r="A3748" s="388"/>
      <c r="B3748" s="388"/>
    </row>
    <row r="3749" spans="1:2" x14ac:dyDescent="0.25">
      <c r="A3749" s="388"/>
      <c r="B3749" s="388"/>
    </row>
    <row r="3750" spans="1:2" x14ac:dyDescent="0.25">
      <c r="A3750" s="388"/>
      <c r="B3750" s="388"/>
    </row>
    <row r="3751" spans="1:2" x14ac:dyDescent="0.25">
      <c r="A3751" s="388"/>
      <c r="B3751" s="388"/>
    </row>
    <row r="3752" spans="1:2" x14ac:dyDescent="0.25">
      <c r="A3752" s="388"/>
      <c r="B3752" s="388"/>
    </row>
    <row r="3753" spans="1:2" x14ac:dyDescent="0.25">
      <c r="A3753" s="388"/>
      <c r="B3753" s="388"/>
    </row>
    <row r="3754" spans="1:2" x14ac:dyDescent="0.25">
      <c r="A3754" s="388"/>
      <c r="B3754" s="388"/>
    </row>
    <row r="3755" spans="1:2" x14ac:dyDescent="0.25">
      <c r="A3755" s="388"/>
      <c r="B3755" s="388"/>
    </row>
    <row r="3756" spans="1:2" x14ac:dyDescent="0.25">
      <c r="A3756" s="388"/>
      <c r="B3756" s="388"/>
    </row>
    <row r="3757" spans="1:2" x14ac:dyDescent="0.25">
      <c r="A3757" s="388"/>
      <c r="B3757" s="388"/>
    </row>
    <row r="3758" spans="1:2" x14ac:dyDescent="0.25">
      <c r="A3758" s="388"/>
      <c r="B3758" s="388"/>
    </row>
    <row r="3759" spans="1:2" x14ac:dyDescent="0.25">
      <c r="A3759" s="388"/>
      <c r="B3759" s="388"/>
    </row>
    <row r="3760" spans="1:2" x14ac:dyDescent="0.25">
      <c r="A3760" s="388"/>
      <c r="B3760" s="388"/>
    </row>
    <row r="3761" spans="1:2" x14ac:dyDescent="0.25">
      <c r="A3761" s="388"/>
      <c r="B3761" s="388"/>
    </row>
    <row r="3762" spans="1:2" x14ac:dyDescent="0.25">
      <c r="A3762" s="388"/>
      <c r="B3762" s="388"/>
    </row>
    <row r="3763" spans="1:2" x14ac:dyDescent="0.25">
      <c r="A3763" s="388"/>
      <c r="B3763" s="388"/>
    </row>
    <row r="3764" spans="1:2" x14ac:dyDescent="0.25">
      <c r="A3764" s="388"/>
      <c r="B3764" s="388"/>
    </row>
    <row r="3765" spans="1:2" x14ac:dyDescent="0.25">
      <c r="A3765" s="388"/>
      <c r="B3765" s="388"/>
    </row>
    <row r="3766" spans="1:2" x14ac:dyDescent="0.25">
      <c r="A3766" s="388"/>
      <c r="B3766" s="388"/>
    </row>
    <row r="3767" spans="1:2" x14ac:dyDescent="0.25">
      <c r="A3767" s="388"/>
      <c r="B3767" s="388"/>
    </row>
    <row r="3768" spans="1:2" x14ac:dyDescent="0.25">
      <c r="A3768" s="388"/>
      <c r="B3768" s="388"/>
    </row>
    <row r="3769" spans="1:2" x14ac:dyDescent="0.25">
      <c r="A3769" s="388"/>
      <c r="B3769" s="388"/>
    </row>
    <row r="3770" spans="1:2" x14ac:dyDescent="0.25">
      <c r="A3770" s="388"/>
      <c r="B3770" s="388"/>
    </row>
    <row r="3771" spans="1:2" x14ac:dyDescent="0.25">
      <c r="A3771" s="388"/>
      <c r="B3771" s="388"/>
    </row>
    <row r="3772" spans="1:2" x14ac:dyDescent="0.25">
      <c r="A3772" s="388"/>
      <c r="B3772" s="388"/>
    </row>
    <row r="3773" spans="1:2" x14ac:dyDescent="0.25">
      <c r="A3773" s="388"/>
      <c r="B3773" s="388"/>
    </row>
    <row r="3774" spans="1:2" x14ac:dyDescent="0.25">
      <c r="A3774" s="388"/>
      <c r="B3774" s="388"/>
    </row>
    <row r="3775" spans="1:2" x14ac:dyDescent="0.25">
      <c r="A3775" s="388"/>
      <c r="B3775" s="388"/>
    </row>
    <row r="3776" spans="1:2" x14ac:dyDescent="0.25">
      <c r="A3776" s="388"/>
      <c r="B3776" s="388"/>
    </row>
    <row r="3777" spans="1:2" x14ac:dyDescent="0.25">
      <c r="A3777" s="388"/>
      <c r="B3777" s="388"/>
    </row>
    <row r="3778" spans="1:2" x14ac:dyDescent="0.25">
      <c r="A3778" s="388"/>
      <c r="B3778" s="388"/>
    </row>
    <row r="3779" spans="1:2" x14ac:dyDescent="0.25">
      <c r="A3779" s="388"/>
      <c r="B3779" s="388"/>
    </row>
    <row r="3780" spans="1:2" x14ac:dyDescent="0.25">
      <c r="A3780" s="388"/>
      <c r="B3780" s="388"/>
    </row>
    <row r="3781" spans="1:2" x14ac:dyDescent="0.25">
      <c r="A3781" s="388"/>
      <c r="B3781" s="388"/>
    </row>
    <row r="3782" spans="1:2" x14ac:dyDescent="0.25">
      <c r="A3782" s="388"/>
      <c r="B3782" s="388"/>
    </row>
    <row r="3783" spans="1:2" x14ac:dyDescent="0.25">
      <c r="A3783" s="388"/>
      <c r="B3783" s="388"/>
    </row>
    <row r="3784" spans="1:2" x14ac:dyDescent="0.25">
      <c r="A3784" s="388"/>
      <c r="B3784" s="388"/>
    </row>
    <row r="3785" spans="1:2" x14ac:dyDescent="0.25">
      <c r="A3785" s="388"/>
      <c r="B3785" s="388"/>
    </row>
    <row r="3786" spans="1:2" x14ac:dyDescent="0.25">
      <c r="A3786" s="388"/>
      <c r="B3786" s="388"/>
    </row>
    <row r="3787" spans="1:2" x14ac:dyDescent="0.25">
      <c r="A3787" s="388"/>
      <c r="B3787" s="388"/>
    </row>
    <row r="3788" spans="1:2" x14ac:dyDescent="0.25">
      <c r="A3788" s="388"/>
      <c r="B3788" s="388"/>
    </row>
    <row r="3789" spans="1:2" x14ac:dyDescent="0.25">
      <c r="A3789" s="388"/>
      <c r="B3789" s="388"/>
    </row>
    <row r="3790" spans="1:2" x14ac:dyDescent="0.25">
      <c r="A3790" s="388"/>
      <c r="B3790" s="388"/>
    </row>
    <row r="3791" spans="1:2" x14ac:dyDescent="0.25">
      <c r="A3791" s="388"/>
      <c r="B3791" s="388"/>
    </row>
    <row r="3792" spans="1:2" x14ac:dyDescent="0.25">
      <c r="A3792" s="388"/>
      <c r="B3792" s="388"/>
    </row>
    <row r="3793" spans="1:2" x14ac:dyDescent="0.25">
      <c r="A3793" s="388"/>
      <c r="B3793" s="388"/>
    </row>
    <row r="3794" spans="1:2" x14ac:dyDescent="0.25">
      <c r="A3794" s="388"/>
      <c r="B3794" s="388"/>
    </row>
    <row r="3795" spans="1:2" x14ac:dyDescent="0.25">
      <c r="A3795" s="388"/>
      <c r="B3795" s="388"/>
    </row>
    <row r="3796" spans="1:2" x14ac:dyDescent="0.25">
      <c r="A3796" s="388"/>
      <c r="B3796" s="388"/>
    </row>
    <row r="3797" spans="1:2" x14ac:dyDescent="0.25">
      <c r="A3797" s="388"/>
      <c r="B3797" s="388"/>
    </row>
    <row r="3798" spans="1:2" x14ac:dyDescent="0.25">
      <c r="A3798" s="388"/>
      <c r="B3798" s="388"/>
    </row>
    <row r="3799" spans="1:2" x14ac:dyDescent="0.25">
      <c r="A3799" s="388"/>
      <c r="B3799" s="388"/>
    </row>
    <row r="3800" spans="1:2" x14ac:dyDescent="0.25">
      <c r="A3800" s="388"/>
      <c r="B3800" s="388"/>
    </row>
    <row r="3801" spans="1:2" x14ac:dyDescent="0.25">
      <c r="A3801" s="388"/>
      <c r="B3801" s="388"/>
    </row>
    <row r="3802" spans="1:2" x14ac:dyDescent="0.25">
      <c r="A3802" s="388"/>
      <c r="B3802" s="388"/>
    </row>
    <row r="3803" spans="1:2" x14ac:dyDescent="0.25">
      <c r="A3803" s="388"/>
      <c r="B3803" s="388"/>
    </row>
    <row r="3804" spans="1:2" x14ac:dyDescent="0.25">
      <c r="A3804" s="388"/>
      <c r="B3804" s="388"/>
    </row>
    <row r="3805" spans="1:2" x14ac:dyDescent="0.25">
      <c r="A3805" s="388"/>
      <c r="B3805" s="388"/>
    </row>
    <row r="3806" spans="1:2" x14ac:dyDescent="0.25">
      <c r="A3806" s="388"/>
      <c r="B3806" s="388"/>
    </row>
    <row r="3807" spans="1:2" x14ac:dyDescent="0.25">
      <c r="A3807" s="388"/>
      <c r="B3807" s="388"/>
    </row>
    <row r="3808" spans="1:2" x14ac:dyDescent="0.25">
      <c r="A3808" s="388"/>
      <c r="B3808" s="388"/>
    </row>
    <row r="3809" spans="1:2" x14ac:dyDescent="0.25">
      <c r="A3809" s="388"/>
      <c r="B3809" s="388"/>
    </row>
    <row r="3810" spans="1:2" x14ac:dyDescent="0.25">
      <c r="A3810" s="388"/>
      <c r="B3810" s="388"/>
    </row>
    <row r="3811" spans="1:2" x14ac:dyDescent="0.25">
      <c r="A3811" s="388"/>
      <c r="B3811" s="388"/>
    </row>
    <row r="3812" spans="1:2" x14ac:dyDescent="0.25">
      <c r="A3812" s="388"/>
      <c r="B3812" s="388"/>
    </row>
    <row r="3813" spans="1:2" x14ac:dyDescent="0.25">
      <c r="A3813" s="388"/>
      <c r="B3813" s="388"/>
    </row>
    <row r="3814" spans="1:2" x14ac:dyDescent="0.25">
      <c r="A3814" s="388"/>
      <c r="B3814" s="388"/>
    </row>
    <row r="3815" spans="1:2" x14ac:dyDescent="0.25">
      <c r="A3815" s="388"/>
      <c r="B3815" s="388"/>
    </row>
    <row r="3816" spans="1:2" x14ac:dyDescent="0.25">
      <c r="A3816" s="388"/>
      <c r="B3816" s="388"/>
    </row>
    <row r="3817" spans="1:2" x14ac:dyDescent="0.25">
      <c r="A3817" s="388"/>
      <c r="B3817" s="388"/>
    </row>
    <row r="3818" spans="1:2" x14ac:dyDescent="0.25">
      <c r="A3818" s="388"/>
      <c r="B3818" s="388"/>
    </row>
    <row r="3819" spans="1:2" x14ac:dyDescent="0.25">
      <c r="A3819" s="388"/>
      <c r="B3819" s="388"/>
    </row>
    <row r="3820" spans="1:2" x14ac:dyDescent="0.25">
      <c r="A3820" s="388"/>
      <c r="B3820" s="388"/>
    </row>
    <row r="3821" spans="1:2" x14ac:dyDescent="0.25">
      <c r="A3821" s="388"/>
      <c r="B3821" s="388"/>
    </row>
    <row r="3822" spans="1:2" x14ac:dyDescent="0.25">
      <c r="A3822" s="388"/>
      <c r="B3822" s="388"/>
    </row>
    <row r="3823" spans="1:2" x14ac:dyDescent="0.25">
      <c r="A3823" s="388"/>
      <c r="B3823" s="388"/>
    </row>
    <row r="3824" spans="1:2" x14ac:dyDescent="0.25">
      <c r="A3824" s="388"/>
      <c r="B3824" s="388"/>
    </row>
    <row r="3825" spans="1:2" x14ac:dyDescent="0.25">
      <c r="A3825" s="388"/>
      <c r="B3825" s="388"/>
    </row>
    <row r="3826" spans="1:2" x14ac:dyDescent="0.25">
      <c r="A3826" s="388"/>
      <c r="B3826" s="388"/>
    </row>
    <row r="3827" spans="1:2" x14ac:dyDescent="0.25">
      <c r="A3827" s="388"/>
      <c r="B3827" s="388"/>
    </row>
    <row r="3828" spans="1:2" x14ac:dyDescent="0.25">
      <c r="A3828" s="388"/>
      <c r="B3828" s="388"/>
    </row>
    <row r="3829" spans="1:2" x14ac:dyDescent="0.25">
      <c r="A3829" s="388"/>
      <c r="B3829" s="388"/>
    </row>
    <row r="3830" spans="1:2" x14ac:dyDescent="0.25">
      <c r="A3830" s="388"/>
      <c r="B3830" s="388"/>
    </row>
    <row r="3831" spans="1:2" x14ac:dyDescent="0.25">
      <c r="A3831" s="388"/>
      <c r="B3831" s="388"/>
    </row>
    <row r="3832" spans="1:2" x14ac:dyDescent="0.25">
      <c r="A3832" s="388"/>
      <c r="B3832" s="388"/>
    </row>
    <row r="3833" spans="1:2" x14ac:dyDescent="0.25">
      <c r="A3833" s="388"/>
      <c r="B3833" s="388"/>
    </row>
    <row r="3834" spans="1:2" x14ac:dyDescent="0.25">
      <c r="A3834" s="388"/>
      <c r="B3834" s="388"/>
    </row>
    <row r="3835" spans="1:2" x14ac:dyDescent="0.25">
      <c r="A3835" s="388"/>
      <c r="B3835" s="388"/>
    </row>
    <row r="3836" spans="1:2" x14ac:dyDescent="0.25">
      <c r="A3836" s="388"/>
      <c r="B3836" s="388"/>
    </row>
    <row r="3837" spans="1:2" x14ac:dyDescent="0.25">
      <c r="A3837" s="388"/>
      <c r="B3837" s="388"/>
    </row>
    <row r="3838" spans="1:2" x14ac:dyDescent="0.25">
      <c r="A3838" s="388"/>
      <c r="B3838" s="388"/>
    </row>
    <row r="3839" spans="1:2" x14ac:dyDescent="0.25">
      <c r="A3839" s="388"/>
      <c r="B3839" s="388"/>
    </row>
    <row r="3840" spans="1:2" x14ac:dyDescent="0.25">
      <c r="A3840" s="388"/>
      <c r="B3840" s="388"/>
    </row>
    <row r="3841" spans="1:2" x14ac:dyDescent="0.25">
      <c r="A3841" s="388"/>
      <c r="B3841" s="388"/>
    </row>
    <row r="3842" spans="1:2" x14ac:dyDescent="0.25">
      <c r="A3842" s="388"/>
      <c r="B3842" s="388"/>
    </row>
    <row r="3843" spans="1:2" x14ac:dyDescent="0.25">
      <c r="A3843" s="388"/>
      <c r="B3843" s="388"/>
    </row>
    <row r="3844" spans="1:2" x14ac:dyDescent="0.25">
      <c r="A3844" s="388"/>
      <c r="B3844" s="388"/>
    </row>
    <row r="3845" spans="1:2" x14ac:dyDescent="0.25">
      <c r="A3845" s="388"/>
      <c r="B3845" s="388"/>
    </row>
    <row r="3846" spans="1:2" x14ac:dyDescent="0.25">
      <c r="A3846" s="388"/>
      <c r="B3846" s="388"/>
    </row>
    <row r="3847" spans="1:2" x14ac:dyDescent="0.25">
      <c r="A3847" s="388"/>
      <c r="B3847" s="388"/>
    </row>
    <row r="3848" spans="1:2" x14ac:dyDescent="0.25">
      <c r="A3848" s="388"/>
      <c r="B3848" s="388"/>
    </row>
    <row r="3849" spans="1:2" x14ac:dyDescent="0.25">
      <c r="A3849" s="388"/>
      <c r="B3849" s="388"/>
    </row>
    <row r="3850" spans="1:2" x14ac:dyDescent="0.25">
      <c r="A3850" s="388"/>
      <c r="B3850" s="388"/>
    </row>
    <row r="3851" spans="1:2" x14ac:dyDescent="0.25">
      <c r="A3851" s="388"/>
      <c r="B3851" s="388"/>
    </row>
    <row r="3852" spans="1:2" x14ac:dyDescent="0.25">
      <c r="A3852" s="388"/>
      <c r="B3852" s="388"/>
    </row>
    <row r="3853" spans="1:2" x14ac:dyDescent="0.25">
      <c r="A3853" s="388"/>
      <c r="B3853" s="388"/>
    </row>
    <row r="3854" spans="1:2" x14ac:dyDescent="0.25">
      <c r="A3854" s="388"/>
      <c r="B3854" s="388"/>
    </row>
    <row r="3855" spans="1:2" x14ac:dyDescent="0.25">
      <c r="A3855" s="388"/>
      <c r="B3855" s="388"/>
    </row>
    <row r="3856" spans="1:2" x14ac:dyDescent="0.25">
      <c r="A3856" s="388"/>
      <c r="B3856" s="388"/>
    </row>
    <row r="3857" spans="1:2" x14ac:dyDescent="0.25">
      <c r="A3857" s="388"/>
      <c r="B3857" s="388"/>
    </row>
    <row r="3858" spans="1:2" x14ac:dyDescent="0.25">
      <c r="A3858" s="388"/>
      <c r="B3858" s="388"/>
    </row>
    <row r="3859" spans="1:2" x14ac:dyDescent="0.25">
      <c r="A3859" s="388"/>
      <c r="B3859" s="388"/>
    </row>
    <row r="3860" spans="1:2" x14ac:dyDescent="0.25">
      <c r="A3860" s="388"/>
      <c r="B3860" s="388"/>
    </row>
    <row r="3861" spans="1:2" x14ac:dyDescent="0.25">
      <c r="A3861" s="388"/>
      <c r="B3861" s="388"/>
    </row>
    <row r="3862" spans="1:2" x14ac:dyDescent="0.25">
      <c r="A3862" s="388"/>
      <c r="B3862" s="388"/>
    </row>
    <row r="3863" spans="1:2" x14ac:dyDescent="0.25">
      <c r="A3863" s="388"/>
      <c r="B3863" s="388"/>
    </row>
    <row r="3864" spans="1:2" x14ac:dyDescent="0.25">
      <c r="A3864" s="388"/>
      <c r="B3864" s="388"/>
    </row>
    <row r="3865" spans="1:2" x14ac:dyDescent="0.25">
      <c r="A3865" s="388"/>
      <c r="B3865" s="388"/>
    </row>
    <row r="3866" spans="1:2" x14ac:dyDescent="0.25">
      <c r="A3866" s="388"/>
      <c r="B3866" s="388"/>
    </row>
    <row r="3867" spans="1:2" x14ac:dyDescent="0.25">
      <c r="A3867" s="388"/>
      <c r="B3867" s="388"/>
    </row>
    <row r="3868" spans="1:2" x14ac:dyDescent="0.25">
      <c r="A3868" s="388"/>
      <c r="B3868" s="388"/>
    </row>
    <row r="3869" spans="1:2" x14ac:dyDescent="0.25">
      <c r="A3869" s="388"/>
      <c r="B3869" s="388"/>
    </row>
    <row r="3870" spans="1:2" x14ac:dyDescent="0.25">
      <c r="A3870" s="388"/>
      <c r="B3870" s="388"/>
    </row>
    <row r="3871" spans="1:2" x14ac:dyDescent="0.25">
      <c r="A3871" s="388"/>
      <c r="B3871" s="388"/>
    </row>
    <row r="3872" spans="1:2" x14ac:dyDescent="0.25">
      <c r="A3872" s="388"/>
      <c r="B3872" s="388"/>
    </row>
    <row r="3873" spans="1:2" x14ac:dyDescent="0.25">
      <c r="A3873" s="388"/>
      <c r="B3873" s="388"/>
    </row>
    <row r="3874" spans="1:2" x14ac:dyDescent="0.25">
      <c r="A3874" s="388"/>
      <c r="B3874" s="388"/>
    </row>
    <row r="3875" spans="1:2" x14ac:dyDescent="0.25">
      <c r="A3875" s="388"/>
      <c r="B3875" s="388"/>
    </row>
    <row r="3876" spans="1:2" x14ac:dyDescent="0.25">
      <c r="A3876" s="388"/>
      <c r="B3876" s="388"/>
    </row>
    <row r="3877" spans="1:2" x14ac:dyDescent="0.25">
      <c r="A3877" s="388"/>
      <c r="B3877" s="388"/>
    </row>
    <row r="3878" spans="1:2" x14ac:dyDescent="0.25">
      <c r="A3878" s="388"/>
      <c r="B3878" s="388"/>
    </row>
    <row r="3879" spans="1:2" x14ac:dyDescent="0.25">
      <c r="A3879" s="388"/>
      <c r="B3879" s="388"/>
    </row>
    <row r="3880" spans="1:2" x14ac:dyDescent="0.25">
      <c r="A3880" s="388"/>
      <c r="B3880" s="388"/>
    </row>
    <row r="3881" spans="1:2" x14ac:dyDescent="0.25">
      <c r="A3881" s="388"/>
      <c r="B3881" s="388"/>
    </row>
    <row r="3882" spans="1:2" x14ac:dyDescent="0.25">
      <c r="A3882" s="388"/>
      <c r="B3882" s="388"/>
    </row>
    <row r="3883" spans="1:2" x14ac:dyDescent="0.25">
      <c r="A3883" s="388"/>
      <c r="B3883" s="388"/>
    </row>
    <row r="3884" spans="1:2" x14ac:dyDescent="0.25">
      <c r="A3884" s="388"/>
      <c r="B3884" s="388"/>
    </row>
    <row r="3885" spans="1:2" x14ac:dyDescent="0.25">
      <c r="A3885" s="388"/>
      <c r="B3885" s="388"/>
    </row>
    <row r="3886" spans="1:2" x14ac:dyDescent="0.25">
      <c r="A3886" s="388"/>
      <c r="B3886" s="388"/>
    </row>
    <row r="3887" spans="1:2" x14ac:dyDescent="0.25">
      <c r="A3887" s="388"/>
      <c r="B3887" s="388"/>
    </row>
    <row r="3888" spans="1:2" x14ac:dyDescent="0.25">
      <c r="A3888" s="388"/>
      <c r="B3888" s="388"/>
    </row>
    <row r="3889" spans="1:2" x14ac:dyDescent="0.25">
      <c r="A3889" s="388"/>
      <c r="B3889" s="388"/>
    </row>
    <row r="3890" spans="1:2" x14ac:dyDescent="0.25">
      <c r="A3890" s="388"/>
      <c r="B3890" s="388"/>
    </row>
    <row r="3891" spans="1:2" x14ac:dyDescent="0.25">
      <c r="A3891" s="388"/>
      <c r="B3891" s="388"/>
    </row>
    <row r="3892" spans="1:2" x14ac:dyDescent="0.25">
      <c r="A3892" s="388"/>
      <c r="B3892" s="388"/>
    </row>
    <row r="3893" spans="1:2" x14ac:dyDescent="0.25">
      <c r="A3893" s="388"/>
      <c r="B3893" s="388"/>
    </row>
    <row r="3894" spans="1:2" x14ac:dyDescent="0.25">
      <c r="A3894" s="388"/>
      <c r="B3894" s="388"/>
    </row>
    <row r="3895" spans="1:2" x14ac:dyDescent="0.25">
      <c r="A3895" s="388"/>
      <c r="B3895" s="388"/>
    </row>
    <row r="3896" spans="1:2" x14ac:dyDescent="0.25">
      <c r="A3896" s="388"/>
      <c r="B3896" s="388"/>
    </row>
    <row r="3897" spans="1:2" x14ac:dyDescent="0.25">
      <c r="A3897" s="388"/>
      <c r="B3897" s="388"/>
    </row>
    <row r="3898" spans="1:2" x14ac:dyDescent="0.25">
      <c r="A3898" s="388"/>
      <c r="B3898" s="388"/>
    </row>
    <row r="3899" spans="1:2" x14ac:dyDescent="0.25">
      <c r="A3899" s="388"/>
      <c r="B3899" s="388"/>
    </row>
    <row r="3900" spans="1:2" x14ac:dyDescent="0.25">
      <c r="A3900" s="388"/>
      <c r="B3900" s="388"/>
    </row>
    <row r="3901" spans="1:2" x14ac:dyDescent="0.25">
      <c r="A3901" s="388"/>
      <c r="B3901" s="388"/>
    </row>
    <row r="3902" spans="1:2" x14ac:dyDescent="0.25">
      <c r="A3902" s="388"/>
      <c r="B3902" s="388"/>
    </row>
    <row r="3903" spans="1:2" x14ac:dyDescent="0.25">
      <c r="A3903" s="388"/>
      <c r="B3903" s="388"/>
    </row>
    <row r="3904" spans="1:2" x14ac:dyDescent="0.25">
      <c r="A3904" s="388"/>
      <c r="B3904" s="388"/>
    </row>
    <row r="3905" spans="1:2" x14ac:dyDescent="0.25">
      <c r="A3905" s="388"/>
      <c r="B3905" s="388"/>
    </row>
    <row r="3906" spans="1:2" x14ac:dyDescent="0.25">
      <c r="A3906" s="388"/>
      <c r="B3906" s="388"/>
    </row>
    <row r="3907" spans="1:2" x14ac:dyDescent="0.25">
      <c r="A3907" s="388"/>
      <c r="B3907" s="388"/>
    </row>
    <row r="3908" spans="1:2" x14ac:dyDescent="0.25">
      <c r="A3908" s="388"/>
      <c r="B3908" s="388"/>
    </row>
    <row r="3909" spans="1:2" x14ac:dyDescent="0.25">
      <c r="A3909" s="388"/>
      <c r="B3909" s="388"/>
    </row>
    <row r="3910" spans="1:2" x14ac:dyDescent="0.25">
      <c r="A3910" s="388"/>
      <c r="B3910" s="388"/>
    </row>
    <row r="3911" spans="1:2" x14ac:dyDescent="0.25">
      <c r="A3911" s="388"/>
      <c r="B3911" s="388"/>
    </row>
    <row r="3912" spans="1:2" x14ac:dyDescent="0.25">
      <c r="A3912" s="388"/>
      <c r="B3912" s="388"/>
    </row>
    <row r="3913" spans="1:2" x14ac:dyDescent="0.25">
      <c r="A3913" s="388"/>
      <c r="B3913" s="388"/>
    </row>
    <row r="3914" spans="1:2" x14ac:dyDescent="0.25">
      <c r="A3914" s="388"/>
      <c r="B3914" s="388"/>
    </row>
    <row r="3915" spans="1:2" x14ac:dyDescent="0.25">
      <c r="A3915" s="388"/>
      <c r="B3915" s="388"/>
    </row>
    <row r="3916" spans="1:2" x14ac:dyDescent="0.25">
      <c r="A3916" s="388"/>
      <c r="B3916" s="388"/>
    </row>
    <row r="3917" spans="1:2" x14ac:dyDescent="0.25">
      <c r="A3917" s="388"/>
      <c r="B3917" s="388"/>
    </row>
    <row r="3918" spans="1:2" x14ac:dyDescent="0.25">
      <c r="A3918" s="388"/>
      <c r="B3918" s="388"/>
    </row>
    <row r="3919" spans="1:2" x14ac:dyDescent="0.25">
      <c r="A3919" s="388"/>
      <c r="B3919" s="388"/>
    </row>
    <row r="3920" spans="1:2" x14ac:dyDescent="0.25">
      <c r="A3920" s="388"/>
      <c r="B3920" s="388"/>
    </row>
    <row r="3921" spans="1:2" x14ac:dyDescent="0.25">
      <c r="A3921" s="388"/>
      <c r="B3921" s="388"/>
    </row>
    <row r="3922" spans="1:2" x14ac:dyDescent="0.25">
      <c r="A3922" s="388"/>
      <c r="B3922" s="388"/>
    </row>
    <row r="3923" spans="1:2" x14ac:dyDescent="0.25">
      <c r="A3923" s="388"/>
      <c r="B3923" s="388"/>
    </row>
    <row r="3924" spans="1:2" x14ac:dyDescent="0.25">
      <c r="A3924" s="388"/>
      <c r="B3924" s="388"/>
    </row>
    <row r="3925" spans="1:2" x14ac:dyDescent="0.25">
      <c r="A3925" s="388"/>
      <c r="B3925" s="388"/>
    </row>
    <row r="3926" spans="1:2" x14ac:dyDescent="0.25">
      <c r="A3926" s="388"/>
      <c r="B3926" s="388"/>
    </row>
    <row r="3927" spans="1:2" x14ac:dyDescent="0.25">
      <c r="A3927" s="388"/>
      <c r="B3927" s="388"/>
    </row>
    <row r="3928" spans="1:2" x14ac:dyDescent="0.25">
      <c r="A3928" s="388"/>
      <c r="B3928" s="388"/>
    </row>
    <row r="3929" spans="1:2" x14ac:dyDescent="0.25">
      <c r="A3929" s="388"/>
      <c r="B3929" s="388"/>
    </row>
    <row r="3930" spans="1:2" x14ac:dyDescent="0.25">
      <c r="A3930" s="388"/>
      <c r="B3930" s="388"/>
    </row>
    <row r="3931" spans="1:2" x14ac:dyDescent="0.25">
      <c r="A3931" s="388"/>
      <c r="B3931" s="388"/>
    </row>
    <row r="3932" spans="1:2" x14ac:dyDescent="0.25">
      <c r="A3932" s="388"/>
      <c r="B3932" s="388"/>
    </row>
    <row r="3933" spans="1:2" x14ac:dyDescent="0.25">
      <c r="A3933" s="388"/>
      <c r="B3933" s="388"/>
    </row>
    <row r="3934" spans="1:2" x14ac:dyDescent="0.25">
      <c r="A3934" s="388"/>
      <c r="B3934" s="388"/>
    </row>
    <row r="3935" spans="1:2" x14ac:dyDescent="0.25">
      <c r="A3935" s="388"/>
      <c r="B3935" s="388"/>
    </row>
    <row r="3936" spans="1:2" x14ac:dyDescent="0.25">
      <c r="A3936" s="388"/>
      <c r="B3936" s="388"/>
    </row>
    <row r="3937" spans="1:2" x14ac:dyDescent="0.25">
      <c r="A3937" s="388"/>
      <c r="B3937" s="388"/>
    </row>
    <row r="3938" spans="1:2" x14ac:dyDescent="0.25">
      <c r="A3938" s="388"/>
      <c r="B3938" s="388"/>
    </row>
    <row r="3939" spans="1:2" x14ac:dyDescent="0.25">
      <c r="A3939" s="388"/>
      <c r="B3939" s="388"/>
    </row>
    <row r="3940" spans="1:2" x14ac:dyDescent="0.25">
      <c r="A3940" s="388"/>
      <c r="B3940" s="388"/>
    </row>
    <row r="3941" spans="1:2" x14ac:dyDescent="0.25">
      <c r="A3941" s="388"/>
      <c r="B3941" s="388"/>
    </row>
    <row r="3942" spans="1:2" x14ac:dyDescent="0.25">
      <c r="A3942" s="388"/>
      <c r="B3942" s="388"/>
    </row>
    <row r="3943" spans="1:2" x14ac:dyDescent="0.25">
      <c r="A3943" s="388"/>
      <c r="B3943" s="388"/>
    </row>
    <row r="3944" spans="1:2" x14ac:dyDescent="0.25">
      <c r="A3944" s="388"/>
      <c r="B3944" s="388"/>
    </row>
    <row r="3945" spans="1:2" x14ac:dyDescent="0.25">
      <c r="A3945" s="388"/>
      <c r="B3945" s="388"/>
    </row>
    <row r="3946" spans="1:2" x14ac:dyDescent="0.25">
      <c r="A3946" s="388"/>
      <c r="B3946" s="388"/>
    </row>
    <row r="3947" spans="1:2" x14ac:dyDescent="0.25">
      <c r="A3947" s="388"/>
      <c r="B3947" s="388"/>
    </row>
    <row r="3948" spans="1:2" x14ac:dyDescent="0.25">
      <c r="A3948" s="388"/>
      <c r="B3948" s="388"/>
    </row>
    <row r="3949" spans="1:2" x14ac:dyDescent="0.25">
      <c r="A3949" s="388"/>
      <c r="B3949" s="388"/>
    </row>
    <row r="3950" spans="1:2" x14ac:dyDescent="0.25">
      <c r="A3950" s="388"/>
      <c r="B3950" s="388"/>
    </row>
    <row r="3951" spans="1:2" x14ac:dyDescent="0.25">
      <c r="A3951" s="388"/>
      <c r="B3951" s="388"/>
    </row>
    <row r="3952" spans="1:2" x14ac:dyDescent="0.25">
      <c r="A3952" s="388"/>
      <c r="B3952" s="388"/>
    </row>
    <row r="3953" spans="1:2" x14ac:dyDescent="0.25">
      <c r="A3953" s="388"/>
      <c r="B3953" s="388"/>
    </row>
    <row r="3954" spans="1:2" x14ac:dyDescent="0.25">
      <c r="A3954" s="388"/>
      <c r="B3954" s="388"/>
    </row>
    <row r="3955" spans="1:2" x14ac:dyDescent="0.25">
      <c r="A3955" s="388"/>
      <c r="B3955" s="388"/>
    </row>
    <row r="3956" spans="1:2" x14ac:dyDescent="0.25">
      <c r="A3956" s="388"/>
      <c r="B3956" s="388"/>
    </row>
    <row r="3957" spans="1:2" x14ac:dyDescent="0.25">
      <c r="A3957" s="388"/>
      <c r="B3957" s="388"/>
    </row>
    <row r="3958" spans="1:2" x14ac:dyDescent="0.25">
      <c r="A3958" s="388"/>
      <c r="B3958" s="388"/>
    </row>
    <row r="3959" spans="1:2" x14ac:dyDescent="0.25">
      <c r="A3959" s="388"/>
      <c r="B3959" s="388"/>
    </row>
    <row r="3960" spans="1:2" x14ac:dyDescent="0.25">
      <c r="A3960" s="388"/>
      <c r="B3960" s="388"/>
    </row>
    <row r="3961" spans="1:2" x14ac:dyDescent="0.25">
      <c r="A3961" s="388"/>
      <c r="B3961" s="388"/>
    </row>
    <row r="3962" spans="1:2" x14ac:dyDescent="0.25">
      <c r="A3962" s="388"/>
      <c r="B3962" s="388"/>
    </row>
    <row r="3963" spans="1:2" x14ac:dyDescent="0.25">
      <c r="A3963" s="388"/>
      <c r="B3963" s="388"/>
    </row>
    <row r="3964" spans="1:2" x14ac:dyDescent="0.25">
      <c r="A3964" s="388"/>
      <c r="B3964" s="388"/>
    </row>
    <row r="3965" spans="1:2" x14ac:dyDescent="0.25">
      <c r="A3965" s="388"/>
      <c r="B3965" s="388"/>
    </row>
    <row r="3966" spans="1:2" x14ac:dyDescent="0.25">
      <c r="A3966" s="388"/>
      <c r="B3966" s="388"/>
    </row>
    <row r="3967" spans="1:2" x14ac:dyDescent="0.25">
      <c r="A3967" s="388"/>
      <c r="B3967" s="388"/>
    </row>
    <row r="3968" spans="1:2" x14ac:dyDescent="0.25">
      <c r="A3968" s="388"/>
      <c r="B3968" s="388"/>
    </row>
    <row r="3969" spans="1:2" x14ac:dyDescent="0.25">
      <c r="A3969" s="388"/>
      <c r="B3969" s="388"/>
    </row>
    <row r="3970" spans="1:2" x14ac:dyDescent="0.25">
      <c r="A3970" s="388"/>
      <c r="B3970" s="388"/>
    </row>
    <row r="3971" spans="1:2" x14ac:dyDescent="0.25">
      <c r="A3971" s="388"/>
      <c r="B3971" s="388"/>
    </row>
    <row r="3972" spans="1:2" x14ac:dyDescent="0.25">
      <c r="A3972" s="388"/>
      <c r="B3972" s="388"/>
    </row>
    <row r="3973" spans="1:2" x14ac:dyDescent="0.25">
      <c r="A3973" s="388"/>
      <c r="B3973" s="388"/>
    </row>
    <row r="3974" spans="1:2" x14ac:dyDescent="0.25">
      <c r="A3974" s="388"/>
      <c r="B3974" s="388"/>
    </row>
    <row r="3975" spans="1:2" x14ac:dyDescent="0.25">
      <c r="A3975" s="388"/>
      <c r="B3975" s="388"/>
    </row>
    <row r="3976" spans="1:2" x14ac:dyDescent="0.25">
      <c r="A3976" s="388"/>
      <c r="B3976" s="388"/>
    </row>
    <row r="3977" spans="1:2" x14ac:dyDescent="0.25">
      <c r="A3977" s="388"/>
      <c r="B3977" s="388"/>
    </row>
    <row r="3978" spans="1:2" x14ac:dyDescent="0.25">
      <c r="A3978" s="388"/>
      <c r="B3978" s="388"/>
    </row>
    <row r="3979" spans="1:2" x14ac:dyDescent="0.25">
      <c r="A3979" s="388"/>
      <c r="B3979" s="388"/>
    </row>
    <row r="3980" spans="1:2" x14ac:dyDescent="0.25">
      <c r="A3980" s="388"/>
      <c r="B3980" s="388"/>
    </row>
    <row r="3981" spans="1:2" x14ac:dyDescent="0.25">
      <c r="A3981" s="388"/>
      <c r="B3981" s="388"/>
    </row>
    <row r="3982" spans="1:2" x14ac:dyDescent="0.25">
      <c r="A3982" s="388"/>
      <c r="B3982" s="388"/>
    </row>
    <row r="3983" spans="1:2" x14ac:dyDescent="0.25">
      <c r="A3983" s="388"/>
      <c r="B3983" s="388"/>
    </row>
    <row r="3984" spans="1:2" x14ac:dyDescent="0.25">
      <c r="A3984" s="388"/>
      <c r="B3984" s="388"/>
    </row>
    <row r="3985" spans="1:2" x14ac:dyDescent="0.25">
      <c r="A3985" s="388"/>
      <c r="B3985" s="388"/>
    </row>
    <row r="3986" spans="1:2" x14ac:dyDescent="0.25">
      <c r="A3986" s="388"/>
      <c r="B3986" s="388"/>
    </row>
    <row r="3987" spans="1:2" x14ac:dyDescent="0.25">
      <c r="A3987" s="388"/>
      <c r="B3987" s="388"/>
    </row>
    <row r="3988" spans="1:2" x14ac:dyDescent="0.25">
      <c r="A3988" s="388"/>
      <c r="B3988" s="388"/>
    </row>
    <row r="3989" spans="1:2" x14ac:dyDescent="0.25">
      <c r="A3989" s="388"/>
      <c r="B3989" s="388"/>
    </row>
    <row r="3990" spans="1:2" x14ac:dyDescent="0.25">
      <c r="A3990" s="388"/>
      <c r="B3990" s="388"/>
    </row>
    <row r="3991" spans="1:2" x14ac:dyDescent="0.25">
      <c r="A3991" s="388"/>
      <c r="B3991" s="388"/>
    </row>
    <row r="3992" spans="1:2" x14ac:dyDescent="0.25">
      <c r="A3992" s="388"/>
      <c r="B3992" s="388"/>
    </row>
    <row r="3993" spans="1:2" x14ac:dyDescent="0.25">
      <c r="A3993" s="388"/>
      <c r="B3993" s="388"/>
    </row>
    <row r="3994" spans="1:2" x14ac:dyDescent="0.25">
      <c r="A3994" s="388"/>
      <c r="B3994" s="388"/>
    </row>
    <row r="3995" spans="1:2" x14ac:dyDescent="0.25">
      <c r="A3995" s="388"/>
      <c r="B3995" s="388"/>
    </row>
    <row r="3996" spans="1:2" x14ac:dyDescent="0.25">
      <c r="A3996" s="388"/>
      <c r="B3996" s="388"/>
    </row>
    <row r="3997" spans="1:2" x14ac:dyDescent="0.25">
      <c r="A3997" s="388"/>
      <c r="B3997" s="388"/>
    </row>
    <row r="3998" spans="1:2" x14ac:dyDescent="0.25">
      <c r="A3998" s="388"/>
      <c r="B3998" s="388"/>
    </row>
    <row r="3999" spans="1:2" x14ac:dyDescent="0.25">
      <c r="A3999" s="388"/>
      <c r="B3999" s="388"/>
    </row>
    <row r="4000" spans="1:2" x14ac:dyDescent="0.25">
      <c r="A4000" s="388"/>
      <c r="B4000" s="388"/>
    </row>
    <row r="4001" spans="1:2" x14ac:dyDescent="0.25">
      <c r="A4001" s="388"/>
      <c r="B4001" s="388"/>
    </row>
    <row r="4002" spans="1:2" x14ac:dyDescent="0.25">
      <c r="A4002" s="388"/>
      <c r="B4002" s="388"/>
    </row>
    <row r="4003" spans="1:2" x14ac:dyDescent="0.25">
      <c r="A4003" s="388"/>
      <c r="B4003" s="388"/>
    </row>
    <row r="4004" spans="1:2" x14ac:dyDescent="0.25">
      <c r="A4004" s="388"/>
      <c r="B4004" s="388"/>
    </row>
    <row r="4005" spans="1:2" x14ac:dyDescent="0.25">
      <c r="A4005" s="388"/>
      <c r="B4005" s="388"/>
    </row>
    <row r="4006" spans="1:2" x14ac:dyDescent="0.25">
      <c r="A4006" s="388"/>
      <c r="B4006" s="388"/>
    </row>
    <row r="4007" spans="1:2" x14ac:dyDescent="0.25">
      <c r="A4007" s="388"/>
      <c r="B4007" s="388"/>
    </row>
    <row r="4008" spans="1:2" x14ac:dyDescent="0.25">
      <c r="A4008" s="388"/>
      <c r="B4008" s="388"/>
    </row>
    <row r="4009" spans="1:2" x14ac:dyDescent="0.25">
      <c r="A4009" s="388"/>
      <c r="B4009" s="388"/>
    </row>
    <row r="4010" spans="1:2" x14ac:dyDescent="0.25">
      <c r="A4010" s="388"/>
      <c r="B4010" s="388"/>
    </row>
    <row r="4011" spans="1:2" x14ac:dyDescent="0.25">
      <c r="A4011" s="388"/>
      <c r="B4011" s="388"/>
    </row>
    <row r="4012" spans="1:2" x14ac:dyDescent="0.25">
      <c r="A4012" s="388"/>
      <c r="B4012" s="388"/>
    </row>
    <row r="4013" spans="1:2" x14ac:dyDescent="0.25">
      <c r="A4013" s="388"/>
      <c r="B4013" s="388"/>
    </row>
    <row r="4014" spans="1:2" x14ac:dyDescent="0.25">
      <c r="A4014" s="388"/>
      <c r="B4014" s="388"/>
    </row>
    <row r="4015" spans="1:2" x14ac:dyDescent="0.25">
      <c r="A4015" s="388"/>
      <c r="B4015" s="388"/>
    </row>
    <row r="4016" spans="1:2" x14ac:dyDescent="0.25">
      <c r="A4016" s="388"/>
      <c r="B4016" s="388"/>
    </row>
    <row r="4017" spans="1:2" x14ac:dyDescent="0.25">
      <c r="A4017" s="388"/>
      <c r="B4017" s="388"/>
    </row>
    <row r="4018" spans="1:2" x14ac:dyDescent="0.25">
      <c r="A4018" s="388"/>
      <c r="B4018" s="388"/>
    </row>
    <row r="4019" spans="1:2" x14ac:dyDescent="0.25">
      <c r="A4019" s="388"/>
      <c r="B4019" s="388"/>
    </row>
    <row r="4020" spans="1:2" x14ac:dyDescent="0.25">
      <c r="A4020" s="388"/>
      <c r="B4020" s="388"/>
    </row>
    <row r="4021" spans="1:2" x14ac:dyDescent="0.25">
      <c r="A4021" s="388"/>
      <c r="B4021" s="388"/>
    </row>
    <row r="4022" spans="1:2" x14ac:dyDescent="0.25">
      <c r="A4022" s="388"/>
      <c r="B4022" s="388"/>
    </row>
    <row r="4023" spans="1:2" x14ac:dyDescent="0.25">
      <c r="A4023" s="388"/>
      <c r="B4023" s="388"/>
    </row>
    <row r="4024" spans="1:2" x14ac:dyDescent="0.25">
      <c r="A4024" s="388"/>
      <c r="B4024" s="388"/>
    </row>
    <row r="4025" spans="1:2" x14ac:dyDescent="0.25">
      <c r="A4025" s="388"/>
      <c r="B4025" s="388"/>
    </row>
    <row r="4026" spans="1:2" x14ac:dyDescent="0.25">
      <c r="A4026" s="388"/>
      <c r="B4026" s="388"/>
    </row>
    <row r="4027" spans="1:2" x14ac:dyDescent="0.25">
      <c r="A4027" s="388"/>
      <c r="B4027" s="388"/>
    </row>
    <row r="4028" spans="1:2" x14ac:dyDescent="0.25">
      <c r="A4028" s="388"/>
      <c r="B4028" s="388"/>
    </row>
    <row r="4029" spans="1:2" x14ac:dyDescent="0.25">
      <c r="A4029" s="388"/>
      <c r="B4029" s="388"/>
    </row>
    <row r="4030" spans="1:2" x14ac:dyDescent="0.25">
      <c r="A4030" s="388"/>
      <c r="B4030" s="388"/>
    </row>
    <row r="4031" spans="1:2" x14ac:dyDescent="0.25">
      <c r="A4031" s="388"/>
      <c r="B4031" s="388"/>
    </row>
    <row r="4032" spans="1:2" x14ac:dyDescent="0.25">
      <c r="A4032" s="388"/>
      <c r="B4032" s="388"/>
    </row>
    <row r="4033" spans="1:2" x14ac:dyDescent="0.25">
      <c r="A4033" s="388"/>
      <c r="B4033" s="388"/>
    </row>
    <row r="4034" spans="1:2" x14ac:dyDescent="0.25">
      <c r="A4034" s="388"/>
      <c r="B4034" s="388"/>
    </row>
    <row r="4035" spans="1:2" x14ac:dyDescent="0.25">
      <c r="A4035" s="388"/>
      <c r="B4035" s="388"/>
    </row>
    <row r="4036" spans="1:2" x14ac:dyDescent="0.25">
      <c r="A4036" s="388"/>
      <c r="B4036" s="388"/>
    </row>
    <row r="4037" spans="1:2" x14ac:dyDescent="0.25">
      <c r="A4037" s="388"/>
      <c r="B4037" s="388"/>
    </row>
    <row r="4038" spans="1:2" x14ac:dyDescent="0.25">
      <c r="A4038" s="388"/>
      <c r="B4038" s="388"/>
    </row>
    <row r="4039" spans="1:2" x14ac:dyDescent="0.25">
      <c r="A4039" s="388"/>
      <c r="B4039" s="388"/>
    </row>
    <row r="4040" spans="1:2" x14ac:dyDescent="0.25">
      <c r="A4040" s="388"/>
      <c r="B4040" s="388"/>
    </row>
    <row r="4041" spans="1:2" x14ac:dyDescent="0.25">
      <c r="A4041" s="388"/>
      <c r="B4041" s="388"/>
    </row>
    <row r="4042" spans="1:2" x14ac:dyDescent="0.25">
      <c r="A4042" s="388"/>
      <c r="B4042" s="388"/>
    </row>
    <row r="4043" spans="1:2" x14ac:dyDescent="0.25">
      <c r="A4043" s="388"/>
      <c r="B4043" s="388"/>
    </row>
    <row r="4044" spans="1:2" x14ac:dyDescent="0.25">
      <c r="A4044" s="388"/>
      <c r="B4044" s="388"/>
    </row>
    <row r="4045" spans="1:2" x14ac:dyDescent="0.25">
      <c r="A4045" s="388"/>
      <c r="B4045" s="388"/>
    </row>
    <row r="4046" spans="1:2" x14ac:dyDescent="0.25">
      <c r="A4046" s="388"/>
      <c r="B4046" s="388"/>
    </row>
    <row r="4047" spans="1:2" x14ac:dyDescent="0.25">
      <c r="A4047" s="388"/>
      <c r="B4047" s="388"/>
    </row>
    <row r="4048" spans="1:2" x14ac:dyDescent="0.25">
      <c r="A4048" s="388"/>
      <c r="B4048" s="388"/>
    </row>
    <row r="4049" spans="1:2" x14ac:dyDescent="0.25">
      <c r="A4049" s="388"/>
      <c r="B4049" s="388"/>
    </row>
    <row r="4050" spans="1:2" x14ac:dyDescent="0.25">
      <c r="A4050" s="388"/>
      <c r="B4050" s="388"/>
    </row>
    <row r="4051" spans="1:2" x14ac:dyDescent="0.25">
      <c r="A4051" s="388"/>
      <c r="B4051" s="388"/>
    </row>
    <row r="4052" spans="1:2" x14ac:dyDescent="0.25">
      <c r="A4052" s="388"/>
      <c r="B4052" s="388"/>
    </row>
    <row r="4053" spans="1:2" x14ac:dyDescent="0.25">
      <c r="A4053" s="388"/>
      <c r="B4053" s="388"/>
    </row>
    <row r="4054" spans="1:2" x14ac:dyDescent="0.25">
      <c r="A4054" s="388"/>
      <c r="B4054" s="388"/>
    </row>
    <row r="4055" spans="1:2" x14ac:dyDescent="0.25">
      <c r="A4055" s="388"/>
      <c r="B4055" s="388"/>
    </row>
    <row r="4056" spans="1:2" x14ac:dyDescent="0.25">
      <c r="A4056" s="388"/>
      <c r="B4056" s="388"/>
    </row>
    <row r="4057" spans="1:2" x14ac:dyDescent="0.25">
      <c r="A4057" s="388"/>
      <c r="B4057" s="388"/>
    </row>
    <row r="4058" spans="1:2" x14ac:dyDescent="0.25">
      <c r="A4058" s="388"/>
      <c r="B4058" s="388"/>
    </row>
    <row r="4059" spans="1:2" x14ac:dyDescent="0.25">
      <c r="A4059" s="388"/>
      <c r="B4059" s="388"/>
    </row>
    <row r="4060" spans="1:2" x14ac:dyDescent="0.25">
      <c r="A4060" s="388"/>
      <c r="B4060" s="388"/>
    </row>
    <row r="4061" spans="1:2" x14ac:dyDescent="0.25">
      <c r="A4061" s="388"/>
      <c r="B4061" s="388"/>
    </row>
    <row r="4062" spans="1:2" x14ac:dyDescent="0.25">
      <c r="A4062" s="388"/>
      <c r="B4062" s="388"/>
    </row>
    <row r="4063" spans="1:2" x14ac:dyDescent="0.25">
      <c r="A4063" s="388"/>
      <c r="B4063" s="388"/>
    </row>
    <row r="4064" spans="1:2" x14ac:dyDescent="0.25">
      <c r="A4064" s="388"/>
      <c r="B4064" s="388"/>
    </row>
    <row r="4065" spans="1:2" x14ac:dyDescent="0.25">
      <c r="A4065" s="388"/>
      <c r="B4065" s="388"/>
    </row>
    <row r="4066" spans="1:2" x14ac:dyDescent="0.25">
      <c r="A4066" s="388"/>
      <c r="B4066" s="388"/>
    </row>
    <row r="4067" spans="1:2" x14ac:dyDescent="0.25">
      <c r="A4067" s="388"/>
      <c r="B4067" s="388"/>
    </row>
    <row r="4068" spans="1:2" x14ac:dyDescent="0.25">
      <c r="A4068" s="388"/>
      <c r="B4068" s="388"/>
    </row>
    <row r="4069" spans="1:2" x14ac:dyDescent="0.25">
      <c r="A4069" s="388"/>
      <c r="B4069" s="388"/>
    </row>
    <row r="4070" spans="1:2" x14ac:dyDescent="0.25">
      <c r="A4070" s="388"/>
      <c r="B4070" s="388"/>
    </row>
    <row r="4071" spans="1:2" x14ac:dyDescent="0.25">
      <c r="A4071" s="388"/>
      <c r="B4071" s="388"/>
    </row>
    <row r="4072" spans="1:2" x14ac:dyDescent="0.25">
      <c r="A4072" s="388"/>
      <c r="B4072" s="388"/>
    </row>
    <row r="4073" spans="1:2" x14ac:dyDescent="0.25">
      <c r="A4073" s="388"/>
      <c r="B4073" s="388"/>
    </row>
    <row r="4074" spans="1:2" x14ac:dyDescent="0.25">
      <c r="A4074" s="388"/>
      <c r="B4074" s="388"/>
    </row>
    <row r="4075" spans="1:2" x14ac:dyDescent="0.25">
      <c r="A4075" s="388"/>
      <c r="B4075" s="388"/>
    </row>
    <row r="4076" spans="1:2" x14ac:dyDescent="0.25">
      <c r="A4076" s="388"/>
      <c r="B4076" s="388"/>
    </row>
    <row r="4077" spans="1:2" x14ac:dyDescent="0.25">
      <c r="A4077" s="388"/>
      <c r="B4077" s="388"/>
    </row>
    <row r="4078" spans="1:2" x14ac:dyDescent="0.25">
      <c r="A4078" s="388"/>
      <c r="B4078" s="388"/>
    </row>
    <row r="4079" spans="1:2" x14ac:dyDescent="0.25">
      <c r="A4079" s="388"/>
      <c r="B4079" s="388"/>
    </row>
    <row r="4080" spans="1:2" x14ac:dyDescent="0.25">
      <c r="A4080" s="388"/>
      <c r="B4080" s="388"/>
    </row>
    <row r="4081" spans="1:2" x14ac:dyDescent="0.25">
      <c r="A4081" s="388"/>
      <c r="B4081" s="388"/>
    </row>
    <row r="4082" spans="1:2" x14ac:dyDescent="0.25">
      <c r="A4082" s="388"/>
      <c r="B4082" s="388"/>
    </row>
    <row r="4083" spans="1:2" x14ac:dyDescent="0.25">
      <c r="A4083" s="388"/>
      <c r="B4083" s="388"/>
    </row>
    <row r="4084" spans="1:2" x14ac:dyDescent="0.25">
      <c r="A4084" s="388"/>
      <c r="B4084" s="388"/>
    </row>
    <row r="4085" spans="1:2" x14ac:dyDescent="0.25">
      <c r="A4085" s="388"/>
      <c r="B4085" s="388"/>
    </row>
    <row r="4086" spans="1:2" x14ac:dyDescent="0.25">
      <c r="A4086" s="388"/>
      <c r="B4086" s="388"/>
    </row>
    <row r="4087" spans="1:2" x14ac:dyDescent="0.25">
      <c r="A4087" s="388"/>
      <c r="B4087" s="388"/>
    </row>
    <row r="4088" spans="1:2" x14ac:dyDescent="0.25">
      <c r="A4088" s="388"/>
      <c r="B4088" s="388"/>
    </row>
    <row r="4089" spans="1:2" x14ac:dyDescent="0.25">
      <c r="A4089" s="388"/>
      <c r="B4089" s="388"/>
    </row>
    <row r="4090" spans="1:2" x14ac:dyDescent="0.25">
      <c r="A4090" s="388"/>
      <c r="B4090" s="388"/>
    </row>
    <row r="4091" spans="1:2" x14ac:dyDescent="0.25">
      <c r="A4091" s="388"/>
      <c r="B4091" s="388"/>
    </row>
    <row r="4092" spans="1:2" x14ac:dyDescent="0.25">
      <c r="A4092" s="388"/>
      <c r="B4092" s="388"/>
    </row>
    <row r="4093" spans="1:2" x14ac:dyDescent="0.25">
      <c r="A4093" s="388"/>
      <c r="B4093" s="388"/>
    </row>
    <row r="4094" spans="1:2" x14ac:dyDescent="0.25">
      <c r="A4094" s="388"/>
      <c r="B4094" s="388"/>
    </row>
    <row r="4095" spans="1:2" x14ac:dyDescent="0.25">
      <c r="A4095" s="388"/>
      <c r="B4095" s="388"/>
    </row>
    <row r="4096" spans="1:2" x14ac:dyDescent="0.25">
      <c r="A4096" s="388"/>
      <c r="B4096" s="388"/>
    </row>
    <row r="4097" spans="1:2" x14ac:dyDescent="0.25">
      <c r="A4097" s="388"/>
      <c r="B4097" s="388"/>
    </row>
    <row r="4098" spans="1:2" x14ac:dyDescent="0.25">
      <c r="A4098" s="388"/>
      <c r="B4098" s="388"/>
    </row>
    <row r="4099" spans="1:2" x14ac:dyDescent="0.25">
      <c r="A4099" s="388"/>
      <c r="B4099" s="388"/>
    </row>
    <row r="4100" spans="1:2" x14ac:dyDescent="0.25">
      <c r="A4100" s="388"/>
      <c r="B4100" s="388"/>
    </row>
    <row r="4101" spans="1:2" x14ac:dyDescent="0.25">
      <c r="A4101" s="388"/>
      <c r="B4101" s="388"/>
    </row>
    <row r="4102" spans="1:2" x14ac:dyDescent="0.25">
      <c r="A4102" s="388"/>
      <c r="B4102" s="388"/>
    </row>
    <row r="4103" spans="1:2" x14ac:dyDescent="0.25">
      <c r="A4103" s="388"/>
      <c r="B4103" s="388"/>
    </row>
    <row r="4104" spans="1:2" x14ac:dyDescent="0.25">
      <c r="A4104" s="388"/>
      <c r="B4104" s="388"/>
    </row>
    <row r="4105" spans="1:2" x14ac:dyDescent="0.25">
      <c r="A4105" s="388"/>
      <c r="B4105" s="388"/>
    </row>
    <row r="4106" spans="1:2" x14ac:dyDescent="0.25">
      <c r="A4106" s="388"/>
      <c r="B4106" s="388"/>
    </row>
    <row r="4107" spans="1:2" x14ac:dyDescent="0.25">
      <c r="A4107" s="388"/>
      <c r="B4107" s="388"/>
    </row>
    <row r="4108" spans="1:2" x14ac:dyDescent="0.25">
      <c r="A4108" s="388"/>
      <c r="B4108" s="388"/>
    </row>
    <row r="4109" spans="1:2" x14ac:dyDescent="0.25">
      <c r="A4109" s="388"/>
      <c r="B4109" s="388"/>
    </row>
    <row r="4110" spans="1:2" x14ac:dyDescent="0.25">
      <c r="A4110" s="388"/>
      <c r="B4110" s="388"/>
    </row>
    <row r="4111" spans="1:2" x14ac:dyDescent="0.25">
      <c r="A4111" s="388"/>
      <c r="B4111" s="388"/>
    </row>
    <row r="4112" spans="1:2" x14ac:dyDescent="0.25">
      <c r="A4112" s="388"/>
      <c r="B4112" s="388"/>
    </row>
    <row r="4113" spans="1:2" x14ac:dyDescent="0.25">
      <c r="A4113" s="388"/>
      <c r="B4113" s="388"/>
    </row>
    <row r="4114" spans="1:2" x14ac:dyDescent="0.25">
      <c r="A4114" s="388"/>
      <c r="B4114" s="388"/>
    </row>
    <row r="4115" spans="1:2" x14ac:dyDescent="0.25">
      <c r="A4115" s="388"/>
      <c r="B4115" s="388"/>
    </row>
    <row r="4116" spans="1:2" x14ac:dyDescent="0.25">
      <c r="A4116" s="388"/>
      <c r="B4116" s="388"/>
    </row>
    <row r="4117" spans="1:2" x14ac:dyDescent="0.25">
      <c r="A4117" s="388"/>
      <c r="B4117" s="388"/>
    </row>
    <row r="4118" spans="1:2" x14ac:dyDescent="0.25">
      <c r="A4118" s="388"/>
      <c r="B4118" s="388"/>
    </row>
    <row r="4119" spans="1:2" x14ac:dyDescent="0.25">
      <c r="A4119" s="388"/>
      <c r="B4119" s="388"/>
    </row>
    <row r="4120" spans="1:2" x14ac:dyDescent="0.25">
      <c r="A4120" s="388"/>
      <c r="B4120" s="388"/>
    </row>
    <row r="4121" spans="1:2" x14ac:dyDescent="0.25">
      <c r="A4121" s="388"/>
      <c r="B4121" s="388"/>
    </row>
    <row r="4122" spans="1:2" x14ac:dyDescent="0.25">
      <c r="A4122" s="388"/>
      <c r="B4122" s="388"/>
    </row>
    <row r="4123" spans="1:2" x14ac:dyDescent="0.25">
      <c r="A4123" s="388"/>
      <c r="B4123" s="388"/>
    </row>
    <row r="4124" spans="1:2" x14ac:dyDescent="0.25">
      <c r="A4124" s="388"/>
      <c r="B4124" s="388"/>
    </row>
    <row r="4125" spans="1:2" x14ac:dyDescent="0.25">
      <c r="A4125" s="388"/>
      <c r="B4125" s="388"/>
    </row>
    <row r="4126" spans="1:2" x14ac:dyDescent="0.25">
      <c r="A4126" s="388"/>
      <c r="B4126" s="388"/>
    </row>
    <row r="4127" spans="1:2" x14ac:dyDescent="0.25">
      <c r="A4127" s="388"/>
      <c r="B4127" s="388"/>
    </row>
    <row r="4128" spans="1:2" x14ac:dyDescent="0.25">
      <c r="A4128" s="388"/>
      <c r="B4128" s="388"/>
    </row>
    <row r="4129" spans="1:2" x14ac:dyDescent="0.25">
      <c r="A4129" s="388"/>
      <c r="B4129" s="388"/>
    </row>
    <row r="4130" spans="1:2" x14ac:dyDescent="0.25">
      <c r="A4130" s="388"/>
      <c r="B4130" s="388"/>
    </row>
    <row r="4131" spans="1:2" x14ac:dyDescent="0.25">
      <c r="A4131" s="388"/>
      <c r="B4131" s="388"/>
    </row>
    <row r="4132" spans="1:2" x14ac:dyDescent="0.25">
      <c r="A4132" s="388"/>
      <c r="B4132" s="388"/>
    </row>
    <row r="4133" spans="1:2" x14ac:dyDescent="0.25">
      <c r="A4133" s="388"/>
      <c r="B4133" s="388"/>
    </row>
    <row r="4134" spans="1:2" x14ac:dyDescent="0.25">
      <c r="A4134" s="388"/>
      <c r="B4134" s="388"/>
    </row>
    <row r="4135" spans="1:2" x14ac:dyDescent="0.25">
      <c r="A4135" s="388"/>
      <c r="B4135" s="388"/>
    </row>
    <row r="4136" spans="1:2" x14ac:dyDescent="0.25">
      <c r="A4136" s="388"/>
      <c r="B4136" s="388"/>
    </row>
    <row r="4137" spans="1:2" x14ac:dyDescent="0.25">
      <c r="A4137" s="388"/>
      <c r="B4137" s="388"/>
    </row>
    <row r="4138" spans="1:2" x14ac:dyDescent="0.25">
      <c r="A4138" s="388"/>
      <c r="B4138" s="388"/>
    </row>
    <row r="4139" spans="1:2" x14ac:dyDescent="0.25">
      <c r="A4139" s="388"/>
      <c r="B4139" s="388"/>
    </row>
    <row r="4140" spans="1:2" x14ac:dyDescent="0.25">
      <c r="A4140" s="388"/>
      <c r="B4140" s="388"/>
    </row>
    <row r="4141" spans="1:2" x14ac:dyDescent="0.25">
      <c r="A4141" s="388"/>
      <c r="B4141" s="388"/>
    </row>
    <row r="4142" spans="1:2" x14ac:dyDescent="0.25">
      <c r="A4142" s="388"/>
      <c r="B4142" s="388"/>
    </row>
    <row r="4143" spans="1:2" x14ac:dyDescent="0.25">
      <c r="A4143" s="388"/>
      <c r="B4143" s="388"/>
    </row>
    <row r="4144" spans="1:2" x14ac:dyDescent="0.25">
      <c r="A4144" s="388"/>
      <c r="B4144" s="388"/>
    </row>
    <row r="4145" spans="1:2" x14ac:dyDescent="0.25">
      <c r="A4145" s="388"/>
      <c r="B4145" s="388"/>
    </row>
    <row r="4146" spans="1:2" x14ac:dyDescent="0.25">
      <c r="A4146" s="388"/>
      <c r="B4146" s="388"/>
    </row>
    <row r="4147" spans="1:2" x14ac:dyDescent="0.25">
      <c r="A4147" s="388"/>
      <c r="B4147" s="388"/>
    </row>
    <row r="4148" spans="1:2" x14ac:dyDescent="0.25">
      <c r="A4148" s="388"/>
      <c r="B4148" s="388"/>
    </row>
    <row r="4149" spans="1:2" x14ac:dyDescent="0.25">
      <c r="A4149" s="388"/>
      <c r="B4149" s="388"/>
    </row>
    <row r="4150" spans="1:2" x14ac:dyDescent="0.25">
      <c r="A4150" s="388"/>
      <c r="B4150" s="388"/>
    </row>
    <row r="4151" spans="1:2" x14ac:dyDescent="0.25">
      <c r="A4151" s="388"/>
      <c r="B4151" s="388"/>
    </row>
    <row r="4152" spans="1:2" x14ac:dyDescent="0.25">
      <c r="A4152" s="388"/>
      <c r="B4152" s="388"/>
    </row>
    <row r="4153" spans="1:2" x14ac:dyDescent="0.25">
      <c r="A4153" s="388"/>
      <c r="B4153" s="388"/>
    </row>
    <row r="4154" spans="1:2" x14ac:dyDescent="0.25">
      <c r="A4154" s="388"/>
      <c r="B4154" s="388"/>
    </row>
    <row r="4155" spans="1:2" x14ac:dyDescent="0.25">
      <c r="A4155" s="388"/>
      <c r="B4155" s="388"/>
    </row>
    <row r="4156" spans="1:2" x14ac:dyDescent="0.25">
      <c r="A4156" s="388"/>
      <c r="B4156" s="388"/>
    </row>
    <row r="4157" spans="1:2" x14ac:dyDescent="0.25">
      <c r="A4157" s="388"/>
      <c r="B4157" s="388"/>
    </row>
    <row r="4158" spans="1:2" x14ac:dyDescent="0.25">
      <c r="A4158" s="388"/>
      <c r="B4158" s="388"/>
    </row>
    <row r="4159" spans="1:2" x14ac:dyDescent="0.25">
      <c r="A4159" s="388"/>
      <c r="B4159" s="388"/>
    </row>
    <row r="4160" spans="1:2" x14ac:dyDescent="0.25">
      <c r="A4160" s="388"/>
      <c r="B4160" s="388"/>
    </row>
    <row r="4161" spans="1:2" x14ac:dyDescent="0.25">
      <c r="A4161" s="388"/>
      <c r="B4161" s="388"/>
    </row>
    <row r="4162" spans="1:2" x14ac:dyDescent="0.25">
      <c r="A4162" s="388"/>
      <c r="B4162" s="388"/>
    </row>
    <row r="4163" spans="1:2" x14ac:dyDescent="0.25">
      <c r="A4163" s="388"/>
      <c r="B4163" s="388"/>
    </row>
    <row r="4164" spans="1:2" x14ac:dyDescent="0.25">
      <c r="A4164" s="388"/>
      <c r="B4164" s="388"/>
    </row>
    <row r="4165" spans="1:2" x14ac:dyDescent="0.25">
      <c r="A4165" s="388"/>
      <c r="B4165" s="388"/>
    </row>
    <row r="4166" spans="1:2" x14ac:dyDescent="0.25">
      <c r="A4166" s="388"/>
      <c r="B4166" s="388"/>
    </row>
    <row r="4167" spans="1:2" x14ac:dyDescent="0.25">
      <c r="A4167" s="388"/>
      <c r="B4167" s="388"/>
    </row>
    <row r="4168" spans="1:2" x14ac:dyDescent="0.25">
      <c r="A4168" s="388"/>
      <c r="B4168" s="388"/>
    </row>
    <row r="4169" spans="1:2" x14ac:dyDescent="0.25">
      <c r="A4169" s="388"/>
      <c r="B4169" s="388"/>
    </row>
    <row r="4170" spans="1:2" x14ac:dyDescent="0.25">
      <c r="A4170" s="388"/>
      <c r="B4170" s="388"/>
    </row>
    <row r="4171" spans="1:2" x14ac:dyDescent="0.25">
      <c r="A4171" s="388"/>
      <c r="B4171" s="388"/>
    </row>
    <row r="4172" spans="1:2" x14ac:dyDescent="0.25">
      <c r="A4172" s="388"/>
      <c r="B4172" s="388"/>
    </row>
    <row r="4173" spans="1:2" x14ac:dyDescent="0.25">
      <c r="A4173" s="388"/>
      <c r="B4173" s="388"/>
    </row>
    <row r="4174" spans="1:2" x14ac:dyDescent="0.25">
      <c r="A4174" s="388"/>
      <c r="B4174" s="388"/>
    </row>
    <row r="4175" spans="1:2" x14ac:dyDescent="0.25">
      <c r="A4175" s="388"/>
      <c r="B4175" s="388"/>
    </row>
    <row r="4176" spans="1:2" x14ac:dyDescent="0.25">
      <c r="A4176" s="388"/>
      <c r="B4176" s="388"/>
    </row>
    <row r="4177" spans="1:2" x14ac:dyDescent="0.25">
      <c r="A4177" s="388"/>
      <c r="B4177" s="388"/>
    </row>
    <row r="4178" spans="1:2" x14ac:dyDescent="0.25">
      <c r="A4178" s="388"/>
      <c r="B4178" s="388"/>
    </row>
    <row r="4179" spans="1:2" x14ac:dyDescent="0.25">
      <c r="A4179" s="388"/>
      <c r="B4179" s="388"/>
    </row>
    <row r="4180" spans="1:2" x14ac:dyDescent="0.25">
      <c r="A4180" s="388"/>
      <c r="B4180" s="388"/>
    </row>
    <row r="4181" spans="1:2" x14ac:dyDescent="0.25">
      <c r="A4181" s="388"/>
      <c r="B4181" s="388"/>
    </row>
    <row r="4182" spans="1:2" x14ac:dyDescent="0.25">
      <c r="A4182" s="388"/>
      <c r="B4182" s="388"/>
    </row>
    <row r="4183" spans="1:2" x14ac:dyDescent="0.25">
      <c r="A4183" s="388"/>
      <c r="B4183" s="388"/>
    </row>
    <row r="4184" spans="1:2" x14ac:dyDescent="0.25">
      <c r="A4184" s="388"/>
      <c r="B4184" s="388"/>
    </row>
    <row r="4185" spans="1:2" x14ac:dyDescent="0.25">
      <c r="A4185" s="388"/>
      <c r="B4185" s="388"/>
    </row>
    <row r="4186" spans="1:2" x14ac:dyDescent="0.25">
      <c r="A4186" s="388"/>
      <c r="B4186" s="388"/>
    </row>
    <row r="4187" spans="1:2" x14ac:dyDescent="0.25">
      <c r="A4187" s="388"/>
      <c r="B4187" s="388"/>
    </row>
    <row r="4188" spans="1:2" x14ac:dyDescent="0.25">
      <c r="A4188" s="388"/>
      <c r="B4188" s="388"/>
    </row>
    <row r="4189" spans="1:2" x14ac:dyDescent="0.25">
      <c r="A4189" s="388"/>
      <c r="B4189" s="388"/>
    </row>
    <row r="4190" spans="1:2" x14ac:dyDescent="0.25">
      <c r="A4190" s="388"/>
      <c r="B4190" s="388"/>
    </row>
    <row r="4191" spans="1:2" x14ac:dyDescent="0.25">
      <c r="A4191" s="388"/>
      <c r="B4191" s="388"/>
    </row>
    <row r="4192" spans="1:2" x14ac:dyDescent="0.25">
      <c r="A4192" s="388"/>
      <c r="B4192" s="388"/>
    </row>
    <row r="4193" spans="1:2" x14ac:dyDescent="0.25">
      <c r="A4193" s="388"/>
      <c r="B4193" s="388"/>
    </row>
    <row r="4194" spans="1:2" x14ac:dyDescent="0.25">
      <c r="A4194" s="388"/>
      <c r="B4194" s="388"/>
    </row>
    <row r="4195" spans="1:2" x14ac:dyDescent="0.25">
      <c r="A4195" s="388"/>
      <c r="B4195" s="388"/>
    </row>
    <row r="4196" spans="1:2" x14ac:dyDescent="0.25">
      <c r="A4196" s="388"/>
      <c r="B4196" s="388"/>
    </row>
    <row r="4197" spans="1:2" x14ac:dyDescent="0.25">
      <c r="A4197" s="388"/>
      <c r="B4197" s="388"/>
    </row>
    <row r="4198" spans="1:2" x14ac:dyDescent="0.25">
      <c r="A4198" s="388"/>
      <c r="B4198" s="388"/>
    </row>
    <row r="4199" spans="1:2" x14ac:dyDescent="0.25">
      <c r="A4199" s="388"/>
      <c r="B4199" s="388"/>
    </row>
    <row r="4200" spans="1:2" x14ac:dyDescent="0.25">
      <c r="A4200" s="388"/>
      <c r="B4200" s="388"/>
    </row>
    <row r="4201" spans="1:2" x14ac:dyDescent="0.25">
      <c r="A4201" s="388"/>
      <c r="B4201" s="388"/>
    </row>
    <row r="4202" spans="1:2" x14ac:dyDescent="0.25">
      <c r="A4202" s="388"/>
      <c r="B4202" s="388"/>
    </row>
    <row r="4203" spans="1:2" x14ac:dyDescent="0.25">
      <c r="A4203" s="388"/>
      <c r="B4203" s="388"/>
    </row>
    <row r="4204" spans="1:2" x14ac:dyDescent="0.25">
      <c r="A4204" s="388"/>
      <c r="B4204" s="388"/>
    </row>
    <row r="4205" spans="1:2" x14ac:dyDescent="0.25">
      <c r="A4205" s="388"/>
      <c r="B4205" s="388"/>
    </row>
    <row r="4206" spans="1:2" x14ac:dyDescent="0.25">
      <c r="A4206" s="388"/>
      <c r="B4206" s="388"/>
    </row>
    <row r="4207" spans="1:2" x14ac:dyDescent="0.25">
      <c r="A4207" s="388"/>
      <c r="B4207" s="388"/>
    </row>
    <row r="4208" spans="1:2" x14ac:dyDescent="0.25">
      <c r="A4208" s="388"/>
      <c r="B4208" s="388"/>
    </row>
    <row r="4209" spans="1:2" x14ac:dyDescent="0.25">
      <c r="A4209" s="388"/>
      <c r="B4209" s="388"/>
    </row>
    <row r="4210" spans="1:2" x14ac:dyDescent="0.25">
      <c r="A4210" s="388"/>
      <c r="B4210" s="388"/>
    </row>
    <row r="4211" spans="1:2" x14ac:dyDescent="0.25">
      <c r="A4211" s="388"/>
      <c r="B4211" s="388"/>
    </row>
    <row r="4212" spans="1:2" x14ac:dyDescent="0.25">
      <c r="A4212" s="388"/>
      <c r="B4212" s="388"/>
    </row>
    <row r="4213" spans="1:2" x14ac:dyDescent="0.25">
      <c r="A4213" s="388"/>
      <c r="B4213" s="388"/>
    </row>
    <row r="4214" spans="1:2" x14ac:dyDescent="0.25">
      <c r="A4214" s="388"/>
      <c r="B4214" s="388"/>
    </row>
    <row r="4215" spans="1:2" x14ac:dyDescent="0.25">
      <c r="A4215" s="388"/>
      <c r="B4215" s="388"/>
    </row>
    <row r="4216" spans="1:2" x14ac:dyDescent="0.25">
      <c r="A4216" s="388"/>
      <c r="B4216" s="388"/>
    </row>
    <row r="4217" spans="1:2" x14ac:dyDescent="0.25">
      <c r="A4217" s="388"/>
      <c r="B4217" s="388"/>
    </row>
    <row r="4218" spans="1:2" x14ac:dyDescent="0.25">
      <c r="A4218" s="388"/>
      <c r="B4218" s="388"/>
    </row>
    <row r="4219" spans="1:2" x14ac:dyDescent="0.25">
      <c r="A4219" s="388"/>
      <c r="B4219" s="388"/>
    </row>
    <row r="4220" spans="1:2" x14ac:dyDescent="0.25">
      <c r="A4220" s="388"/>
      <c r="B4220" s="388"/>
    </row>
    <row r="4221" spans="1:2" x14ac:dyDescent="0.25">
      <c r="A4221" s="388"/>
      <c r="B4221" s="388"/>
    </row>
    <row r="4222" spans="1:2" x14ac:dyDescent="0.25">
      <c r="A4222" s="388"/>
      <c r="B4222" s="388"/>
    </row>
    <row r="4223" spans="1:2" x14ac:dyDescent="0.25">
      <c r="A4223" s="388"/>
      <c r="B4223" s="388"/>
    </row>
    <row r="4224" spans="1:2" x14ac:dyDescent="0.25">
      <c r="A4224" s="388"/>
      <c r="B4224" s="388"/>
    </row>
    <row r="4225" spans="1:2" x14ac:dyDescent="0.25">
      <c r="A4225" s="388"/>
      <c r="B4225" s="388"/>
    </row>
    <row r="4226" spans="1:2" x14ac:dyDescent="0.25">
      <c r="A4226" s="388"/>
      <c r="B4226" s="388"/>
    </row>
    <row r="4227" spans="1:2" x14ac:dyDescent="0.25">
      <c r="A4227" s="388"/>
      <c r="B4227" s="388"/>
    </row>
    <row r="4228" spans="1:2" x14ac:dyDescent="0.25">
      <c r="A4228" s="388"/>
      <c r="B4228" s="388"/>
    </row>
    <row r="4229" spans="1:2" x14ac:dyDescent="0.25">
      <c r="A4229" s="388"/>
      <c r="B4229" s="388"/>
    </row>
    <row r="4230" spans="1:2" x14ac:dyDescent="0.25">
      <c r="A4230" s="388"/>
      <c r="B4230" s="388"/>
    </row>
    <row r="4231" spans="1:2" x14ac:dyDescent="0.25">
      <c r="A4231" s="388"/>
      <c r="B4231" s="388"/>
    </row>
    <row r="4232" spans="1:2" x14ac:dyDescent="0.25">
      <c r="A4232" s="388"/>
      <c r="B4232" s="388"/>
    </row>
    <row r="4233" spans="1:2" x14ac:dyDescent="0.25">
      <c r="A4233" s="388"/>
      <c r="B4233" s="388"/>
    </row>
    <row r="4234" spans="1:2" x14ac:dyDescent="0.25">
      <c r="A4234" s="388"/>
      <c r="B4234" s="388"/>
    </row>
    <row r="4235" spans="1:2" x14ac:dyDescent="0.25">
      <c r="A4235" s="388"/>
      <c r="B4235" s="388"/>
    </row>
    <row r="4236" spans="1:2" x14ac:dyDescent="0.25">
      <c r="A4236" s="388"/>
      <c r="B4236" s="388"/>
    </row>
    <row r="4237" spans="1:2" x14ac:dyDescent="0.25">
      <c r="A4237" s="388"/>
      <c r="B4237" s="388"/>
    </row>
    <row r="4238" spans="1:2" x14ac:dyDescent="0.25">
      <c r="A4238" s="388"/>
      <c r="B4238" s="388"/>
    </row>
    <row r="4239" spans="1:2" x14ac:dyDescent="0.25">
      <c r="A4239" s="388"/>
      <c r="B4239" s="388"/>
    </row>
    <row r="4240" spans="1:2" x14ac:dyDescent="0.25">
      <c r="A4240" s="388"/>
      <c r="B4240" s="388"/>
    </row>
    <row r="4241" spans="1:2" x14ac:dyDescent="0.25">
      <c r="A4241" s="388"/>
      <c r="B4241" s="388"/>
    </row>
    <row r="4242" spans="1:2" x14ac:dyDescent="0.25">
      <c r="A4242" s="388"/>
      <c r="B4242" s="388"/>
    </row>
    <row r="4243" spans="1:2" x14ac:dyDescent="0.25">
      <c r="A4243" s="388"/>
      <c r="B4243" s="388"/>
    </row>
    <row r="4244" spans="1:2" x14ac:dyDescent="0.25">
      <c r="A4244" s="388"/>
      <c r="B4244" s="388"/>
    </row>
    <row r="4245" spans="1:2" x14ac:dyDescent="0.25">
      <c r="A4245" s="388"/>
      <c r="B4245" s="388"/>
    </row>
    <row r="4246" spans="1:2" x14ac:dyDescent="0.25">
      <c r="A4246" s="388"/>
      <c r="B4246" s="388"/>
    </row>
    <row r="4247" spans="1:2" x14ac:dyDescent="0.25">
      <c r="A4247" s="388"/>
      <c r="B4247" s="388"/>
    </row>
    <row r="4248" spans="1:2" x14ac:dyDescent="0.25">
      <c r="A4248" s="388"/>
      <c r="B4248" s="388"/>
    </row>
    <row r="4249" spans="1:2" x14ac:dyDescent="0.25">
      <c r="A4249" s="388"/>
      <c r="B4249" s="388"/>
    </row>
    <row r="4250" spans="1:2" x14ac:dyDescent="0.25">
      <c r="A4250" s="388"/>
      <c r="B4250" s="388"/>
    </row>
    <row r="4251" spans="1:2" x14ac:dyDescent="0.25">
      <c r="A4251" s="388"/>
      <c r="B4251" s="388"/>
    </row>
    <row r="4252" spans="1:2" x14ac:dyDescent="0.25">
      <c r="A4252" s="388"/>
      <c r="B4252" s="388"/>
    </row>
    <row r="4253" spans="1:2" x14ac:dyDescent="0.25">
      <c r="A4253" s="388"/>
      <c r="B4253" s="388"/>
    </row>
    <row r="4254" spans="1:2" x14ac:dyDescent="0.25">
      <c r="A4254" s="388"/>
      <c r="B4254" s="388"/>
    </row>
    <row r="4255" spans="1:2" x14ac:dyDescent="0.25">
      <c r="A4255" s="388"/>
      <c r="B4255" s="388"/>
    </row>
    <row r="4256" spans="1:2" x14ac:dyDescent="0.25">
      <c r="A4256" s="388"/>
      <c r="B4256" s="388"/>
    </row>
    <row r="4257" spans="1:2" x14ac:dyDescent="0.25">
      <c r="A4257" s="388"/>
      <c r="B4257" s="388"/>
    </row>
    <row r="4258" spans="1:2" x14ac:dyDescent="0.25">
      <c r="A4258" s="388"/>
      <c r="B4258" s="388"/>
    </row>
    <row r="4259" spans="1:2" x14ac:dyDescent="0.25">
      <c r="A4259" s="388"/>
      <c r="B4259" s="388"/>
    </row>
    <row r="4260" spans="1:2" x14ac:dyDescent="0.25">
      <c r="A4260" s="388"/>
      <c r="B4260" s="388"/>
    </row>
    <row r="4261" spans="1:2" x14ac:dyDescent="0.25">
      <c r="A4261" s="388"/>
      <c r="B4261" s="388"/>
    </row>
    <row r="4262" spans="1:2" x14ac:dyDescent="0.25">
      <c r="A4262" s="388"/>
      <c r="B4262" s="388"/>
    </row>
    <row r="4263" spans="1:2" x14ac:dyDescent="0.25">
      <c r="A4263" s="388"/>
      <c r="B4263" s="388"/>
    </row>
    <row r="4264" spans="1:2" x14ac:dyDescent="0.25">
      <c r="A4264" s="388"/>
      <c r="B4264" s="388"/>
    </row>
    <row r="4265" spans="1:2" x14ac:dyDescent="0.25">
      <c r="A4265" s="388"/>
      <c r="B4265" s="388"/>
    </row>
    <row r="4266" spans="1:2" x14ac:dyDescent="0.25">
      <c r="A4266" s="388"/>
      <c r="B4266" s="388"/>
    </row>
    <row r="4267" spans="1:2" x14ac:dyDescent="0.25">
      <c r="A4267" s="388"/>
      <c r="B4267" s="388"/>
    </row>
    <row r="4268" spans="1:2" x14ac:dyDescent="0.25">
      <c r="A4268" s="388"/>
      <c r="B4268" s="388"/>
    </row>
    <row r="4269" spans="1:2" x14ac:dyDescent="0.25">
      <c r="A4269" s="388"/>
      <c r="B4269" s="388"/>
    </row>
    <row r="4270" spans="1:2" x14ac:dyDescent="0.25">
      <c r="A4270" s="388"/>
      <c r="B4270" s="388"/>
    </row>
    <row r="4271" spans="1:2" x14ac:dyDescent="0.25">
      <c r="A4271" s="388"/>
      <c r="B4271" s="388"/>
    </row>
    <row r="4272" spans="1:2" x14ac:dyDescent="0.25">
      <c r="A4272" s="388"/>
      <c r="B4272" s="388"/>
    </row>
    <row r="4273" spans="1:2" x14ac:dyDescent="0.25">
      <c r="A4273" s="388"/>
      <c r="B4273" s="388"/>
    </row>
    <row r="4274" spans="1:2" x14ac:dyDescent="0.25">
      <c r="A4274" s="388"/>
      <c r="B4274" s="388"/>
    </row>
    <row r="4275" spans="1:2" x14ac:dyDescent="0.25">
      <c r="A4275" s="388"/>
      <c r="B4275" s="388"/>
    </row>
    <row r="4276" spans="1:2" x14ac:dyDescent="0.25">
      <c r="A4276" s="388"/>
      <c r="B4276" s="388"/>
    </row>
    <row r="4277" spans="1:2" x14ac:dyDescent="0.25">
      <c r="A4277" s="388"/>
      <c r="B4277" s="388"/>
    </row>
    <row r="4278" spans="1:2" x14ac:dyDescent="0.25">
      <c r="A4278" s="388"/>
      <c r="B4278" s="388"/>
    </row>
    <row r="4279" spans="1:2" x14ac:dyDescent="0.25">
      <c r="A4279" s="388"/>
      <c r="B4279" s="388"/>
    </row>
    <row r="4280" spans="1:2" x14ac:dyDescent="0.25">
      <c r="A4280" s="388"/>
      <c r="B4280" s="388"/>
    </row>
    <row r="4281" spans="1:2" x14ac:dyDescent="0.25">
      <c r="A4281" s="388"/>
      <c r="B4281" s="388"/>
    </row>
    <row r="4282" spans="1:2" x14ac:dyDescent="0.25">
      <c r="A4282" s="388"/>
      <c r="B4282" s="388"/>
    </row>
    <row r="4283" spans="1:2" x14ac:dyDescent="0.25">
      <c r="A4283" s="388"/>
      <c r="B4283" s="388"/>
    </row>
    <row r="4284" spans="1:2" x14ac:dyDescent="0.25">
      <c r="A4284" s="388"/>
      <c r="B4284" s="388"/>
    </row>
    <row r="4285" spans="1:2" x14ac:dyDescent="0.25">
      <c r="A4285" s="388"/>
      <c r="B4285" s="388"/>
    </row>
    <row r="4286" spans="1:2" x14ac:dyDescent="0.25">
      <c r="A4286" s="388"/>
      <c r="B4286" s="388"/>
    </row>
    <row r="4287" spans="1:2" x14ac:dyDescent="0.25">
      <c r="A4287" s="388"/>
      <c r="B4287" s="388"/>
    </row>
    <row r="4288" spans="1:2" x14ac:dyDescent="0.25">
      <c r="A4288" s="388"/>
      <c r="B4288" s="388"/>
    </row>
    <row r="4289" spans="1:2" x14ac:dyDescent="0.25">
      <c r="A4289" s="388"/>
      <c r="B4289" s="388"/>
    </row>
    <row r="4290" spans="1:2" x14ac:dyDescent="0.25">
      <c r="A4290" s="388"/>
      <c r="B4290" s="388"/>
    </row>
    <row r="4291" spans="1:2" x14ac:dyDescent="0.25">
      <c r="A4291" s="388"/>
      <c r="B4291" s="388"/>
    </row>
    <row r="4292" spans="1:2" x14ac:dyDescent="0.25">
      <c r="A4292" s="388"/>
      <c r="B4292" s="388"/>
    </row>
    <row r="4293" spans="1:2" x14ac:dyDescent="0.25">
      <c r="A4293" s="388"/>
      <c r="B4293" s="388"/>
    </row>
    <row r="4294" spans="1:2" x14ac:dyDescent="0.25">
      <c r="A4294" s="388"/>
      <c r="B4294" s="388"/>
    </row>
    <row r="4295" spans="1:2" x14ac:dyDescent="0.25">
      <c r="A4295" s="388"/>
      <c r="B4295" s="388"/>
    </row>
    <row r="4296" spans="1:2" x14ac:dyDescent="0.25">
      <c r="A4296" s="388"/>
      <c r="B4296" s="388"/>
    </row>
    <row r="4297" spans="1:2" x14ac:dyDescent="0.25">
      <c r="A4297" s="388"/>
      <c r="B4297" s="388"/>
    </row>
    <row r="4298" spans="1:2" x14ac:dyDescent="0.25">
      <c r="A4298" s="388"/>
      <c r="B4298" s="388"/>
    </row>
    <row r="4299" spans="1:2" x14ac:dyDescent="0.25">
      <c r="A4299" s="388"/>
      <c r="B4299" s="388"/>
    </row>
    <row r="4300" spans="1:2" x14ac:dyDescent="0.25">
      <c r="A4300" s="388"/>
      <c r="B4300" s="388"/>
    </row>
    <row r="4301" spans="1:2" x14ac:dyDescent="0.25">
      <c r="A4301" s="388"/>
      <c r="B4301" s="388"/>
    </row>
    <row r="4302" spans="1:2" x14ac:dyDescent="0.25">
      <c r="A4302" s="388"/>
      <c r="B4302" s="388"/>
    </row>
    <row r="4303" spans="1:2" x14ac:dyDescent="0.25">
      <c r="A4303" s="388"/>
      <c r="B4303" s="388"/>
    </row>
    <row r="4304" spans="1:2" x14ac:dyDescent="0.25">
      <c r="A4304" s="388"/>
      <c r="B4304" s="388"/>
    </row>
    <row r="4305" spans="1:2" x14ac:dyDescent="0.25">
      <c r="A4305" s="388"/>
      <c r="B4305" s="388"/>
    </row>
    <row r="4306" spans="1:2" x14ac:dyDescent="0.25">
      <c r="A4306" s="388"/>
      <c r="B4306" s="388"/>
    </row>
    <row r="4307" spans="1:2" x14ac:dyDescent="0.25">
      <c r="A4307" s="388"/>
      <c r="B4307" s="388"/>
    </row>
    <row r="4308" spans="1:2" x14ac:dyDescent="0.25">
      <c r="A4308" s="388"/>
      <c r="B4308" s="388"/>
    </row>
    <row r="4309" spans="1:2" x14ac:dyDescent="0.25">
      <c r="A4309" s="388"/>
      <c r="B4309" s="388"/>
    </row>
    <row r="4310" spans="1:2" x14ac:dyDescent="0.25">
      <c r="A4310" s="388"/>
      <c r="B4310" s="388"/>
    </row>
    <row r="4311" spans="1:2" x14ac:dyDescent="0.25">
      <c r="A4311" s="388"/>
      <c r="B4311" s="388"/>
    </row>
    <row r="4312" spans="1:2" x14ac:dyDescent="0.25">
      <c r="A4312" s="388"/>
      <c r="B4312" s="388"/>
    </row>
    <row r="4313" spans="1:2" x14ac:dyDescent="0.25">
      <c r="A4313" s="388"/>
      <c r="B4313" s="388"/>
    </row>
    <row r="4314" spans="1:2" x14ac:dyDescent="0.25">
      <c r="A4314" s="388"/>
      <c r="B4314" s="388"/>
    </row>
    <row r="4315" spans="1:2" x14ac:dyDescent="0.25">
      <c r="A4315" s="388"/>
      <c r="B4315" s="388"/>
    </row>
    <row r="4316" spans="1:2" x14ac:dyDescent="0.25">
      <c r="A4316" s="388"/>
      <c r="B4316" s="388"/>
    </row>
    <row r="4317" spans="1:2" x14ac:dyDescent="0.25">
      <c r="A4317" s="388"/>
      <c r="B4317" s="388"/>
    </row>
    <row r="4318" spans="1:2" x14ac:dyDescent="0.25">
      <c r="A4318" s="388"/>
      <c r="B4318" s="388"/>
    </row>
    <row r="4319" spans="1:2" x14ac:dyDescent="0.25">
      <c r="A4319" s="388"/>
      <c r="B4319" s="388"/>
    </row>
    <row r="4320" spans="1:2" x14ac:dyDescent="0.25">
      <c r="A4320" s="388"/>
      <c r="B4320" s="388"/>
    </row>
    <row r="4321" spans="1:2" x14ac:dyDescent="0.25">
      <c r="A4321" s="388"/>
      <c r="B4321" s="388"/>
    </row>
    <row r="4322" spans="1:2" x14ac:dyDescent="0.25">
      <c r="A4322" s="388"/>
      <c r="B4322" s="388"/>
    </row>
    <row r="4323" spans="1:2" x14ac:dyDescent="0.25">
      <c r="A4323" s="388"/>
      <c r="B4323" s="388"/>
    </row>
    <row r="4324" spans="1:2" x14ac:dyDescent="0.25">
      <c r="A4324" s="388"/>
      <c r="B4324" s="388"/>
    </row>
    <row r="4325" spans="1:2" x14ac:dyDescent="0.25">
      <c r="A4325" s="388"/>
      <c r="B4325" s="388"/>
    </row>
    <row r="4326" spans="1:2" x14ac:dyDescent="0.25">
      <c r="A4326" s="388"/>
      <c r="B4326" s="388"/>
    </row>
    <row r="4327" spans="1:2" x14ac:dyDescent="0.25">
      <c r="A4327" s="388"/>
      <c r="B4327" s="388"/>
    </row>
    <row r="4328" spans="1:2" x14ac:dyDescent="0.25">
      <c r="A4328" s="388"/>
      <c r="B4328" s="388"/>
    </row>
    <row r="4329" spans="1:2" x14ac:dyDescent="0.25">
      <c r="A4329" s="388"/>
      <c r="B4329" s="388"/>
    </row>
    <row r="4330" spans="1:2" x14ac:dyDescent="0.25">
      <c r="A4330" s="388"/>
      <c r="B4330" s="388"/>
    </row>
    <row r="4331" spans="1:2" x14ac:dyDescent="0.25">
      <c r="A4331" s="388"/>
      <c r="B4331" s="388"/>
    </row>
    <row r="4332" spans="1:2" x14ac:dyDescent="0.25">
      <c r="A4332" s="388"/>
      <c r="B4332" s="388"/>
    </row>
    <row r="4333" spans="1:2" x14ac:dyDescent="0.25">
      <c r="A4333" s="388"/>
      <c r="B4333" s="388"/>
    </row>
    <row r="4334" spans="1:2" x14ac:dyDescent="0.25">
      <c r="A4334" s="388"/>
      <c r="B4334" s="388"/>
    </row>
    <row r="4335" spans="1:2" x14ac:dyDescent="0.25">
      <c r="A4335" s="388"/>
      <c r="B4335" s="388"/>
    </row>
    <row r="4336" spans="1:2" x14ac:dyDescent="0.25">
      <c r="A4336" s="388"/>
      <c r="B4336" s="388"/>
    </row>
    <row r="4337" spans="1:2" x14ac:dyDescent="0.25">
      <c r="A4337" s="388"/>
      <c r="B4337" s="388"/>
    </row>
    <row r="4338" spans="1:2" x14ac:dyDescent="0.25">
      <c r="A4338" s="388"/>
      <c r="B4338" s="388"/>
    </row>
    <row r="4339" spans="1:2" x14ac:dyDescent="0.25">
      <c r="A4339" s="388"/>
      <c r="B4339" s="388"/>
    </row>
    <row r="4340" spans="1:2" x14ac:dyDescent="0.25">
      <c r="A4340" s="388"/>
      <c r="B4340" s="388"/>
    </row>
    <row r="4341" spans="1:2" x14ac:dyDescent="0.25">
      <c r="A4341" s="388"/>
      <c r="B4341" s="388"/>
    </row>
    <row r="4342" spans="1:2" x14ac:dyDescent="0.25">
      <c r="A4342" s="388"/>
      <c r="B4342" s="388"/>
    </row>
    <row r="4343" spans="1:2" x14ac:dyDescent="0.25">
      <c r="A4343" s="388"/>
      <c r="B4343" s="388"/>
    </row>
    <row r="4344" spans="1:2" x14ac:dyDescent="0.25">
      <c r="A4344" s="388"/>
      <c r="B4344" s="388"/>
    </row>
    <row r="4345" spans="1:2" x14ac:dyDescent="0.25">
      <c r="A4345" s="388"/>
      <c r="B4345" s="388"/>
    </row>
    <row r="4346" spans="1:2" x14ac:dyDescent="0.25">
      <c r="A4346" s="388"/>
      <c r="B4346" s="388"/>
    </row>
    <row r="4347" spans="1:2" x14ac:dyDescent="0.25">
      <c r="A4347" s="388"/>
      <c r="B4347" s="388"/>
    </row>
    <row r="4348" spans="1:2" x14ac:dyDescent="0.25">
      <c r="A4348" s="388"/>
      <c r="B4348" s="388"/>
    </row>
    <row r="4349" spans="1:2" x14ac:dyDescent="0.25">
      <c r="A4349" s="388"/>
      <c r="B4349" s="388"/>
    </row>
    <row r="4350" spans="1:2" x14ac:dyDescent="0.25">
      <c r="A4350" s="388"/>
      <c r="B4350" s="388"/>
    </row>
    <row r="4351" spans="1:2" x14ac:dyDescent="0.25">
      <c r="A4351" s="388"/>
      <c r="B4351" s="388"/>
    </row>
    <row r="4352" spans="1:2" x14ac:dyDescent="0.25">
      <c r="A4352" s="388"/>
      <c r="B4352" s="388"/>
    </row>
    <row r="4353" spans="1:2" x14ac:dyDescent="0.25">
      <c r="A4353" s="388"/>
      <c r="B4353" s="388"/>
    </row>
    <row r="4354" spans="1:2" x14ac:dyDescent="0.25">
      <c r="A4354" s="388"/>
      <c r="B4354" s="388"/>
    </row>
    <row r="4355" spans="1:2" x14ac:dyDescent="0.25">
      <c r="A4355" s="388"/>
      <c r="B4355" s="388"/>
    </row>
    <row r="4356" spans="1:2" x14ac:dyDescent="0.25">
      <c r="A4356" s="388"/>
      <c r="B4356" s="388"/>
    </row>
    <row r="4357" spans="1:2" x14ac:dyDescent="0.25">
      <c r="A4357" s="388"/>
      <c r="B4357" s="388"/>
    </row>
    <row r="4358" spans="1:2" x14ac:dyDescent="0.25">
      <c r="A4358" s="388"/>
      <c r="B4358" s="388"/>
    </row>
    <row r="4359" spans="1:2" x14ac:dyDescent="0.25">
      <c r="A4359" s="388"/>
      <c r="B4359" s="388"/>
    </row>
    <row r="4360" spans="1:2" x14ac:dyDescent="0.25">
      <c r="A4360" s="388"/>
      <c r="B4360" s="388"/>
    </row>
    <row r="4361" spans="1:2" x14ac:dyDescent="0.25">
      <c r="A4361" s="388"/>
      <c r="B4361" s="388"/>
    </row>
    <row r="4362" spans="1:2" x14ac:dyDescent="0.25">
      <c r="A4362" s="388"/>
      <c r="B4362" s="388"/>
    </row>
    <row r="4363" spans="1:2" x14ac:dyDescent="0.25">
      <c r="A4363" s="388"/>
      <c r="B4363" s="388"/>
    </row>
    <row r="4364" spans="1:2" x14ac:dyDescent="0.25">
      <c r="A4364" s="388"/>
      <c r="B4364" s="388"/>
    </row>
    <row r="4365" spans="1:2" x14ac:dyDescent="0.25">
      <c r="A4365" s="388"/>
      <c r="B4365" s="388"/>
    </row>
    <row r="4366" spans="1:2" x14ac:dyDescent="0.25">
      <c r="A4366" s="388"/>
      <c r="B4366" s="388"/>
    </row>
    <row r="4367" spans="1:2" x14ac:dyDescent="0.25">
      <c r="A4367" s="388"/>
      <c r="B4367" s="388"/>
    </row>
    <row r="4368" spans="1:2" x14ac:dyDescent="0.25">
      <c r="A4368" s="388"/>
      <c r="B4368" s="388"/>
    </row>
    <row r="4369" spans="1:2" x14ac:dyDescent="0.25">
      <c r="A4369" s="388"/>
      <c r="B4369" s="388"/>
    </row>
    <row r="4370" spans="1:2" x14ac:dyDescent="0.25">
      <c r="A4370" s="388"/>
      <c r="B4370" s="388"/>
    </row>
    <row r="4371" spans="1:2" x14ac:dyDescent="0.25">
      <c r="A4371" s="388"/>
      <c r="B4371" s="388"/>
    </row>
    <row r="4372" spans="1:2" x14ac:dyDescent="0.25">
      <c r="A4372" s="388"/>
      <c r="B4372" s="388"/>
    </row>
    <row r="4373" spans="1:2" x14ac:dyDescent="0.25">
      <c r="A4373" s="388"/>
      <c r="B4373" s="388"/>
    </row>
    <row r="4374" spans="1:2" x14ac:dyDescent="0.25">
      <c r="A4374" s="388"/>
      <c r="B4374" s="388"/>
    </row>
    <row r="4375" spans="1:2" x14ac:dyDescent="0.25">
      <c r="A4375" s="388"/>
      <c r="B4375" s="388"/>
    </row>
    <row r="4376" spans="1:2" x14ac:dyDescent="0.25">
      <c r="A4376" s="388"/>
      <c r="B4376" s="388"/>
    </row>
    <row r="4377" spans="1:2" x14ac:dyDescent="0.25">
      <c r="A4377" s="388"/>
      <c r="B4377" s="388"/>
    </row>
    <row r="4378" spans="1:2" x14ac:dyDescent="0.25">
      <c r="A4378" s="388"/>
      <c r="B4378" s="388"/>
    </row>
    <row r="4379" spans="1:2" x14ac:dyDescent="0.25">
      <c r="A4379" s="388"/>
      <c r="B4379" s="388"/>
    </row>
    <row r="4380" spans="1:2" x14ac:dyDescent="0.25">
      <c r="A4380" s="388"/>
      <c r="B4380" s="388"/>
    </row>
    <row r="4381" spans="1:2" x14ac:dyDescent="0.25">
      <c r="A4381" s="388"/>
      <c r="B4381" s="388"/>
    </row>
    <row r="4382" spans="1:2" x14ac:dyDescent="0.25">
      <c r="A4382" s="388"/>
      <c r="B4382" s="388"/>
    </row>
    <row r="4383" spans="1:2" x14ac:dyDescent="0.25">
      <c r="A4383" s="388"/>
      <c r="B4383" s="388"/>
    </row>
    <row r="4384" spans="1:2" x14ac:dyDescent="0.25">
      <c r="A4384" s="388"/>
      <c r="B4384" s="388"/>
    </row>
    <row r="4385" spans="1:2" x14ac:dyDescent="0.25">
      <c r="A4385" s="388"/>
      <c r="B4385" s="388"/>
    </row>
    <row r="4386" spans="1:2" x14ac:dyDescent="0.25">
      <c r="A4386" s="388"/>
      <c r="B4386" s="388"/>
    </row>
    <row r="4387" spans="1:2" x14ac:dyDescent="0.25">
      <c r="A4387" s="388"/>
      <c r="B4387" s="388"/>
    </row>
    <row r="4388" spans="1:2" x14ac:dyDescent="0.25">
      <c r="A4388" s="388"/>
      <c r="B4388" s="388"/>
    </row>
    <row r="4389" spans="1:2" x14ac:dyDescent="0.25">
      <c r="A4389" s="388"/>
      <c r="B4389" s="388"/>
    </row>
    <row r="4390" spans="1:2" x14ac:dyDescent="0.25">
      <c r="A4390" s="388"/>
      <c r="B4390" s="388"/>
    </row>
    <row r="4391" spans="1:2" x14ac:dyDescent="0.25">
      <c r="A4391" s="388"/>
      <c r="B4391" s="388"/>
    </row>
    <row r="4392" spans="1:2" x14ac:dyDescent="0.25">
      <c r="A4392" s="388"/>
      <c r="B4392" s="388"/>
    </row>
    <row r="4393" spans="1:2" x14ac:dyDescent="0.25">
      <c r="A4393" s="388"/>
      <c r="B4393" s="388"/>
    </row>
    <row r="4394" spans="1:2" x14ac:dyDescent="0.25">
      <c r="A4394" s="388"/>
      <c r="B4394" s="388"/>
    </row>
    <row r="4395" spans="1:2" x14ac:dyDescent="0.25">
      <c r="A4395" s="388"/>
      <c r="B4395" s="388"/>
    </row>
    <row r="4396" spans="1:2" x14ac:dyDescent="0.25">
      <c r="A4396" s="388"/>
      <c r="B4396" s="388"/>
    </row>
    <row r="4397" spans="1:2" x14ac:dyDescent="0.25">
      <c r="A4397" s="388"/>
      <c r="B4397" s="388"/>
    </row>
    <row r="4398" spans="1:2" x14ac:dyDescent="0.25">
      <c r="A4398" s="388"/>
      <c r="B4398" s="388"/>
    </row>
    <row r="4399" spans="1:2" x14ac:dyDescent="0.25">
      <c r="A4399" s="388"/>
      <c r="B4399" s="388"/>
    </row>
    <row r="4400" spans="1:2" x14ac:dyDescent="0.25">
      <c r="A4400" s="388"/>
      <c r="B4400" s="388"/>
    </row>
    <row r="4401" spans="1:2" x14ac:dyDescent="0.25">
      <c r="A4401" s="388"/>
      <c r="B4401" s="388"/>
    </row>
    <row r="4402" spans="1:2" x14ac:dyDescent="0.25">
      <c r="A4402" s="388"/>
      <c r="B4402" s="388"/>
    </row>
    <row r="4403" spans="1:2" x14ac:dyDescent="0.25">
      <c r="A4403" s="388"/>
      <c r="B4403" s="388"/>
    </row>
    <row r="4404" spans="1:2" x14ac:dyDescent="0.25">
      <c r="A4404" s="388"/>
      <c r="B4404" s="388"/>
    </row>
    <row r="4405" spans="1:2" x14ac:dyDescent="0.25">
      <c r="A4405" s="388"/>
      <c r="B4405" s="388"/>
    </row>
    <row r="4406" spans="1:2" x14ac:dyDescent="0.25">
      <c r="A4406" s="388"/>
      <c r="B4406" s="388"/>
    </row>
    <row r="4407" spans="1:2" x14ac:dyDescent="0.25">
      <c r="A4407" s="388"/>
      <c r="B4407" s="388"/>
    </row>
    <row r="4408" spans="1:2" x14ac:dyDescent="0.25">
      <c r="A4408" s="388"/>
      <c r="B4408" s="388"/>
    </row>
    <row r="4409" spans="1:2" x14ac:dyDescent="0.25">
      <c r="A4409" s="388"/>
      <c r="B4409" s="388"/>
    </row>
    <row r="4410" spans="1:2" x14ac:dyDescent="0.25">
      <c r="A4410" s="388"/>
      <c r="B4410" s="388"/>
    </row>
    <row r="4411" spans="1:2" x14ac:dyDescent="0.25">
      <c r="A4411" s="388"/>
      <c r="B4411" s="388"/>
    </row>
    <row r="4412" spans="1:2" x14ac:dyDescent="0.25">
      <c r="A4412" s="388"/>
      <c r="B4412" s="388"/>
    </row>
    <row r="4413" spans="1:2" x14ac:dyDescent="0.25">
      <c r="A4413" s="388"/>
      <c r="B4413" s="388"/>
    </row>
    <row r="4414" spans="1:2" x14ac:dyDescent="0.25">
      <c r="A4414" s="388"/>
      <c r="B4414" s="388"/>
    </row>
    <row r="4415" spans="1:2" x14ac:dyDescent="0.25">
      <c r="A4415" s="388"/>
      <c r="B4415" s="388"/>
    </row>
    <row r="4416" spans="1:2" x14ac:dyDescent="0.25">
      <c r="A4416" s="388"/>
      <c r="B4416" s="388"/>
    </row>
    <row r="4417" spans="1:2" x14ac:dyDescent="0.25">
      <c r="A4417" s="388"/>
      <c r="B4417" s="388"/>
    </row>
    <row r="4418" spans="1:2" x14ac:dyDescent="0.25">
      <c r="A4418" s="388"/>
      <c r="B4418" s="388"/>
    </row>
    <row r="4419" spans="1:2" x14ac:dyDescent="0.25">
      <c r="A4419" s="388"/>
      <c r="B4419" s="388"/>
    </row>
    <row r="4420" spans="1:2" x14ac:dyDescent="0.25">
      <c r="A4420" s="388"/>
      <c r="B4420" s="388"/>
    </row>
    <row r="4421" spans="1:2" x14ac:dyDescent="0.25">
      <c r="A4421" s="388"/>
      <c r="B4421" s="388"/>
    </row>
    <row r="4422" spans="1:2" x14ac:dyDescent="0.25">
      <c r="A4422" s="388"/>
      <c r="B4422" s="388"/>
    </row>
    <row r="4423" spans="1:2" x14ac:dyDescent="0.25">
      <c r="A4423" s="388"/>
      <c r="B4423" s="388"/>
    </row>
    <row r="4424" spans="1:2" x14ac:dyDescent="0.25">
      <c r="A4424" s="388"/>
      <c r="B4424" s="388"/>
    </row>
    <row r="4425" spans="1:2" x14ac:dyDescent="0.25">
      <c r="A4425" s="388"/>
      <c r="B4425" s="388"/>
    </row>
    <row r="4426" spans="1:2" x14ac:dyDescent="0.25">
      <c r="A4426" s="388"/>
      <c r="B4426" s="388"/>
    </row>
    <row r="4427" spans="1:2" x14ac:dyDescent="0.25">
      <c r="A4427" s="388"/>
      <c r="B4427" s="388"/>
    </row>
    <row r="4428" spans="1:2" x14ac:dyDescent="0.25">
      <c r="A4428" s="388"/>
      <c r="B4428" s="388"/>
    </row>
    <row r="4429" spans="1:2" x14ac:dyDescent="0.25">
      <c r="A4429" s="388"/>
      <c r="B4429" s="388"/>
    </row>
    <row r="4430" spans="1:2" x14ac:dyDescent="0.25">
      <c r="A4430" s="388"/>
      <c r="B4430" s="388"/>
    </row>
    <row r="4431" spans="1:2" x14ac:dyDescent="0.25">
      <c r="A4431" s="388"/>
      <c r="B4431" s="388"/>
    </row>
    <row r="4432" spans="1:2" x14ac:dyDescent="0.25">
      <c r="A4432" s="388"/>
      <c r="B4432" s="388"/>
    </row>
    <row r="4433" spans="1:2" x14ac:dyDescent="0.25">
      <c r="A4433" s="388"/>
      <c r="B4433" s="388"/>
    </row>
    <row r="4434" spans="1:2" x14ac:dyDescent="0.25">
      <c r="A4434" s="388"/>
      <c r="B4434" s="388"/>
    </row>
    <row r="4435" spans="1:2" x14ac:dyDescent="0.25">
      <c r="A4435" s="388"/>
      <c r="B4435" s="388"/>
    </row>
    <row r="4436" spans="1:2" x14ac:dyDescent="0.25">
      <c r="A4436" s="388"/>
      <c r="B4436" s="388"/>
    </row>
    <row r="4437" spans="1:2" x14ac:dyDescent="0.25">
      <c r="A4437" s="388"/>
      <c r="B4437" s="388"/>
    </row>
    <row r="4438" spans="1:2" x14ac:dyDescent="0.25">
      <c r="A4438" s="388"/>
      <c r="B4438" s="388"/>
    </row>
    <row r="4439" spans="1:2" x14ac:dyDescent="0.25">
      <c r="A4439" s="388"/>
      <c r="B4439" s="388"/>
    </row>
    <row r="4440" spans="1:2" x14ac:dyDescent="0.25">
      <c r="A4440" s="388"/>
      <c r="B4440" s="388"/>
    </row>
    <row r="4441" spans="1:2" x14ac:dyDescent="0.25">
      <c r="A4441" s="388"/>
      <c r="B4441" s="388"/>
    </row>
    <row r="4442" spans="1:2" x14ac:dyDescent="0.25">
      <c r="A4442" s="388"/>
      <c r="B4442" s="388"/>
    </row>
    <row r="4443" spans="1:2" x14ac:dyDescent="0.25">
      <c r="A4443" s="388"/>
      <c r="B4443" s="388"/>
    </row>
    <row r="4444" spans="1:2" x14ac:dyDescent="0.25">
      <c r="A4444" s="388"/>
      <c r="B4444" s="388"/>
    </row>
    <row r="4445" spans="1:2" x14ac:dyDescent="0.25">
      <c r="A4445" s="388"/>
      <c r="B4445" s="388"/>
    </row>
    <row r="4446" spans="1:2" x14ac:dyDescent="0.25">
      <c r="A4446" s="388"/>
      <c r="B4446" s="388"/>
    </row>
    <row r="4447" spans="1:2" x14ac:dyDescent="0.25">
      <c r="A4447" s="388"/>
      <c r="B4447" s="388"/>
    </row>
    <row r="4448" spans="1:2" x14ac:dyDescent="0.25">
      <c r="A4448" s="388"/>
      <c r="B4448" s="388"/>
    </row>
    <row r="4449" spans="1:2" x14ac:dyDescent="0.25">
      <c r="A4449" s="388"/>
      <c r="B4449" s="388"/>
    </row>
    <row r="4450" spans="1:2" x14ac:dyDescent="0.25">
      <c r="A4450" s="388"/>
      <c r="B4450" s="388"/>
    </row>
    <row r="4451" spans="1:2" x14ac:dyDescent="0.25">
      <c r="A4451" s="388"/>
      <c r="B4451" s="388"/>
    </row>
    <row r="4452" spans="1:2" x14ac:dyDescent="0.25">
      <c r="A4452" s="388"/>
      <c r="B4452" s="388"/>
    </row>
    <row r="4453" spans="1:2" x14ac:dyDescent="0.25">
      <c r="A4453" s="388"/>
      <c r="B4453" s="388"/>
    </row>
    <row r="4454" spans="1:2" x14ac:dyDescent="0.25">
      <c r="A4454" s="388"/>
      <c r="B4454" s="388"/>
    </row>
    <row r="4455" spans="1:2" x14ac:dyDescent="0.25">
      <c r="A4455" s="388"/>
      <c r="B4455" s="388"/>
    </row>
    <row r="4456" spans="1:2" x14ac:dyDescent="0.25">
      <c r="A4456" s="388"/>
      <c r="B4456" s="388"/>
    </row>
    <row r="4457" spans="1:2" x14ac:dyDescent="0.25">
      <c r="A4457" s="388"/>
      <c r="B4457" s="388"/>
    </row>
    <row r="4458" spans="1:2" x14ac:dyDescent="0.25">
      <c r="A4458" s="388"/>
      <c r="B4458" s="388"/>
    </row>
    <row r="4459" spans="1:2" x14ac:dyDescent="0.25">
      <c r="A4459" s="388"/>
      <c r="B4459" s="388"/>
    </row>
    <row r="4460" spans="1:2" x14ac:dyDescent="0.25">
      <c r="A4460" s="388"/>
      <c r="B4460" s="388"/>
    </row>
    <row r="4461" spans="1:2" x14ac:dyDescent="0.25">
      <c r="A4461" s="388"/>
      <c r="B4461" s="388"/>
    </row>
    <row r="4462" spans="1:2" x14ac:dyDescent="0.25">
      <c r="A4462" s="388"/>
      <c r="B4462" s="388"/>
    </row>
    <row r="4463" spans="1:2" x14ac:dyDescent="0.25">
      <c r="A4463" s="388"/>
      <c r="B4463" s="388"/>
    </row>
    <row r="4464" spans="1:2" x14ac:dyDescent="0.25">
      <c r="A4464" s="388"/>
      <c r="B4464" s="388"/>
    </row>
    <row r="4465" spans="1:2" x14ac:dyDescent="0.25">
      <c r="A4465" s="388"/>
      <c r="B4465" s="388"/>
    </row>
    <row r="4466" spans="1:2" x14ac:dyDescent="0.25">
      <c r="A4466" s="388"/>
      <c r="B4466" s="388"/>
    </row>
    <row r="4467" spans="1:2" x14ac:dyDescent="0.25">
      <c r="A4467" s="388"/>
      <c r="B4467" s="388"/>
    </row>
    <row r="4468" spans="1:2" x14ac:dyDescent="0.25">
      <c r="A4468" s="388"/>
      <c r="B4468" s="388"/>
    </row>
    <row r="4469" spans="1:2" x14ac:dyDescent="0.25">
      <c r="A4469" s="388"/>
      <c r="B4469" s="388"/>
    </row>
    <row r="4470" spans="1:2" x14ac:dyDescent="0.25">
      <c r="A4470" s="388"/>
      <c r="B4470" s="388"/>
    </row>
    <row r="4471" spans="1:2" x14ac:dyDescent="0.25">
      <c r="A4471" s="388"/>
      <c r="B4471" s="388"/>
    </row>
    <row r="4472" spans="1:2" x14ac:dyDescent="0.25">
      <c r="A4472" s="388"/>
      <c r="B4472" s="388"/>
    </row>
    <row r="4473" spans="1:2" x14ac:dyDescent="0.25">
      <c r="A4473" s="388"/>
      <c r="B4473" s="388"/>
    </row>
    <row r="4474" spans="1:2" x14ac:dyDescent="0.25">
      <c r="A4474" s="388"/>
      <c r="B4474" s="388"/>
    </row>
    <row r="4475" spans="1:2" x14ac:dyDescent="0.25">
      <c r="A4475" s="388"/>
      <c r="B4475" s="388"/>
    </row>
    <row r="4476" spans="1:2" x14ac:dyDescent="0.25">
      <c r="A4476" s="388"/>
      <c r="B4476" s="388"/>
    </row>
    <row r="4477" spans="1:2" x14ac:dyDescent="0.25">
      <c r="A4477" s="388"/>
      <c r="B4477" s="388"/>
    </row>
    <row r="4478" spans="1:2" x14ac:dyDescent="0.25">
      <c r="A4478" s="388"/>
      <c r="B4478" s="388"/>
    </row>
    <row r="4479" spans="1:2" x14ac:dyDescent="0.25">
      <c r="A4479" s="388"/>
      <c r="B4479" s="388"/>
    </row>
    <row r="4480" spans="1:2" x14ac:dyDescent="0.25">
      <c r="A4480" s="388"/>
      <c r="B4480" s="388"/>
    </row>
    <row r="4481" spans="1:2" x14ac:dyDescent="0.25">
      <c r="A4481" s="388"/>
      <c r="B4481" s="388"/>
    </row>
    <row r="4482" spans="1:2" x14ac:dyDescent="0.25">
      <c r="A4482" s="388"/>
      <c r="B4482" s="388"/>
    </row>
    <row r="4483" spans="1:2" x14ac:dyDescent="0.25">
      <c r="A4483" s="388"/>
      <c r="B4483" s="388"/>
    </row>
    <row r="4484" spans="1:2" x14ac:dyDescent="0.25">
      <c r="A4484" s="388"/>
      <c r="B4484" s="388"/>
    </row>
    <row r="4485" spans="1:2" x14ac:dyDescent="0.25">
      <c r="A4485" s="388"/>
      <c r="B4485" s="388"/>
    </row>
    <row r="4486" spans="1:2" x14ac:dyDescent="0.25">
      <c r="A4486" s="388"/>
      <c r="B4486" s="388"/>
    </row>
    <row r="4487" spans="1:2" x14ac:dyDescent="0.25">
      <c r="A4487" s="388"/>
      <c r="B4487" s="388"/>
    </row>
    <row r="4488" spans="1:2" x14ac:dyDescent="0.25">
      <c r="A4488" s="388"/>
      <c r="B4488" s="388"/>
    </row>
    <row r="4489" spans="1:2" x14ac:dyDescent="0.25">
      <c r="A4489" s="388"/>
      <c r="B4489" s="388"/>
    </row>
    <row r="4490" spans="1:2" x14ac:dyDescent="0.25">
      <c r="A4490" s="388"/>
      <c r="B4490" s="388"/>
    </row>
    <row r="4491" spans="1:2" x14ac:dyDescent="0.25">
      <c r="A4491" s="388"/>
      <c r="B4491" s="388"/>
    </row>
    <row r="4492" spans="1:2" x14ac:dyDescent="0.25">
      <c r="A4492" s="388"/>
      <c r="B4492" s="388"/>
    </row>
    <row r="4493" spans="1:2" x14ac:dyDescent="0.25">
      <c r="A4493" s="388"/>
      <c r="B4493" s="388"/>
    </row>
    <row r="4494" spans="1:2" x14ac:dyDescent="0.25">
      <c r="A4494" s="388"/>
      <c r="B4494" s="388"/>
    </row>
    <row r="4495" spans="1:2" x14ac:dyDescent="0.25">
      <c r="A4495" s="388"/>
      <c r="B4495" s="388"/>
    </row>
    <row r="4496" spans="1:2" x14ac:dyDescent="0.25">
      <c r="A4496" s="388"/>
      <c r="B4496" s="388"/>
    </row>
    <row r="4497" spans="1:2" x14ac:dyDescent="0.25">
      <c r="A4497" s="388"/>
      <c r="B4497" s="388"/>
    </row>
    <row r="4498" spans="1:2" x14ac:dyDescent="0.25">
      <c r="A4498" s="388"/>
      <c r="B4498" s="388"/>
    </row>
    <row r="4499" spans="1:2" x14ac:dyDescent="0.25">
      <c r="A4499" s="388"/>
      <c r="B4499" s="388"/>
    </row>
    <row r="4500" spans="1:2" x14ac:dyDescent="0.25">
      <c r="A4500" s="388"/>
      <c r="B4500" s="388"/>
    </row>
    <row r="4501" spans="1:2" x14ac:dyDescent="0.25">
      <c r="A4501" s="388"/>
      <c r="B4501" s="388"/>
    </row>
    <row r="4502" spans="1:2" x14ac:dyDescent="0.25">
      <c r="A4502" s="388"/>
      <c r="B4502" s="388"/>
    </row>
    <row r="4503" spans="1:2" x14ac:dyDescent="0.25">
      <c r="A4503" s="388"/>
      <c r="B4503" s="388"/>
    </row>
    <row r="4504" spans="1:2" x14ac:dyDescent="0.25">
      <c r="A4504" s="388"/>
      <c r="B4504" s="388"/>
    </row>
    <row r="4505" spans="1:2" x14ac:dyDescent="0.25">
      <c r="A4505" s="388"/>
      <c r="B4505" s="388"/>
    </row>
    <row r="4506" spans="1:2" x14ac:dyDescent="0.25">
      <c r="A4506" s="388"/>
      <c r="B4506" s="388"/>
    </row>
    <row r="4507" spans="1:2" x14ac:dyDescent="0.25">
      <c r="A4507" s="388"/>
      <c r="B4507" s="388"/>
    </row>
    <row r="4508" spans="1:2" x14ac:dyDescent="0.25">
      <c r="A4508" s="388"/>
      <c r="B4508" s="388"/>
    </row>
    <row r="4509" spans="1:2" x14ac:dyDescent="0.25">
      <c r="A4509" s="388"/>
      <c r="B4509" s="388"/>
    </row>
    <row r="4510" spans="1:2" x14ac:dyDescent="0.25">
      <c r="A4510" s="388"/>
      <c r="B4510" s="388"/>
    </row>
    <row r="4511" spans="1:2" x14ac:dyDescent="0.25">
      <c r="A4511" s="388"/>
      <c r="B4511" s="388"/>
    </row>
    <row r="4512" spans="1:2" x14ac:dyDescent="0.25">
      <c r="A4512" s="388"/>
      <c r="B4512" s="388"/>
    </row>
    <row r="4513" spans="1:2" x14ac:dyDescent="0.25">
      <c r="A4513" s="388"/>
      <c r="B4513" s="388"/>
    </row>
    <row r="4514" spans="1:2" x14ac:dyDescent="0.25">
      <c r="A4514" s="388"/>
      <c r="B4514" s="388"/>
    </row>
    <row r="4515" spans="1:2" x14ac:dyDescent="0.25">
      <c r="A4515" s="388"/>
      <c r="B4515" s="388"/>
    </row>
    <row r="4516" spans="1:2" x14ac:dyDescent="0.25">
      <c r="A4516" s="388"/>
      <c r="B4516" s="388"/>
    </row>
    <row r="4517" spans="1:2" x14ac:dyDescent="0.25">
      <c r="A4517" s="388"/>
      <c r="B4517" s="388"/>
    </row>
    <row r="4518" spans="1:2" x14ac:dyDescent="0.25">
      <c r="A4518" s="388"/>
      <c r="B4518" s="388"/>
    </row>
    <row r="4519" spans="1:2" x14ac:dyDescent="0.25">
      <c r="A4519" s="388"/>
      <c r="B4519" s="388"/>
    </row>
    <row r="4520" spans="1:2" x14ac:dyDescent="0.25">
      <c r="A4520" s="388"/>
      <c r="B4520" s="388"/>
    </row>
    <row r="4521" spans="1:2" x14ac:dyDescent="0.25">
      <c r="A4521" s="388"/>
      <c r="B4521" s="388"/>
    </row>
    <row r="4522" spans="1:2" x14ac:dyDescent="0.25">
      <c r="A4522" s="388"/>
      <c r="B4522" s="388"/>
    </row>
    <row r="4523" spans="1:2" x14ac:dyDescent="0.25">
      <c r="A4523" s="388"/>
      <c r="B4523" s="388"/>
    </row>
    <row r="4524" spans="1:2" x14ac:dyDescent="0.25">
      <c r="A4524" s="388"/>
      <c r="B4524" s="388"/>
    </row>
    <row r="4525" spans="1:2" x14ac:dyDescent="0.25">
      <c r="A4525" s="388"/>
      <c r="B4525" s="388"/>
    </row>
    <row r="4526" spans="1:2" x14ac:dyDescent="0.25">
      <c r="A4526" s="388"/>
      <c r="B4526" s="388"/>
    </row>
    <row r="4527" spans="1:2" x14ac:dyDescent="0.25">
      <c r="A4527" s="388"/>
      <c r="B4527" s="388"/>
    </row>
    <row r="4528" spans="1:2" x14ac:dyDescent="0.25">
      <c r="A4528" s="388"/>
      <c r="B4528" s="388"/>
    </row>
    <row r="4529" spans="1:2" x14ac:dyDescent="0.25">
      <c r="A4529" s="388"/>
      <c r="B4529" s="388"/>
    </row>
    <row r="4530" spans="1:2" x14ac:dyDescent="0.25">
      <c r="A4530" s="388"/>
      <c r="B4530" s="388"/>
    </row>
    <row r="4531" spans="1:2" x14ac:dyDescent="0.25">
      <c r="A4531" s="388"/>
      <c r="B4531" s="388"/>
    </row>
    <row r="4532" spans="1:2" x14ac:dyDescent="0.25">
      <c r="A4532" s="388"/>
      <c r="B4532" s="388"/>
    </row>
    <row r="4533" spans="1:2" x14ac:dyDescent="0.25">
      <c r="A4533" s="388"/>
      <c r="B4533" s="388"/>
    </row>
    <row r="4534" spans="1:2" x14ac:dyDescent="0.25">
      <c r="A4534" s="388"/>
      <c r="B4534" s="388"/>
    </row>
    <row r="4535" spans="1:2" x14ac:dyDescent="0.25">
      <c r="A4535" s="388"/>
      <c r="B4535" s="388"/>
    </row>
    <row r="4536" spans="1:2" x14ac:dyDescent="0.25">
      <c r="A4536" s="388"/>
      <c r="B4536" s="388"/>
    </row>
    <row r="4537" spans="1:2" x14ac:dyDescent="0.25">
      <c r="A4537" s="388"/>
      <c r="B4537" s="388"/>
    </row>
    <row r="4538" spans="1:2" x14ac:dyDescent="0.25">
      <c r="A4538" s="388"/>
      <c r="B4538" s="388"/>
    </row>
    <row r="4539" spans="1:2" x14ac:dyDescent="0.25">
      <c r="A4539" s="388"/>
      <c r="B4539" s="388"/>
    </row>
    <row r="4540" spans="1:2" x14ac:dyDescent="0.25">
      <c r="A4540" s="388"/>
      <c r="B4540" s="388"/>
    </row>
    <row r="4541" spans="1:2" x14ac:dyDescent="0.25">
      <c r="A4541" s="388"/>
      <c r="B4541" s="388"/>
    </row>
    <row r="4542" spans="1:2" x14ac:dyDescent="0.25">
      <c r="A4542" s="388"/>
      <c r="B4542" s="388"/>
    </row>
    <row r="4543" spans="1:2" x14ac:dyDescent="0.25">
      <c r="A4543" s="388"/>
      <c r="B4543" s="388"/>
    </row>
    <row r="4544" spans="1:2" x14ac:dyDescent="0.25">
      <c r="A4544" s="388"/>
      <c r="B4544" s="388"/>
    </row>
    <row r="4545" spans="1:2" x14ac:dyDescent="0.25">
      <c r="A4545" s="388"/>
      <c r="B4545" s="388"/>
    </row>
    <row r="4546" spans="1:2" x14ac:dyDescent="0.25">
      <c r="A4546" s="388"/>
      <c r="B4546" s="388"/>
    </row>
    <row r="4547" spans="1:2" x14ac:dyDescent="0.25">
      <c r="A4547" s="388"/>
      <c r="B4547" s="388"/>
    </row>
    <row r="4548" spans="1:2" x14ac:dyDescent="0.25">
      <c r="A4548" s="388"/>
      <c r="B4548" s="388"/>
    </row>
    <row r="4549" spans="1:2" x14ac:dyDescent="0.25">
      <c r="A4549" s="388"/>
      <c r="B4549" s="388"/>
    </row>
    <row r="4550" spans="1:2" x14ac:dyDescent="0.25">
      <c r="A4550" s="388"/>
      <c r="B4550" s="388"/>
    </row>
    <row r="4551" spans="1:2" x14ac:dyDescent="0.25">
      <c r="A4551" s="388"/>
      <c r="B4551" s="388"/>
    </row>
    <row r="4552" spans="1:2" x14ac:dyDescent="0.25">
      <c r="A4552" s="388"/>
      <c r="B4552" s="388"/>
    </row>
    <row r="4553" spans="1:2" x14ac:dyDescent="0.25">
      <c r="A4553" s="388"/>
      <c r="B4553" s="388"/>
    </row>
    <row r="4554" spans="1:2" x14ac:dyDescent="0.25">
      <c r="A4554" s="388"/>
      <c r="B4554" s="388"/>
    </row>
    <row r="4555" spans="1:2" x14ac:dyDescent="0.25">
      <c r="A4555" s="388"/>
      <c r="B4555" s="388"/>
    </row>
    <row r="4556" spans="1:2" x14ac:dyDescent="0.25">
      <c r="A4556" s="388"/>
      <c r="B4556" s="388"/>
    </row>
    <row r="4557" spans="1:2" x14ac:dyDescent="0.25">
      <c r="A4557" s="388"/>
      <c r="B4557" s="388"/>
    </row>
    <row r="4558" spans="1:2" x14ac:dyDescent="0.25">
      <c r="A4558" s="388"/>
      <c r="B4558" s="388"/>
    </row>
    <row r="4559" spans="1:2" x14ac:dyDescent="0.25">
      <c r="A4559" s="388"/>
      <c r="B4559" s="388"/>
    </row>
    <row r="4560" spans="1:2" x14ac:dyDescent="0.25">
      <c r="A4560" s="388"/>
      <c r="B4560" s="388"/>
    </row>
    <row r="4561" spans="1:2" x14ac:dyDescent="0.25">
      <c r="A4561" s="388"/>
      <c r="B4561" s="388"/>
    </row>
    <row r="4562" spans="1:2" x14ac:dyDescent="0.25">
      <c r="A4562" s="388"/>
      <c r="B4562" s="388"/>
    </row>
    <row r="4563" spans="1:2" x14ac:dyDescent="0.25">
      <c r="A4563" s="388"/>
      <c r="B4563" s="388"/>
    </row>
    <row r="4564" spans="1:2" x14ac:dyDescent="0.25">
      <c r="A4564" s="388"/>
      <c r="B4564" s="388"/>
    </row>
    <row r="4565" spans="1:2" x14ac:dyDescent="0.25">
      <c r="A4565" s="388"/>
      <c r="B4565" s="388"/>
    </row>
    <row r="4566" spans="1:2" x14ac:dyDescent="0.25">
      <c r="A4566" s="388"/>
      <c r="B4566" s="388"/>
    </row>
    <row r="4567" spans="1:2" x14ac:dyDescent="0.25">
      <c r="A4567" s="388"/>
      <c r="B4567" s="388"/>
    </row>
    <row r="4568" spans="1:2" x14ac:dyDescent="0.25">
      <c r="A4568" s="388"/>
      <c r="B4568" s="388"/>
    </row>
    <row r="4569" spans="1:2" x14ac:dyDescent="0.25">
      <c r="A4569" s="388"/>
      <c r="B4569" s="388"/>
    </row>
    <row r="4570" spans="1:2" x14ac:dyDescent="0.25">
      <c r="A4570" s="388"/>
      <c r="B4570" s="388"/>
    </row>
    <row r="4571" spans="1:2" x14ac:dyDescent="0.25">
      <c r="A4571" s="388"/>
      <c r="B4571" s="388"/>
    </row>
    <row r="4572" spans="1:2" x14ac:dyDescent="0.25">
      <c r="A4572" s="388"/>
      <c r="B4572" s="388"/>
    </row>
    <row r="4573" spans="1:2" x14ac:dyDescent="0.25">
      <c r="A4573" s="388"/>
      <c r="B4573" s="388"/>
    </row>
    <row r="4574" spans="1:2" x14ac:dyDescent="0.25">
      <c r="A4574" s="388"/>
      <c r="B4574" s="388"/>
    </row>
    <row r="4575" spans="1:2" x14ac:dyDescent="0.25">
      <c r="A4575" s="388"/>
      <c r="B4575" s="388"/>
    </row>
    <row r="4576" spans="1:2" x14ac:dyDescent="0.25">
      <c r="A4576" s="388"/>
      <c r="B4576" s="388"/>
    </row>
    <row r="4577" spans="1:2" x14ac:dyDescent="0.25">
      <c r="A4577" s="388"/>
      <c r="B4577" s="388"/>
    </row>
    <row r="4578" spans="1:2" x14ac:dyDescent="0.25">
      <c r="A4578" s="388"/>
      <c r="B4578" s="388"/>
    </row>
    <row r="4579" spans="1:2" x14ac:dyDescent="0.25">
      <c r="A4579" s="388"/>
      <c r="B4579" s="388"/>
    </row>
    <row r="4580" spans="1:2" x14ac:dyDescent="0.25">
      <c r="A4580" s="388"/>
      <c r="B4580" s="388"/>
    </row>
    <row r="4581" spans="1:2" x14ac:dyDescent="0.25">
      <c r="A4581" s="388"/>
      <c r="B4581" s="388"/>
    </row>
    <row r="4582" spans="1:2" x14ac:dyDescent="0.25">
      <c r="A4582" s="388"/>
      <c r="B4582" s="388"/>
    </row>
    <row r="4583" spans="1:2" x14ac:dyDescent="0.25">
      <c r="A4583" s="388"/>
      <c r="B4583" s="388"/>
    </row>
    <row r="4584" spans="1:2" x14ac:dyDescent="0.25">
      <c r="A4584" s="388"/>
      <c r="B4584" s="388"/>
    </row>
    <row r="4585" spans="1:2" x14ac:dyDescent="0.25">
      <c r="A4585" s="388"/>
      <c r="B4585" s="388"/>
    </row>
    <row r="4586" spans="1:2" x14ac:dyDescent="0.25">
      <c r="A4586" s="388"/>
      <c r="B4586" s="388"/>
    </row>
    <row r="4587" spans="1:2" x14ac:dyDescent="0.25">
      <c r="A4587" s="388"/>
      <c r="B4587" s="388"/>
    </row>
    <row r="4588" spans="1:2" x14ac:dyDescent="0.25">
      <c r="A4588" s="388"/>
      <c r="B4588" s="388"/>
    </row>
    <row r="4589" spans="1:2" x14ac:dyDescent="0.25">
      <c r="A4589" s="388"/>
      <c r="B4589" s="388"/>
    </row>
    <row r="4590" spans="1:2" x14ac:dyDescent="0.25">
      <c r="A4590" s="388"/>
      <c r="B4590" s="388"/>
    </row>
    <row r="4591" spans="1:2" x14ac:dyDescent="0.25">
      <c r="A4591" s="388"/>
      <c r="B4591" s="388"/>
    </row>
    <row r="4592" spans="1:2" x14ac:dyDescent="0.25">
      <c r="A4592" s="388"/>
      <c r="B4592" s="388"/>
    </row>
    <row r="4593" spans="1:2" x14ac:dyDescent="0.25">
      <c r="A4593" s="388"/>
      <c r="B4593" s="388"/>
    </row>
    <row r="4594" spans="1:2" x14ac:dyDescent="0.25">
      <c r="A4594" s="388"/>
      <c r="B4594" s="388"/>
    </row>
    <row r="4595" spans="1:2" x14ac:dyDescent="0.25">
      <c r="A4595" s="388"/>
      <c r="B4595" s="388"/>
    </row>
    <row r="4596" spans="1:2" x14ac:dyDescent="0.25">
      <c r="A4596" s="388"/>
      <c r="B4596" s="388"/>
    </row>
    <row r="4597" spans="1:2" x14ac:dyDescent="0.25">
      <c r="A4597" s="388"/>
      <c r="B4597" s="388"/>
    </row>
    <row r="4598" spans="1:2" x14ac:dyDescent="0.25">
      <c r="A4598" s="388"/>
      <c r="B4598" s="388"/>
    </row>
    <row r="4599" spans="1:2" x14ac:dyDescent="0.25">
      <c r="A4599" s="388"/>
      <c r="B4599" s="388"/>
    </row>
    <row r="4600" spans="1:2" x14ac:dyDescent="0.25">
      <c r="A4600" s="388"/>
      <c r="B4600" s="388"/>
    </row>
    <row r="4601" spans="1:2" x14ac:dyDescent="0.25">
      <c r="A4601" s="388"/>
      <c r="B4601" s="388"/>
    </row>
    <row r="4602" spans="1:2" x14ac:dyDescent="0.25">
      <c r="A4602" s="388"/>
      <c r="B4602" s="388"/>
    </row>
    <row r="4603" spans="1:2" x14ac:dyDescent="0.25">
      <c r="A4603" s="388"/>
      <c r="B4603" s="388"/>
    </row>
    <row r="4604" spans="1:2" x14ac:dyDescent="0.25">
      <c r="A4604" s="388"/>
      <c r="B4604" s="388"/>
    </row>
    <row r="4605" spans="1:2" x14ac:dyDescent="0.25">
      <c r="A4605" s="388"/>
      <c r="B4605" s="388"/>
    </row>
    <row r="4606" spans="1:2" x14ac:dyDescent="0.25">
      <c r="A4606" s="388"/>
      <c r="B4606" s="388"/>
    </row>
    <row r="4607" spans="1:2" x14ac:dyDescent="0.25">
      <c r="A4607" s="388"/>
      <c r="B4607" s="388"/>
    </row>
    <row r="4608" spans="1:2" x14ac:dyDescent="0.25">
      <c r="A4608" s="388"/>
      <c r="B4608" s="388"/>
    </row>
    <row r="4609" spans="1:2" x14ac:dyDescent="0.25">
      <c r="A4609" s="388"/>
      <c r="B4609" s="388"/>
    </row>
    <row r="4610" spans="1:2" x14ac:dyDescent="0.25">
      <c r="A4610" s="388"/>
      <c r="B4610" s="388"/>
    </row>
    <row r="4611" spans="1:2" x14ac:dyDescent="0.25">
      <c r="A4611" s="388"/>
      <c r="B4611" s="388"/>
    </row>
    <row r="4612" spans="1:2" x14ac:dyDescent="0.25">
      <c r="A4612" s="388"/>
      <c r="B4612" s="388"/>
    </row>
    <row r="4613" spans="1:2" x14ac:dyDescent="0.25">
      <c r="A4613" s="388"/>
      <c r="B4613" s="388"/>
    </row>
    <row r="4614" spans="1:2" x14ac:dyDescent="0.25">
      <c r="A4614" s="388"/>
      <c r="B4614" s="388"/>
    </row>
    <row r="4615" spans="1:2" x14ac:dyDescent="0.25">
      <c r="A4615" s="388"/>
      <c r="B4615" s="388"/>
    </row>
    <row r="4616" spans="1:2" x14ac:dyDescent="0.25">
      <c r="A4616" s="388"/>
      <c r="B4616" s="388"/>
    </row>
    <row r="4617" spans="1:2" x14ac:dyDescent="0.25">
      <c r="A4617" s="388"/>
      <c r="B4617" s="388"/>
    </row>
    <row r="4618" spans="1:2" x14ac:dyDescent="0.25">
      <c r="A4618" s="388"/>
      <c r="B4618" s="388"/>
    </row>
    <row r="4619" spans="1:2" x14ac:dyDescent="0.25">
      <c r="A4619" s="388"/>
      <c r="B4619" s="388"/>
    </row>
    <row r="4620" spans="1:2" x14ac:dyDescent="0.25">
      <c r="A4620" s="388"/>
      <c r="B4620" s="388"/>
    </row>
    <row r="4621" spans="1:2" x14ac:dyDescent="0.25">
      <c r="A4621" s="388"/>
      <c r="B4621" s="388"/>
    </row>
    <row r="4622" spans="1:2" x14ac:dyDescent="0.25">
      <c r="A4622" s="388"/>
      <c r="B4622" s="388"/>
    </row>
    <row r="4623" spans="1:2" x14ac:dyDescent="0.25">
      <c r="A4623" s="388"/>
      <c r="B4623" s="388"/>
    </row>
    <row r="4624" spans="1:2" x14ac:dyDescent="0.25">
      <c r="A4624" s="388"/>
      <c r="B4624" s="388"/>
    </row>
    <row r="4625" spans="1:2" x14ac:dyDescent="0.25">
      <c r="A4625" s="388"/>
      <c r="B4625" s="388"/>
    </row>
    <row r="4626" spans="1:2" x14ac:dyDescent="0.25">
      <c r="A4626" s="388"/>
      <c r="B4626" s="388"/>
    </row>
    <row r="4627" spans="1:2" x14ac:dyDescent="0.25">
      <c r="A4627" s="388"/>
      <c r="B4627" s="388"/>
    </row>
    <row r="4628" spans="1:2" x14ac:dyDescent="0.25">
      <c r="A4628" s="388"/>
      <c r="B4628" s="388"/>
    </row>
    <row r="4629" spans="1:2" x14ac:dyDescent="0.25">
      <c r="A4629" s="388"/>
      <c r="B4629" s="388"/>
    </row>
    <row r="4630" spans="1:2" x14ac:dyDescent="0.25">
      <c r="A4630" s="388"/>
      <c r="B4630" s="388"/>
    </row>
    <row r="4631" spans="1:2" x14ac:dyDescent="0.25">
      <c r="A4631" s="388"/>
      <c r="B4631" s="388"/>
    </row>
    <row r="4632" spans="1:2" x14ac:dyDescent="0.25">
      <c r="A4632" s="388"/>
      <c r="B4632" s="388"/>
    </row>
    <row r="4633" spans="1:2" x14ac:dyDescent="0.25">
      <c r="A4633" s="388"/>
      <c r="B4633" s="388"/>
    </row>
    <row r="4634" spans="1:2" x14ac:dyDescent="0.25">
      <c r="A4634" s="388"/>
      <c r="B4634" s="388"/>
    </row>
    <row r="4635" spans="1:2" x14ac:dyDescent="0.25">
      <c r="A4635" s="388"/>
      <c r="B4635" s="388"/>
    </row>
    <row r="4636" spans="1:2" x14ac:dyDescent="0.25">
      <c r="A4636" s="388"/>
      <c r="B4636" s="388"/>
    </row>
    <row r="4637" spans="1:2" x14ac:dyDescent="0.25">
      <c r="A4637" s="388"/>
      <c r="B4637" s="388"/>
    </row>
    <row r="4638" spans="1:2" x14ac:dyDescent="0.25">
      <c r="A4638" s="388"/>
      <c r="B4638" s="388"/>
    </row>
    <row r="4639" spans="1:2" x14ac:dyDescent="0.25">
      <c r="A4639" s="388"/>
      <c r="B4639" s="388"/>
    </row>
    <row r="4640" spans="1:2" x14ac:dyDescent="0.25">
      <c r="A4640" s="388"/>
      <c r="B4640" s="388"/>
    </row>
    <row r="4641" spans="1:2" x14ac:dyDescent="0.25">
      <c r="A4641" s="388"/>
      <c r="B4641" s="388"/>
    </row>
    <row r="4642" spans="1:2" x14ac:dyDescent="0.25">
      <c r="A4642" s="388"/>
      <c r="B4642" s="388"/>
    </row>
    <row r="4643" spans="1:2" x14ac:dyDescent="0.25">
      <c r="A4643" s="388"/>
      <c r="B4643" s="388"/>
    </row>
    <row r="4644" spans="1:2" x14ac:dyDescent="0.25">
      <c r="A4644" s="388"/>
      <c r="B4644" s="388"/>
    </row>
    <row r="4645" spans="1:2" x14ac:dyDescent="0.25">
      <c r="A4645" s="388"/>
      <c r="B4645" s="388"/>
    </row>
    <row r="4646" spans="1:2" x14ac:dyDescent="0.25">
      <c r="A4646" s="388"/>
      <c r="B4646" s="388"/>
    </row>
    <row r="4647" spans="1:2" x14ac:dyDescent="0.25">
      <c r="A4647" s="388"/>
      <c r="B4647" s="388"/>
    </row>
    <row r="4648" spans="1:2" x14ac:dyDescent="0.25">
      <c r="A4648" s="388"/>
      <c r="B4648" s="388"/>
    </row>
    <row r="4649" spans="1:2" x14ac:dyDescent="0.25">
      <c r="A4649" s="388"/>
      <c r="B4649" s="388"/>
    </row>
    <row r="4650" spans="1:2" x14ac:dyDescent="0.25">
      <c r="A4650" s="388"/>
      <c r="B4650" s="388"/>
    </row>
    <row r="4651" spans="1:2" x14ac:dyDescent="0.25">
      <c r="A4651" s="388"/>
      <c r="B4651" s="388"/>
    </row>
    <row r="4652" spans="1:2" x14ac:dyDescent="0.25">
      <c r="A4652" s="388"/>
      <c r="B4652" s="388"/>
    </row>
    <row r="4653" spans="1:2" x14ac:dyDescent="0.25">
      <c r="A4653" s="388"/>
      <c r="B4653" s="388"/>
    </row>
    <row r="4654" spans="1:2" x14ac:dyDescent="0.25">
      <c r="A4654" s="388"/>
      <c r="B4654" s="388"/>
    </row>
    <row r="4655" spans="1:2" x14ac:dyDescent="0.25">
      <c r="A4655" s="388"/>
      <c r="B4655" s="388"/>
    </row>
    <row r="4656" spans="1:2" x14ac:dyDescent="0.25">
      <c r="A4656" s="388"/>
      <c r="B4656" s="388"/>
    </row>
    <row r="4657" spans="1:2" x14ac:dyDescent="0.25">
      <c r="A4657" s="388"/>
      <c r="B4657" s="388"/>
    </row>
    <row r="4658" spans="1:2" x14ac:dyDescent="0.25">
      <c r="A4658" s="388"/>
      <c r="B4658" s="388"/>
    </row>
    <row r="4659" spans="1:2" x14ac:dyDescent="0.25">
      <c r="A4659" s="388"/>
      <c r="B4659" s="388"/>
    </row>
    <row r="4660" spans="1:2" x14ac:dyDescent="0.25">
      <c r="A4660" s="388"/>
      <c r="B4660" s="388"/>
    </row>
    <row r="4661" spans="1:2" x14ac:dyDescent="0.25">
      <c r="A4661" s="388"/>
      <c r="B4661" s="388"/>
    </row>
    <row r="4662" spans="1:2" x14ac:dyDescent="0.25">
      <c r="A4662" s="388"/>
      <c r="B4662" s="388"/>
    </row>
    <row r="4663" spans="1:2" x14ac:dyDescent="0.25">
      <c r="A4663" s="388"/>
      <c r="B4663" s="388"/>
    </row>
    <row r="4664" spans="1:2" x14ac:dyDescent="0.25">
      <c r="A4664" s="388"/>
      <c r="B4664" s="388"/>
    </row>
    <row r="4665" spans="1:2" x14ac:dyDescent="0.25">
      <c r="A4665" s="388"/>
      <c r="B4665" s="388"/>
    </row>
    <row r="4666" spans="1:2" x14ac:dyDescent="0.25">
      <c r="A4666" s="388"/>
      <c r="B4666" s="388"/>
    </row>
    <row r="4667" spans="1:2" x14ac:dyDescent="0.25">
      <c r="A4667" s="388"/>
      <c r="B4667" s="388"/>
    </row>
    <row r="4668" spans="1:2" x14ac:dyDescent="0.25">
      <c r="A4668" s="388"/>
      <c r="B4668" s="388"/>
    </row>
    <row r="4669" spans="1:2" x14ac:dyDescent="0.25">
      <c r="A4669" s="388"/>
      <c r="B4669" s="388"/>
    </row>
    <row r="4670" spans="1:2" x14ac:dyDescent="0.25">
      <c r="A4670" s="388"/>
      <c r="B4670" s="388"/>
    </row>
    <row r="4671" spans="1:2" x14ac:dyDescent="0.25">
      <c r="A4671" s="388"/>
      <c r="B4671" s="388"/>
    </row>
    <row r="4672" spans="1:2" x14ac:dyDescent="0.25">
      <c r="A4672" s="388"/>
      <c r="B4672" s="388"/>
    </row>
    <row r="4673" spans="1:2" x14ac:dyDescent="0.25">
      <c r="A4673" s="388"/>
      <c r="B4673" s="388"/>
    </row>
    <row r="4674" spans="1:2" x14ac:dyDescent="0.25">
      <c r="A4674" s="388"/>
      <c r="B4674" s="388"/>
    </row>
    <row r="4675" spans="1:2" x14ac:dyDescent="0.25">
      <c r="A4675" s="388"/>
      <c r="B4675" s="388"/>
    </row>
    <row r="4676" spans="1:2" x14ac:dyDescent="0.25">
      <c r="A4676" s="388"/>
      <c r="B4676" s="388"/>
    </row>
    <row r="4677" spans="1:2" x14ac:dyDescent="0.25">
      <c r="A4677" s="388"/>
      <c r="B4677" s="388"/>
    </row>
    <row r="4678" spans="1:2" x14ac:dyDescent="0.25">
      <c r="A4678" s="388"/>
      <c r="B4678" s="388"/>
    </row>
    <row r="4679" spans="1:2" x14ac:dyDescent="0.25">
      <c r="A4679" s="388"/>
      <c r="B4679" s="388"/>
    </row>
    <row r="4680" spans="1:2" x14ac:dyDescent="0.25">
      <c r="A4680" s="388"/>
      <c r="B4680" s="388"/>
    </row>
    <row r="4681" spans="1:2" x14ac:dyDescent="0.25">
      <c r="A4681" s="388"/>
      <c r="B4681" s="388"/>
    </row>
    <row r="4682" spans="1:2" x14ac:dyDescent="0.25">
      <c r="A4682" s="388"/>
      <c r="B4682" s="388"/>
    </row>
    <row r="4683" spans="1:2" x14ac:dyDescent="0.25">
      <c r="A4683" s="388"/>
      <c r="B4683" s="388"/>
    </row>
    <row r="4684" spans="1:2" x14ac:dyDescent="0.25">
      <c r="A4684" s="388"/>
      <c r="B4684" s="388"/>
    </row>
    <row r="4685" spans="1:2" x14ac:dyDescent="0.25">
      <c r="A4685" s="388"/>
      <c r="B4685" s="388"/>
    </row>
    <row r="4686" spans="1:2" x14ac:dyDescent="0.25">
      <c r="A4686" s="388"/>
      <c r="B4686" s="388"/>
    </row>
    <row r="4687" spans="1:2" x14ac:dyDescent="0.25">
      <c r="A4687" s="388"/>
      <c r="B4687" s="388"/>
    </row>
    <row r="4688" spans="1:2" x14ac:dyDescent="0.25">
      <c r="A4688" s="388"/>
      <c r="B4688" s="388"/>
    </row>
    <row r="4689" spans="1:2" x14ac:dyDescent="0.25">
      <c r="A4689" s="388"/>
      <c r="B4689" s="388"/>
    </row>
    <row r="4690" spans="1:2" x14ac:dyDescent="0.25">
      <c r="A4690" s="388"/>
      <c r="B4690" s="388"/>
    </row>
    <row r="4691" spans="1:2" x14ac:dyDescent="0.25">
      <c r="A4691" s="388"/>
      <c r="B4691" s="388"/>
    </row>
    <row r="4692" spans="1:2" x14ac:dyDescent="0.25">
      <c r="A4692" s="388"/>
      <c r="B4692" s="388"/>
    </row>
    <row r="4693" spans="1:2" x14ac:dyDescent="0.25">
      <c r="A4693" s="388"/>
      <c r="B4693" s="388"/>
    </row>
    <row r="4694" spans="1:2" x14ac:dyDescent="0.25">
      <c r="A4694" s="388"/>
      <c r="B4694" s="388"/>
    </row>
    <row r="4695" spans="1:2" x14ac:dyDescent="0.25">
      <c r="A4695" s="388"/>
      <c r="B4695" s="388"/>
    </row>
    <row r="4696" spans="1:2" x14ac:dyDescent="0.25">
      <c r="A4696" s="388"/>
      <c r="B4696" s="388"/>
    </row>
    <row r="4697" spans="1:2" x14ac:dyDescent="0.25">
      <c r="A4697" s="388"/>
      <c r="B4697" s="388"/>
    </row>
    <row r="4698" spans="1:2" x14ac:dyDescent="0.25">
      <c r="A4698" s="388"/>
      <c r="B4698" s="388"/>
    </row>
    <row r="4699" spans="1:2" x14ac:dyDescent="0.25">
      <c r="A4699" s="388"/>
      <c r="B4699" s="388"/>
    </row>
    <row r="4700" spans="1:2" x14ac:dyDescent="0.25">
      <c r="A4700" s="388"/>
      <c r="B4700" s="388"/>
    </row>
    <row r="4701" spans="1:2" x14ac:dyDescent="0.25">
      <c r="A4701" s="388"/>
      <c r="B4701" s="388"/>
    </row>
    <row r="4702" spans="1:2" x14ac:dyDescent="0.25">
      <c r="A4702" s="388"/>
      <c r="B4702" s="388"/>
    </row>
    <row r="4703" spans="1:2" x14ac:dyDescent="0.25">
      <c r="A4703" s="388"/>
      <c r="B4703" s="388"/>
    </row>
    <row r="4704" spans="1:2" x14ac:dyDescent="0.25">
      <c r="A4704" s="388"/>
      <c r="B4704" s="388"/>
    </row>
    <row r="4705" spans="1:2" x14ac:dyDescent="0.25">
      <c r="A4705" s="388"/>
      <c r="B4705" s="388"/>
    </row>
    <row r="4706" spans="1:2" x14ac:dyDescent="0.25">
      <c r="A4706" s="388"/>
      <c r="B4706" s="388"/>
    </row>
    <row r="4707" spans="1:2" x14ac:dyDescent="0.25">
      <c r="A4707" s="388"/>
      <c r="B4707" s="388"/>
    </row>
    <row r="4708" spans="1:2" x14ac:dyDescent="0.25">
      <c r="A4708" s="388"/>
      <c r="B4708" s="388"/>
    </row>
    <row r="4709" spans="1:2" x14ac:dyDescent="0.25">
      <c r="A4709" s="388"/>
      <c r="B4709" s="388"/>
    </row>
    <row r="4710" spans="1:2" x14ac:dyDescent="0.25">
      <c r="A4710" s="388"/>
      <c r="B4710" s="388"/>
    </row>
    <row r="4711" spans="1:2" x14ac:dyDescent="0.25">
      <c r="A4711" s="388"/>
      <c r="B4711" s="388"/>
    </row>
    <row r="4712" spans="1:2" x14ac:dyDescent="0.25">
      <c r="A4712" s="388"/>
      <c r="B4712" s="388"/>
    </row>
    <row r="4713" spans="1:2" x14ac:dyDescent="0.25">
      <c r="A4713" s="388"/>
      <c r="B4713" s="388"/>
    </row>
    <row r="4714" spans="1:2" x14ac:dyDescent="0.25">
      <c r="A4714" s="388"/>
      <c r="B4714" s="388"/>
    </row>
    <row r="4715" spans="1:2" x14ac:dyDescent="0.25">
      <c r="A4715" s="388"/>
      <c r="B4715" s="388"/>
    </row>
    <row r="4716" spans="1:2" x14ac:dyDescent="0.25">
      <c r="A4716" s="388"/>
      <c r="B4716" s="388"/>
    </row>
    <row r="4717" spans="1:2" x14ac:dyDescent="0.25">
      <c r="A4717" s="388"/>
      <c r="B4717" s="388"/>
    </row>
    <row r="4718" spans="1:2" x14ac:dyDescent="0.25">
      <c r="A4718" s="388"/>
      <c r="B4718" s="388"/>
    </row>
    <row r="4719" spans="1:2" x14ac:dyDescent="0.25">
      <c r="A4719" s="388"/>
      <c r="B4719" s="388"/>
    </row>
    <row r="4720" spans="1:2" x14ac:dyDescent="0.25">
      <c r="A4720" s="388"/>
      <c r="B4720" s="388"/>
    </row>
    <row r="4721" spans="1:2" x14ac:dyDescent="0.25">
      <c r="A4721" s="388"/>
      <c r="B4721" s="388"/>
    </row>
    <row r="4722" spans="1:2" x14ac:dyDescent="0.25">
      <c r="A4722" s="388"/>
      <c r="B4722" s="388"/>
    </row>
    <row r="4723" spans="1:2" x14ac:dyDescent="0.25">
      <c r="A4723" s="388"/>
      <c r="B4723" s="388"/>
    </row>
    <row r="4724" spans="1:2" x14ac:dyDescent="0.25">
      <c r="A4724" s="388"/>
      <c r="B4724" s="388"/>
    </row>
    <row r="4725" spans="1:2" x14ac:dyDescent="0.25">
      <c r="A4725" s="388"/>
      <c r="B4725" s="388"/>
    </row>
    <row r="4726" spans="1:2" x14ac:dyDescent="0.25">
      <c r="A4726" s="388"/>
      <c r="B4726" s="388"/>
    </row>
    <row r="4727" spans="1:2" x14ac:dyDescent="0.25">
      <c r="A4727" s="388"/>
      <c r="B4727" s="388"/>
    </row>
    <row r="4728" spans="1:2" x14ac:dyDescent="0.25">
      <c r="A4728" s="388"/>
      <c r="B4728" s="388"/>
    </row>
    <row r="4729" spans="1:2" x14ac:dyDescent="0.25">
      <c r="A4729" s="388"/>
      <c r="B4729" s="388"/>
    </row>
    <row r="4730" spans="1:2" x14ac:dyDescent="0.25">
      <c r="A4730" s="388"/>
      <c r="B4730" s="388"/>
    </row>
    <row r="4731" spans="1:2" x14ac:dyDescent="0.25">
      <c r="A4731" s="388"/>
      <c r="B4731" s="388"/>
    </row>
    <row r="4732" spans="1:2" x14ac:dyDescent="0.25">
      <c r="A4732" s="388"/>
      <c r="B4732" s="388"/>
    </row>
    <row r="4733" spans="1:2" x14ac:dyDescent="0.25">
      <c r="A4733" s="388"/>
      <c r="B4733" s="388"/>
    </row>
    <row r="4734" spans="1:2" x14ac:dyDescent="0.25">
      <c r="A4734" s="388"/>
      <c r="B4734" s="388"/>
    </row>
    <row r="4735" spans="1:2" x14ac:dyDescent="0.25">
      <c r="A4735" s="388"/>
      <c r="B4735" s="388"/>
    </row>
    <row r="4736" spans="1:2" x14ac:dyDescent="0.25">
      <c r="A4736" s="388"/>
      <c r="B4736" s="388"/>
    </row>
    <row r="4737" spans="1:2" x14ac:dyDescent="0.25">
      <c r="A4737" s="388"/>
      <c r="B4737" s="388"/>
    </row>
    <row r="4738" spans="1:2" x14ac:dyDescent="0.25">
      <c r="A4738" s="388"/>
      <c r="B4738" s="388"/>
    </row>
    <row r="4739" spans="1:2" x14ac:dyDescent="0.25">
      <c r="A4739" s="388"/>
      <c r="B4739" s="388"/>
    </row>
    <row r="4740" spans="1:2" x14ac:dyDescent="0.25">
      <c r="A4740" s="388"/>
      <c r="B4740" s="388"/>
    </row>
    <row r="4741" spans="1:2" x14ac:dyDescent="0.25">
      <c r="A4741" s="388"/>
      <c r="B4741" s="388"/>
    </row>
    <row r="4742" spans="1:2" x14ac:dyDescent="0.25">
      <c r="A4742" s="388"/>
      <c r="B4742" s="388"/>
    </row>
    <row r="4743" spans="1:2" x14ac:dyDescent="0.25">
      <c r="A4743" s="388"/>
      <c r="B4743" s="388"/>
    </row>
    <row r="4744" spans="1:2" x14ac:dyDescent="0.25">
      <c r="A4744" s="388"/>
      <c r="B4744" s="388"/>
    </row>
    <row r="4745" spans="1:2" x14ac:dyDescent="0.25">
      <c r="A4745" s="388"/>
      <c r="B4745" s="388"/>
    </row>
    <row r="4746" spans="1:2" x14ac:dyDescent="0.25">
      <c r="A4746" s="388"/>
      <c r="B4746" s="388"/>
    </row>
    <row r="4747" spans="1:2" x14ac:dyDescent="0.25">
      <c r="A4747" s="388"/>
      <c r="B4747" s="388"/>
    </row>
    <row r="4748" spans="1:2" x14ac:dyDescent="0.25">
      <c r="A4748" s="388"/>
      <c r="B4748" s="388"/>
    </row>
    <row r="4749" spans="1:2" x14ac:dyDescent="0.25">
      <c r="A4749" s="388"/>
      <c r="B4749" s="388"/>
    </row>
    <row r="4750" spans="1:2" x14ac:dyDescent="0.25">
      <c r="A4750" s="388"/>
      <c r="B4750" s="388"/>
    </row>
    <row r="4751" spans="1:2" x14ac:dyDescent="0.25">
      <c r="A4751" s="388"/>
      <c r="B4751" s="388"/>
    </row>
    <row r="4752" spans="1:2" x14ac:dyDescent="0.25">
      <c r="A4752" s="388"/>
      <c r="B4752" s="388"/>
    </row>
    <row r="4753" spans="1:2" x14ac:dyDescent="0.25">
      <c r="A4753" s="388"/>
      <c r="B4753" s="388"/>
    </row>
    <row r="4754" spans="1:2" x14ac:dyDescent="0.25">
      <c r="A4754" s="388"/>
      <c r="B4754" s="388"/>
    </row>
    <row r="4755" spans="1:2" x14ac:dyDescent="0.25">
      <c r="A4755" s="388"/>
      <c r="B4755" s="388"/>
    </row>
    <row r="4756" spans="1:2" x14ac:dyDescent="0.25">
      <c r="A4756" s="388"/>
      <c r="B4756" s="388"/>
    </row>
    <row r="4757" spans="1:2" x14ac:dyDescent="0.25">
      <c r="A4757" s="388"/>
      <c r="B4757" s="388"/>
    </row>
    <row r="4758" spans="1:2" x14ac:dyDescent="0.25">
      <c r="A4758" s="388"/>
      <c r="B4758" s="388"/>
    </row>
    <row r="4759" spans="1:2" x14ac:dyDescent="0.25">
      <c r="A4759" s="388"/>
      <c r="B4759" s="388"/>
    </row>
    <row r="4760" spans="1:2" x14ac:dyDescent="0.25">
      <c r="A4760" s="388"/>
      <c r="B4760" s="388"/>
    </row>
    <row r="4761" spans="1:2" x14ac:dyDescent="0.25">
      <c r="A4761" s="388"/>
      <c r="B4761" s="388"/>
    </row>
    <row r="4762" spans="1:2" x14ac:dyDescent="0.25">
      <c r="A4762" s="388"/>
      <c r="B4762" s="388"/>
    </row>
    <row r="4763" spans="1:2" x14ac:dyDescent="0.25">
      <c r="A4763" s="388"/>
      <c r="B4763" s="388"/>
    </row>
    <row r="4764" spans="1:2" x14ac:dyDescent="0.25">
      <c r="A4764" s="388"/>
      <c r="B4764" s="388"/>
    </row>
    <row r="4765" spans="1:2" x14ac:dyDescent="0.25">
      <c r="A4765" s="388"/>
      <c r="B4765" s="388"/>
    </row>
    <row r="4766" spans="1:2" x14ac:dyDescent="0.25">
      <c r="A4766" s="388"/>
      <c r="B4766" s="388"/>
    </row>
    <row r="4767" spans="1:2" x14ac:dyDescent="0.25">
      <c r="A4767" s="388"/>
      <c r="B4767" s="388"/>
    </row>
    <row r="4768" spans="1:2" x14ac:dyDescent="0.25">
      <c r="A4768" s="388"/>
      <c r="B4768" s="388"/>
    </row>
    <row r="4769" spans="1:2" x14ac:dyDescent="0.25">
      <c r="A4769" s="388"/>
      <c r="B4769" s="388"/>
    </row>
    <row r="4770" spans="1:2" x14ac:dyDescent="0.25">
      <c r="A4770" s="388"/>
      <c r="B4770" s="388"/>
    </row>
    <row r="4771" spans="1:2" x14ac:dyDescent="0.25">
      <c r="A4771" s="388"/>
      <c r="B4771" s="388"/>
    </row>
    <row r="4772" spans="1:2" x14ac:dyDescent="0.25">
      <c r="A4772" s="388"/>
      <c r="B4772" s="388"/>
    </row>
    <row r="4773" spans="1:2" x14ac:dyDescent="0.25">
      <c r="A4773" s="388"/>
      <c r="B4773" s="388"/>
    </row>
    <row r="4774" spans="1:2" x14ac:dyDescent="0.25">
      <c r="A4774" s="388"/>
      <c r="B4774" s="388"/>
    </row>
    <row r="4775" spans="1:2" x14ac:dyDescent="0.25">
      <c r="A4775" s="388"/>
      <c r="B4775" s="388"/>
    </row>
    <row r="4776" spans="1:2" x14ac:dyDescent="0.25">
      <c r="A4776" s="388"/>
      <c r="B4776" s="388"/>
    </row>
    <row r="4777" spans="1:2" x14ac:dyDescent="0.25">
      <c r="A4777" s="388"/>
      <c r="B4777" s="388"/>
    </row>
    <row r="4778" spans="1:2" x14ac:dyDescent="0.25">
      <c r="A4778" s="388"/>
      <c r="B4778" s="388"/>
    </row>
    <row r="4779" spans="1:2" x14ac:dyDescent="0.25">
      <c r="A4779" s="388"/>
      <c r="B4779" s="388"/>
    </row>
    <row r="4780" spans="1:2" x14ac:dyDescent="0.25">
      <c r="A4780" s="388"/>
      <c r="B4780" s="388"/>
    </row>
    <row r="4781" spans="1:2" x14ac:dyDescent="0.25">
      <c r="A4781" s="388"/>
      <c r="B4781" s="388"/>
    </row>
    <row r="4782" spans="1:2" x14ac:dyDescent="0.25">
      <c r="A4782" s="388"/>
      <c r="B4782" s="388"/>
    </row>
    <row r="4783" spans="1:2" x14ac:dyDescent="0.25">
      <c r="A4783" s="388"/>
      <c r="B4783" s="388"/>
    </row>
    <row r="4784" spans="1:2" x14ac:dyDescent="0.25">
      <c r="A4784" s="388"/>
      <c r="B4784" s="388"/>
    </row>
    <row r="4785" spans="1:2" x14ac:dyDescent="0.25">
      <c r="A4785" s="388"/>
      <c r="B4785" s="388"/>
    </row>
    <row r="4786" spans="1:2" x14ac:dyDescent="0.25">
      <c r="A4786" s="388"/>
      <c r="B4786" s="388"/>
    </row>
    <row r="4787" spans="1:2" x14ac:dyDescent="0.25">
      <c r="A4787" s="388"/>
      <c r="B4787" s="388"/>
    </row>
    <row r="4788" spans="1:2" x14ac:dyDescent="0.25">
      <c r="A4788" s="388"/>
      <c r="B4788" s="388"/>
    </row>
    <row r="4789" spans="1:2" x14ac:dyDescent="0.25">
      <c r="A4789" s="388"/>
      <c r="B4789" s="388"/>
    </row>
    <row r="4790" spans="1:2" x14ac:dyDescent="0.25">
      <c r="A4790" s="388"/>
      <c r="B4790" s="388"/>
    </row>
    <row r="4791" spans="1:2" x14ac:dyDescent="0.25">
      <c r="A4791" s="388"/>
      <c r="B4791" s="388"/>
    </row>
    <row r="4792" spans="1:2" x14ac:dyDescent="0.25">
      <c r="A4792" s="388"/>
      <c r="B4792" s="388"/>
    </row>
    <row r="4793" spans="1:2" x14ac:dyDescent="0.25">
      <c r="A4793" s="388"/>
      <c r="B4793" s="388"/>
    </row>
    <row r="4794" spans="1:2" x14ac:dyDescent="0.25">
      <c r="A4794" s="388"/>
      <c r="B4794" s="388"/>
    </row>
    <row r="4795" spans="1:2" x14ac:dyDescent="0.25">
      <c r="A4795" s="388"/>
      <c r="B4795" s="388"/>
    </row>
    <row r="4796" spans="1:2" x14ac:dyDescent="0.25">
      <c r="A4796" s="388"/>
      <c r="B4796" s="388"/>
    </row>
    <row r="4797" spans="1:2" x14ac:dyDescent="0.25">
      <c r="A4797" s="388"/>
      <c r="B4797" s="388"/>
    </row>
    <row r="4798" spans="1:2" x14ac:dyDescent="0.25">
      <c r="A4798" s="388"/>
      <c r="B4798" s="388"/>
    </row>
    <row r="4799" spans="1:2" x14ac:dyDescent="0.25">
      <c r="A4799" s="388"/>
      <c r="B4799" s="388"/>
    </row>
    <row r="4800" spans="1:2" x14ac:dyDescent="0.25">
      <c r="A4800" s="388"/>
      <c r="B4800" s="388"/>
    </row>
    <row r="4801" spans="1:2" x14ac:dyDescent="0.25">
      <c r="A4801" s="388"/>
      <c r="B4801" s="388"/>
    </row>
    <row r="4802" spans="1:2" x14ac:dyDescent="0.25">
      <c r="A4802" s="388"/>
      <c r="B4802" s="388"/>
    </row>
    <row r="4803" spans="1:2" x14ac:dyDescent="0.25">
      <c r="A4803" s="388"/>
      <c r="B4803" s="388"/>
    </row>
    <row r="4804" spans="1:2" x14ac:dyDescent="0.25">
      <c r="A4804" s="388"/>
      <c r="B4804" s="388"/>
    </row>
    <row r="4805" spans="1:2" x14ac:dyDescent="0.25">
      <c r="A4805" s="388"/>
      <c r="B4805" s="388"/>
    </row>
    <row r="4806" spans="1:2" x14ac:dyDescent="0.25">
      <c r="A4806" s="388"/>
      <c r="B4806" s="388"/>
    </row>
    <row r="4807" spans="1:2" x14ac:dyDescent="0.25">
      <c r="A4807" s="388"/>
      <c r="B4807" s="388"/>
    </row>
    <row r="4808" spans="1:2" x14ac:dyDescent="0.25">
      <c r="A4808" s="388"/>
      <c r="B4808" s="388"/>
    </row>
    <row r="4809" spans="1:2" x14ac:dyDescent="0.25">
      <c r="A4809" s="388"/>
      <c r="B4809" s="388"/>
    </row>
    <row r="4810" spans="1:2" x14ac:dyDescent="0.25">
      <c r="A4810" s="388"/>
      <c r="B4810" s="388"/>
    </row>
    <row r="4811" spans="1:2" x14ac:dyDescent="0.25">
      <c r="A4811" s="388"/>
      <c r="B4811" s="388"/>
    </row>
    <row r="4812" spans="1:2" x14ac:dyDescent="0.25">
      <c r="A4812" s="388"/>
      <c r="B4812" s="388"/>
    </row>
    <row r="4813" spans="1:2" x14ac:dyDescent="0.25">
      <c r="A4813" s="388"/>
      <c r="B4813" s="388"/>
    </row>
    <row r="4814" spans="1:2" x14ac:dyDescent="0.25">
      <c r="A4814" s="388"/>
      <c r="B4814" s="388"/>
    </row>
    <row r="4815" spans="1:2" x14ac:dyDescent="0.25">
      <c r="A4815" s="388"/>
      <c r="B4815" s="388"/>
    </row>
    <row r="4816" spans="1:2" x14ac:dyDescent="0.25">
      <c r="A4816" s="388"/>
      <c r="B4816" s="388"/>
    </row>
    <row r="4817" spans="1:2" x14ac:dyDescent="0.25">
      <c r="A4817" s="388"/>
      <c r="B4817" s="388"/>
    </row>
    <row r="4818" spans="1:2" x14ac:dyDescent="0.25">
      <c r="A4818" s="388"/>
      <c r="B4818" s="388"/>
    </row>
    <row r="4819" spans="1:2" x14ac:dyDescent="0.25">
      <c r="A4819" s="388"/>
      <c r="B4819" s="388"/>
    </row>
    <row r="4820" spans="1:2" x14ac:dyDescent="0.25">
      <c r="A4820" s="388"/>
      <c r="B4820" s="388"/>
    </row>
    <row r="4821" spans="1:2" x14ac:dyDescent="0.25">
      <c r="A4821" s="388"/>
      <c r="B4821" s="388"/>
    </row>
    <row r="4822" spans="1:2" x14ac:dyDescent="0.25">
      <c r="A4822" s="388"/>
      <c r="B4822" s="388"/>
    </row>
    <row r="4823" spans="1:2" x14ac:dyDescent="0.25">
      <c r="A4823" s="388"/>
      <c r="B4823" s="388"/>
    </row>
    <row r="4824" spans="1:2" x14ac:dyDescent="0.25">
      <c r="A4824" s="388"/>
      <c r="B4824" s="388"/>
    </row>
    <row r="4825" spans="1:2" x14ac:dyDescent="0.25">
      <c r="A4825" s="388"/>
      <c r="B4825" s="388"/>
    </row>
    <row r="4826" spans="1:2" x14ac:dyDescent="0.25">
      <c r="A4826" s="388"/>
      <c r="B4826" s="388"/>
    </row>
    <row r="4827" spans="1:2" x14ac:dyDescent="0.25">
      <c r="A4827" s="388"/>
      <c r="B4827" s="388"/>
    </row>
    <row r="4828" spans="1:2" x14ac:dyDescent="0.25">
      <c r="A4828" s="388"/>
      <c r="B4828" s="388"/>
    </row>
    <row r="4829" spans="1:2" x14ac:dyDescent="0.25">
      <c r="A4829" s="388"/>
      <c r="B4829" s="388"/>
    </row>
    <row r="4830" spans="1:2" x14ac:dyDescent="0.25">
      <c r="A4830" s="388"/>
      <c r="B4830" s="388"/>
    </row>
    <row r="4831" spans="1:2" x14ac:dyDescent="0.25">
      <c r="A4831" s="388"/>
      <c r="B4831" s="388"/>
    </row>
    <row r="4832" spans="1:2" x14ac:dyDescent="0.25">
      <c r="A4832" s="388"/>
      <c r="B4832" s="388"/>
    </row>
    <row r="4833" spans="1:2" x14ac:dyDescent="0.25">
      <c r="A4833" s="388"/>
      <c r="B4833" s="388"/>
    </row>
    <row r="4834" spans="1:2" x14ac:dyDescent="0.25">
      <c r="A4834" s="388"/>
      <c r="B4834" s="388"/>
    </row>
    <row r="4835" spans="1:2" x14ac:dyDescent="0.25">
      <c r="A4835" s="388"/>
      <c r="B4835" s="388"/>
    </row>
    <row r="4836" spans="1:2" x14ac:dyDescent="0.25">
      <c r="A4836" s="388"/>
      <c r="B4836" s="388"/>
    </row>
    <row r="4837" spans="1:2" x14ac:dyDescent="0.25">
      <c r="A4837" s="388"/>
      <c r="B4837" s="388"/>
    </row>
    <row r="4838" spans="1:2" x14ac:dyDescent="0.25">
      <c r="A4838" s="388"/>
      <c r="B4838" s="388"/>
    </row>
    <row r="4839" spans="1:2" x14ac:dyDescent="0.25">
      <c r="A4839" s="388"/>
      <c r="B4839" s="388"/>
    </row>
    <row r="4840" spans="1:2" x14ac:dyDescent="0.25">
      <c r="A4840" s="388"/>
      <c r="B4840" s="388"/>
    </row>
    <row r="4841" spans="1:2" x14ac:dyDescent="0.25">
      <c r="A4841" s="388"/>
      <c r="B4841" s="388"/>
    </row>
    <row r="4842" spans="1:2" x14ac:dyDescent="0.25">
      <c r="A4842" s="388"/>
      <c r="B4842" s="388"/>
    </row>
    <row r="4843" spans="1:2" x14ac:dyDescent="0.25">
      <c r="A4843" s="388"/>
      <c r="B4843" s="388"/>
    </row>
    <row r="4844" spans="1:2" x14ac:dyDescent="0.25">
      <c r="A4844" s="388"/>
      <c r="B4844" s="388"/>
    </row>
    <row r="4845" spans="1:2" x14ac:dyDescent="0.25">
      <c r="A4845" s="388"/>
      <c r="B4845" s="388"/>
    </row>
    <row r="4846" spans="1:2" x14ac:dyDescent="0.25">
      <c r="A4846" s="388"/>
      <c r="B4846" s="388"/>
    </row>
    <row r="4847" spans="1:2" x14ac:dyDescent="0.25">
      <c r="A4847" s="388"/>
      <c r="B4847" s="388"/>
    </row>
    <row r="4848" spans="1:2" x14ac:dyDescent="0.25">
      <c r="A4848" s="388"/>
      <c r="B4848" s="388"/>
    </row>
    <row r="4849" spans="1:2" x14ac:dyDescent="0.25">
      <c r="A4849" s="388"/>
      <c r="B4849" s="388"/>
    </row>
    <row r="4850" spans="1:2" x14ac:dyDescent="0.25">
      <c r="A4850" s="388"/>
      <c r="B4850" s="388"/>
    </row>
    <row r="4851" spans="1:2" x14ac:dyDescent="0.25">
      <c r="A4851" s="388"/>
      <c r="B4851" s="388"/>
    </row>
    <row r="4852" spans="1:2" x14ac:dyDescent="0.25">
      <c r="A4852" s="388"/>
      <c r="B4852" s="388"/>
    </row>
    <row r="4853" spans="1:2" x14ac:dyDescent="0.25">
      <c r="A4853" s="388"/>
      <c r="B4853" s="388"/>
    </row>
    <row r="4854" spans="1:2" x14ac:dyDescent="0.25">
      <c r="A4854" s="388"/>
      <c r="B4854" s="388"/>
    </row>
    <row r="4855" spans="1:2" x14ac:dyDescent="0.25">
      <c r="A4855" s="388"/>
      <c r="B4855" s="388"/>
    </row>
    <row r="4856" spans="1:2" x14ac:dyDescent="0.25">
      <c r="A4856" s="388"/>
      <c r="B4856" s="388"/>
    </row>
    <row r="4857" spans="1:2" x14ac:dyDescent="0.25">
      <c r="A4857" s="388"/>
      <c r="B4857" s="388"/>
    </row>
    <row r="4858" spans="1:2" x14ac:dyDescent="0.25">
      <c r="A4858" s="388"/>
      <c r="B4858" s="388"/>
    </row>
    <row r="4859" spans="1:2" x14ac:dyDescent="0.25">
      <c r="A4859" s="388"/>
      <c r="B4859" s="388"/>
    </row>
    <row r="4860" spans="1:2" x14ac:dyDescent="0.25">
      <c r="A4860" s="388"/>
      <c r="B4860" s="388"/>
    </row>
    <row r="4861" spans="1:2" x14ac:dyDescent="0.25">
      <c r="A4861" s="388"/>
      <c r="B4861" s="388"/>
    </row>
    <row r="4862" spans="1:2" x14ac:dyDescent="0.25">
      <c r="A4862" s="388"/>
      <c r="B4862" s="388"/>
    </row>
    <row r="4863" spans="1:2" x14ac:dyDescent="0.25">
      <c r="A4863" s="388"/>
      <c r="B4863" s="388"/>
    </row>
    <row r="4864" spans="1:2" x14ac:dyDescent="0.25">
      <c r="A4864" s="388"/>
      <c r="B4864" s="388"/>
    </row>
    <row r="4865" spans="1:2" x14ac:dyDescent="0.25">
      <c r="A4865" s="388"/>
      <c r="B4865" s="388"/>
    </row>
    <row r="4866" spans="1:2" x14ac:dyDescent="0.25">
      <c r="A4866" s="388"/>
      <c r="B4866" s="388"/>
    </row>
    <row r="4867" spans="1:2" x14ac:dyDescent="0.25">
      <c r="A4867" s="388"/>
      <c r="B4867" s="388"/>
    </row>
    <row r="4868" spans="1:2" x14ac:dyDescent="0.25">
      <c r="A4868" s="388"/>
      <c r="B4868" s="388"/>
    </row>
    <row r="4869" spans="1:2" x14ac:dyDescent="0.25">
      <c r="A4869" s="388"/>
      <c r="B4869" s="388"/>
    </row>
    <row r="4870" spans="1:2" x14ac:dyDescent="0.25">
      <c r="A4870" s="388"/>
      <c r="B4870" s="388"/>
    </row>
    <row r="4871" spans="1:2" x14ac:dyDescent="0.25">
      <c r="A4871" s="388"/>
      <c r="B4871" s="388"/>
    </row>
    <row r="4872" spans="1:2" x14ac:dyDescent="0.25">
      <c r="A4872" s="388"/>
      <c r="B4872" s="388"/>
    </row>
    <row r="4873" spans="1:2" x14ac:dyDescent="0.25">
      <c r="A4873" s="388"/>
      <c r="B4873" s="388"/>
    </row>
    <row r="4874" spans="1:2" x14ac:dyDescent="0.25">
      <c r="A4874" s="388"/>
      <c r="B4874" s="388"/>
    </row>
    <row r="4875" spans="1:2" x14ac:dyDescent="0.25">
      <c r="A4875" s="388"/>
      <c r="B4875" s="388"/>
    </row>
    <row r="4876" spans="1:2" x14ac:dyDescent="0.25">
      <c r="A4876" s="388"/>
      <c r="B4876" s="388"/>
    </row>
    <row r="4877" spans="1:2" x14ac:dyDescent="0.25">
      <c r="A4877" s="388"/>
      <c r="B4877" s="388"/>
    </row>
    <row r="4878" spans="1:2" x14ac:dyDescent="0.25">
      <c r="A4878" s="388"/>
      <c r="B4878" s="388"/>
    </row>
    <row r="4879" spans="1:2" x14ac:dyDescent="0.25">
      <c r="A4879" s="388"/>
      <c r="B4879" s="388"/>
    </row>
    <row r="4880" spans="1:2" x14ac:dyDescent="0.25">
      <c r="A4880" s="388"/>
      <c r="B4880" s="388"/>
    </row>
    <row r="4881" spans="1:2" x14ac:dyDescent="0.25">
      <c r="A4881" s="388"/>
      <c r="B4881" s="388"/>
    </row>
    <row r="4882" spans="1:2" x14ac:dyDescent="0.25">
      <c r="A4882" s="388"/>
      <c r="B4882" s="388"/>
    </row>
    <row r="4883" spans="1:2" x14ac:dyDescent="0.25">
      <c r="A4883" s="388"/>
      <c r="B4883" s="388"/>
    </row>
    <row r="4884" spans="1:2" x14ac:dyDescent="0.25">
      <c r="A4884" s="388"/>
      <c r="B4884" s="388"/>
    </row>
    <row r="4885" spans="1:2" x14ac:dyDescent="0.25">
      <c r="A4885" s="388"/>
      <c r="B4885" s="388"/>
    </row>
    <row r="4886" spans="1:2" x14ac:dyDescent="0.25">
      <c r="A4886" s="388"/>
      <c r="B4886" s="388"/>
    </row>
    <row r="4887" spans="1:2" x14ac:dyDescent="0.25">
      <c r="A4887" s="388"/>
      <c r="B4887" s="388"/>
    </row>
    <row r="4888" spans="1:2" x14ac:dyDescent="0.25">
      <c r="A4888" s="388"/>
      <c r="B4888" s="388"/>
    </row>
    <row r="4889" spans="1:2" x14ac:dyDescent="0.25">
      <c r="A4889" s="388"/>
      <c r="B4889" s="388"/>
    </row>
    <row r="4890" spans="1:2" x14ac:dyDescent="0.25">
      <c r="A4890" s="388"/>
      <c r="B4890" s="388"/>
    </row>
    <row r="4891" spans="1:2" x14ac:dyDescent="0.25">
      <c r="A4891" s="388"/>
      <c r="B4891" s="388"/>
    </row>
    <row r="4892" spans="1:2" x14ac:dyDescent="0.25">
      <c r="A4892" s="388"/>
      <c r="B4892" s="388"/>
    </row>
    <row r="4893" spans="1:2" x14ac:dyDescent="0.25">
      <c r="A4893" s="388"/>
      <c r="B4893" s="388"/>
    </row>
    <row r="4894" spans="1:2" x14ac:dyDescent="0.25">
      <c r="A4894" s="388"/>
      <c r="B4894" s="388"/>
    </row>
    <row r="4895" spans="1:2" x14ac:dyDescent="0.25">
      <c r="A4895" s="388"/>
      <c r="B4895" s="388"/>
    </row>
    <row r="4896" spans="1:2" x14ac:dyDescent="0.25">
      <c r="A4896" s="388"/>
      <c r="B4896" s="388"/>
    </row>
    <row r="4897" spans="1:2" x14ac:dyDescent="0.25">
      <c r="A4897" s="388"/>
      <c r="B4897" s="388"/>
    </row>
    <row r="4898" spans="1:2" x14ac:dyDescent="0.25">
      <c r="A4898" s="388"/>
      <c r="B4898" s="388"/>
    </row>
    <row r="4899" spans="1:2" x14ac:dyDescent="0.25">
      <c r="A4899" s="388"/>
      <c r="B4899" s="388"/>
    </row>
    <row r="4900" spans="1:2" x14ac:dyDescent="0.25">
      <c r="A4900" s="388"/>
      <c r="B4900" s="388"/>
    </row>
    <row r="4901" spans="1:2" x14ac:dyDescent="0.25">
      <c r="A4901" s="388"/>
      <c r="B4901" s="388"/>
    </row>
    <row r="4902" spans="1:2" x14ac:dyDescent="0.25">
      <c r="A4902" s="388"/>
      <c r="B4902" s="388"/>
    </row>
    <row r="4903" spans="1:2" x14ac:dyDescent="0.25">
      <c r="A4903" s="388"/>
      <c r="B4903" s="388"/>
    </row>
    <row r="4904" spans="1:2" x14ac:dyDescent="0.25">
      <c r="A4904" s="388"/>
      <c r="B4904" s="388"/>
    </row>
    <row r="4905" spans="1:2" x14ac:dyDescent="0.25">
      <c r="A4905" s="388"/>
      <c r="B4905" s="388"/>
    </row>
    <row r="4906" spans="1:2" x14ac:dyDescent="0.25">
      <c r="A4906" s="388"/>
      <c r="B4906" s="388"/>
    </row>
    <row r="4907" spans="1:2" x14ac:dyDescent="0.25">
      <c r="A4907" s="388"/>
      <c r="B4907" s="388"/>
    </row>
    <row r="4908" spans="1:2" x14ac:dyDescent="0.25">
      <c r="A4908" s="388"/>
      <c r="B4908" s="388"/>
    </row>
    <row r="4909" spans="1:2" x14ac:dyDescent="0.25">
      <c r="A4909" s="388"/>
      <c r="B4909" s="388"/>
    </row>
    <row r="4910" spans="1:2" x14ac:dyDescent="0.25">
      <c r="A4910" s="388"/>
      <c r="B4910" s="388"/>
    </row>
    <row r="4911" spans="1:2" x14ac:dyDescent="0.25">
      <c r="A4911" s="388"/>
      <c r="B4911" s="388"/>
    </row>
    <row r="4912" spans="1:2" x14ac:dyDescent="0.25">
      <c r="A4912" s="388"/>
      <c r="B4912" s="388"/>
    </row>
    <row r="4913" spans="1:2" x14ac:dyDescent="0.25">
      <c r="A4913" s="388"/>
      <c r="B4913" s="388"/>
    </row>
    <row r="4914" spans="1:2" x14ac:dyDescent="0.25">
      <c r="A4914" s="388"/>
      <c r="B4914" s="388"/>
    </row>
    <row r="4915" spans="1:2" x14ac:dyDescent="0.25">
      <c r="A4915" s="388"/>
      <c r="B4915" s="388"/>
    </row>
    <row r="4916" spans="1:2" x14ac:dyDescent="0.25">
      <c r="A4916" s="388"/>
      <c r="B4916" s="388"/>
    </row>
    <row r="4917" spans="1:2" x14ac:dyDescent="0.25">
      <c r="A4917" s="388"/>
      <c r="B4917" s="388"/>
    </row>
    <row r="4918" spans="1:2" x14ac:dyDescent="0.25">
      <c r="A4918" s="388"/>
      <c r="B4918" s="388"/>
    </row>
    <row r="4919" spans="1:2" x14ac:dyDescent="0.25">
      <c r="A4919" s="388"/>
      <c r="B4919" s="388"/>
    </row>
    <row r="4920" spans="1:2" x14ac:dyDescent="0.25">
      <c r="A4920" s="388"/>
      <c r="B4920" s="388"/>
    </row>
    <row r="4921" spans="1:2" x14ac:dyDescent="0.25">
      <c r="A4921" s="388"/>
      <c r="B4921" s="388"/>
    </row>
    <row r="4922" spans="1:2" x14ac:dyDescent="0.25">
      <c r="A4922" s="388"/>
      <c r="B4922" s="388"/>
    </row>
    <row r="4923" spans="1:2" x14ac:dyDescent="0.25">
      <c r="A4923" s="388"/>
      <c r="B4923" s="388"/>
    </row>
    <row r="4924" spans="1:2" x14ac:dyDescent="0.25">
      <c r="A4924" s="388"/>
      <c r="B4924" s="388"/>
    </row>
    <row r="4925" spans="1:2" x14ac:dyDescent="0.25">
      <c r="A4925" s="388"/>
      <c r="B4925" s="388"/>
    </row>
    <row r="4926" spans="1:2" x14ac:dyDescent="0.25">
      <c r="A4926" s="388"/>
      <c r="B4926" s="388"/>
    </row>
    <row r="4927" spans="1:2" x14ac:dyDescent="0.25">
      <c r="A4927" s="388"/>
      <c r="B4927" s="388"/>
    </row>
    <row r="4928" spans="1:2" x14ac:dyDescent="0.25">
      <c r="A4928" s="388"/>
      <c r="B4928" s="388"/>
    </row>
    <row r="4929" spans="1:2" x14ac:dyDescent="0.25">
      <c r="A4929" s="388"/>
      <c r="B4929" s="388"/>
    </row>
    <row r="4930" spans="1:2" x14ac:dyDescent="0.25">
      <c r="A4930" s="388"/>
      <c r="B4930" s="388"/>
    </row>
    <row r="4931" spans="1:2" x14ac:dyDescent="0.25">
      <c r="A4931" s="388"/>
      <c r="B4931" s="388"/>
    </row>
    <row r="4932" spans="1:2" x14ac:dyDescent="0.25">
      <c r="A4932" s="388"/>
      <c r="B4932" s="388"/>
    </row>
    <row r="4933" spans="1:2" x14ac:dyDescent="0.25">
      <c r="A4933" s="388"/>
      <c r="B4933" s="388"/>
    </row>
    <row r="4934" spans="1:2" x14ac:dyDescent="0.25">
      <c r="A4934" s="388"/>
      <c r="B4934" s="388"/>
    </row>
    <row r="4935" spans="1:2" x14ac:dyDescent="0.25">
      <c r="A4935" s="388"/>
      <c r="B4935" s="388"/>
    </row>
    <row r="4936" spans="1:2" x14ac:dyDescent="0.25">
      <c r="A4936" s="388"/>
      <c r="B4936" s="388"/>
    </row>
    <row r="4937" spans="1:2" x14ac:dyDescent="0.25">
      <c r="A4937" s="388"/>
      <c r="B4937" s="388"/>
    </row>
    <row r="4938" spans="1:2" x14ac:dyDescent="0.25">
      <c r="A4938" s="388"/>
      <c r="B4938" s="388"/>
    </row>
    <row r="4939" spans="1:2" x14ac:dyDescent="0.25">
      <c r="A4939" s="388"/>
      <c r="B4939" s="388"/>
    </row>
    <row r="4940" spans="1:2" x14ac:dyDescent="0.25">
      <c r="A4940" s="388"/>
      <c r="B4940" s="388"/>
    </row>
    <row r="4941" spans="1:2" x14ac:dyDescent="0.25">
      <c r="A4941" s="388"/>
      <c r="B4941" s="388"/>
    </row>
    <row r="4942" spans="1:2" x14ac:dyDescent="0.25">
      <c r="A4942" s="388"/>
      <c r="B4942" s="388"/>
    </row>
    <row r="4943" spans="1:2" x14ac:dyDescent="0.25">
      <c r="A4943" s="388"/>
      <c r="B4943" s="388"/>
    </row>
    <row r="4944" spans="1:2" x14ac:dyDescent="0.25">
      <c r="A4944" s="388"/>
      <c r="B4944" s="388"/>
    </row>
    <row r="4945" spans="1:2" x14ac:dyDescent="0.25">
      <c r="A4945" s="388"/>
      <c r="B4945" s="388"/>
    </row>
    <row r="4946" spans="1:2" x14ac:dyDescent="0.25">
      <c r="A4946" s="388"/>
      <c r="B4946" s="388"/>
    </row>
    <row r="4947" spans="1:2" x14ac:dyDescent="0.25">
      <c r="A4947" s="388"/>
      <c r="B4947" s="388"/>
    </row>
    <row r="4948" spans="1:2" x14ac:dyDescent="0.25">
      <c r="A4948" s="388"/>
      <c r="B4948" s="388"/>
    </row>
    <row r="4949" spans="1:2" x14ac:dyDescent="0.25">
      <c r="A4949" s="388"/>
      <c r="B4949" s="388"/>
    </row>
  </sheetData>
  <mergeCells count="30">
    <mergeCell ref="AA1:AL1"/>
    <mergeCell ref="AA2:AL2"/>
    <mergeCell ref="AA3:AL3"/>
    <mergeCell ref="C1:N1"/>
    <mergeCell ref="C2:N2"/>
    <mergeCell ref="C3:N3"/>
    <mergeCell ref="O1:Z1"/>
    <mergeCell ref="O2:Z2"/>
    <mergeCell ref="O3:Z3"/>
    <mergeCell ref="W8:Z8"/>
    <mergeCell ref="AE6:AH6"/>
    <mergeCell ref="AI6:AL6"/>
    <mergeCell ref="AE8:AH8"/>
    <mergeCell ref="AI8:AL8"/>
    <mergeCell ref="AA5:AL5"/>
    <mergeCell ref="C8:F8"/>
    <mergeCell ref="O8:R8"/>
    <mergeCell ref="AA8:AD8"/>
    <mergeCell ref="C6:F6"/>
    <mergeCell ref="O6:R6"/>
    <mergeCell ref="AA6:AD6"/>
    <mergeCell ref="C5:N5"/>
    <mergeCell ref="G6:J6"/>
    <mergeCell ref="K6:N6"/>
    <mergeCell ref="G8:J8"/>
    <mergeCell ref="K8:N8"/>
    <mergeCell ref="S6:V6"/>
    <mergeCell ref="W6:Z6"/>
    <mergeCell ref="O5:Z5"/>
    <mergeCell ref="S8:V8"/>
  </mergeCells>
  <phoneticPr fontId="40" type="noConversion"/>
  <pageMargins left="0.39370078740157483" right="0.39370078740157483" top="0.78740157480314965" bottom="0.78740157480314965" header="0.62992125984251968" footer="0.39370078740157483"/>
  <pageSetup paperSize="9" scale="60" orientation="landscape" r:id="rId1"/>
  <headerFooter alignWithMargins="0">
    <oddHeader>&amp;C&amp;"Times New Roman CE,Félkövér"
&amp;R&amp;"Times New Roman CE,Félkövér"&amp;11 1. melléklet a 6/2020.(II.24.) önkormányzati rendelethez&amp;"Times New Roman CE,Dőlt"&amp;10
 1. melléklet
az 5/2019.(II.15.) önkormányzati rendelethez</oddHeader>
  </headerFooter>
  <rowBreaks count="1" manualBreakCount="1">
    <brk id="50" max="37" man="1"/>
  </rowBreaks>
  <colBreaks count="2" manualBreakCount="2">
    <brk id="14" max="65" man="1"/>
    <brk id="26" max="6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  <pageSetUpPr fitToPage="1"/>
  </sheetPr>
  <dimension ref="A1:L286"/>
  <sheetViews>
    <sheetView tabSelected="1" view="pageBreakPreview" zoomScale="90" zoomScaleNormal="80" zoomScaleSheetLayoutView="90" workbookViewId="0">
      <pane ySplit="3" topLeftCell="A130" activePane="bottomLeft" state="frozen"/>
      <selection activeCell="B64" sqref="B64"/>
      <selection pane="bottomLeft" activeCell="D133" sqref="D133"/>
    </sheetView>
  </sheetViews>
  <sheetFormatPr defaultRowHeight="15.75" x14ac:dyDescent="0.25"/>
  <cols>
    <col min="1" max="1" width="4.875" style="880" bestFit="1" customWidth="1"/>
    <col min="2" max="2" width="65.75" style="880" customWidth="1"/>
    <col min="3" max="3" width="15.25" style="248" customWidth="1"/>
    <col min="4" max="5" width="13.25" style="248" customWidth="1"/>
    <col min="6" max="6" width="15.25" style="248" customWidth="1"/>
    <col min="7" max="8" width="13.25" style="248" customWidth="1"/>
    <col min="9" max="11" width="9.625" style="497" customWidth="1"/>
    <col min="12" max="218" width="9" style="880"/>
    <col min="219" max="219" width="4.875" style="880" bestFit="1" customWidth="1"/>
    <col min="220" max="220" width="65.75" style="880" customWidth="1"/>
    <col min="221" max="222" width="13.25" style="880" customWidth="1"/>
    <col min="223" max="223" width="17.125" style="880" customWidth="1"/>
    <col min="224" max="226" width="0" style="880" hidden="1" customWidth="1"/>
    <col min="227" max="474" width="9" style="880"/>
    <col min="475" max="475" width="4.875" style="880" bestFit="1" customWidth="1"/>
    <col min="476" max="476" width="65.75" style="880" customWidth="1"/>
    <col min="477" max="478" width="13.25" style="880" customWidth="1"/>
    <col min="479" max="479" width="17.125" style="880" customWidth="1"/>
    <col min="480" max="482" width="0" style="880" hidden="1" customWidth="1"/>
    <col min="483" max="730" width="9" style="880"/>
    <col min="731" max="731" width="4.875" style="880" bestFit="1" customWidth="1"/>
    <col min="732" max="732" width="65.75" style="880" customWidth="1"/>
    <col min="733" max="734" width="13.25" style="880" customWidth="1"/>
    <col min="735" max="735" width="17.125" style="880" customWidth="1"/>
    <col min="736" max="738" width="0" style="880" hidden="1" customWidth="1"/>
    <col min="739" max="986" width="9" style="880"/>
    <col min="987" max="987" width="4.875" style="880" bestFit="1" customWidth="1"/>
    <col min="988" max="988" width="65.75" style="880" customWidth="1"/>
    <col min="989" max="990" width="13.25" style="880" customWidth="1"/>
    <col min="991" max="991" width="17.125" style="880" customWidth="1"/>
    <col min="992" max="994" width="0" style="880" hidden="1" customWidth="1"/>
    <col min="995" max="1242" width="9" style="880"/>
    <col min="1243" max="1243" width="4.875" style="880" bestFit="1" customWidth="1"/>
    <col min="1244" max="1244" width="65.75" style="880" customWidth="1"/>
    <col min="1245" max="1246" width="13.25" style="880" customWidth="1"/>
    <col min="1247" max="1247" width="17.125" style="880" customWidth="1"/>
    <col min="1248" max="1250" width="0" style="880" hidden="1" customWidth="1"/>
    <col min="1251" max="1498" width="9" style="880"/>
    <col min="1499" max="1499" width="4.875" style="880" bestFit="1" customWidth="1"/>
    <col min="1500" max="1500" width="65.75" style="880" customWidth="1"/>
    <col min="1501" max="1502" width="13.25" style="880" customWidth="1"/>
    <col min="1503" max="1503" width="17.125" style="880" customWidth="1"/>
    <col min="1504" max="1506" width="0" style="880" hidden="1" customWidth="1"/>
    <col min="1507" max="1754" width="9" style="880"/>
    <col min="1755" max="1755" width="4.875" style="880" bestFit="1" customWidth="1"/>
    <col min="1756" max="1756" width="65.75" style="880" customWidth="1"/>
    <col min="1757" max="1758" width="13.25" style="880" customWidth="1"/>
    <col min="1759" max="1759" width="17.125" style="880" customWidth="1"/>
    <col min="1760" max="1762" width="0" style="880" hidden="1" customWidth="1"/>
    <col min="1763" max="2010" width="9" style="880"/>
    <col min="2011" max="2011" width="4.875" style="880" bestFit="1" customWidth="1"/>
    <col min="2012" max="2012" width="65.75" style="880" customWidth="1"/>
    <col min="2013" max="2014" width="13.25" style="880" customWidth="1"/>
    <col min="2015" max="2015" width="17.125" style="880" customWidth="1"/>
    <col min="2016" max="2018" width="0" style="880" hidden="1" customWidth="1"/>
    <col min="2019" max="2266" width="9" style="880"/>
    <col min="2267" max="2267" width="4.875" style="880" bestFit="1" customWidth="1"/>
    <col min="2268" max="2268" width="65.75" style="880" customWidth="1"/>
    <col min="2269" max="2270" width="13.25" style="880" customWidth="1"/>
    <col min="2271" max="2271" width="17.125" style="880" customWidth="1"/>
    <col min="2272" max="2274" width="0" style="880" hidden="1" customWidth="1"/>
    <col min="2275" max="2522" width="9" style="880"/>
    <col min="2523" max="2523" width="4.875" style="880" bestFit="1" customWidth="1"/>
    <col min="2524" max="2524" width="65.75" style="880" customWidth="1"/>
    <col min="2525" max="2526" width="13.25" style="880" customWidth="1"/>
    <col min="2527" max="2527" width="17.125" style="880" customWidth="1"/>
    <col min="2528" max="2530" width="0" style="880" hidden="1" customWidth="1"/>
    <col min="2531" max="2778" width="9" style="880"/>
    <col min="2779" max="2779" width="4.875" style="880" bestFit="1" customWidth="1"/>
    <col min="2780" max="2780" width="65.75" style="880" customWidth="1"/>
    <col min="2781" max="2782" width="13.25" style="880" customWidth="1"/>
    <col min="2783" max="2783" width="17.125" style="880" customWidth="1"/>
    <col min="2784" max="2786" width="0" style="880" hidden="1" customWidth="1"/>
    <col min="2787" max="3034" width="9" style="880"/>
    <col min="3035" max="3035" width="4.875" style="880" bestFit="1" customWidth="1"/>
    <col min="3036" max="3036" width="65.75" style="880" customWidth="1"/>
    <col min="3037" max="3038" width="13.25" style="880" customWidth="1"/>
    <col min="3039" max="3039" width="17.125" style="880" customWidth="1"/>
    <col min="3040" max="3042" width="0" style="880" hidden="1" customWidth="1"/>
    <col min="3043" max="3290" width="9" style="880"/>
    <col min="3291" max="3291" width="4.875" style="880" bestFit="1" customWidth="1"/>
    <col min="3292" max="3292" width="65.75" style="880" customWidth="1"/>
    <col min="3293" max="3294" width="13.25" style="880" customWidth="1"/>
    <col min="3295" max="3295" width="17.125" style="880" customWidth="1"/>
    <col min="3296" max="3298" width="0" style="880" hidden="1" customWidth="1"/>
    <col min="3299" max="3546" width="9" style="880"/>
    <col min="3547" max="3547" width="4.875" style="880" bestFit="1" customWidth="1"/>
    <col min="3548" max="3548" width="65.75" style="880" customWidth="1"/>
    <col min="3549" max="3550" width="13.25" style="880" customWidth="1"/>
    <col min="3551" max="3551" width="17.125" style="880" customWidth="1"/>
    <col min="3552" max="3554" width="0" style="880" hidden="1" customWidth="1"/>
    <col min="3555" max="3802" width="9" style="880"/>
    <col min="3803" max="3803" width="4.875" style="880" bestFit="1" customWidth="1"/>
    <col min="3804" max="3804" width="65.75" style="880" customWidth="1"/>
    <col min="3805" max="3806" width="13.25" style="880" customWidth="1"/>
    <col min="3807" max="3807" width="17.125" style="880" customWidth="1"/>
    <col min="3808" max="3810" width="0" style="880" hidden="1" customWidth="1"/>
    <col min="3811" max="4058" width="9" style="880"/>
    <col min="4059" max="4059" width="4.875" style="880" bestFit="1" customWidth="1"/>
    <col min="4060" max="4060" width="65.75" style="880" customWidth="1"/>
    <col min="4061" max="4062" width="13.25" style="880" customWidth="1"/>
    <col min="4063" max="4063" width="17.125" style="880" customWidth="1"/>
    <col min="4064" max="4066" width="0" style="880" hidden="1" customWidth="1"/>
    <col min="4067" max="4314" width="9" style="880"/>
    <col min="4315" max="4315" width="4.875" style="880" bestFit="1" customWidth="1"/>
    <col min="4316" max="4316" width="65.75" style="880" customWidth="1"/>
    <col min="4317" max="4318" width="13.25" style="880" customWidth="1"/>
    <col min="4319" max="4319" width="17.125" style="880" customWidth="1"/>
    <col min="4320" max="4322" width="0" style="880" hidden="1" customWidth="1"/>
    <col min="4323" max="4570" width="9" style="880"/>
    <col min="4571" max="4571" width="4.875" style="880" bestFit="1" customWidth="1"/>
    <col min="4572" max="4572" width="65.75" style="880" customWidth="1"/>
    <col min="4573" max="4574" width="13.25" style="880" customWidth="1"/>
    <col min="4575" max="4575" width="17.125" style="880" customWidth="1"/>
    <col min="4576" max="4578" width="0" style="880" hidden="1" customWidth="1"/>
    <col min="4579" max="4826" width="9" style="880"/>
    <col min="4827" max="4827" width="4.875" style="880" bestFit="1" customWidth="1"/>
    <col min="4828" max="4828" width="65.75" style="880" customWidth="1"/>
    <col min="4829" max="4830" width="13.25" style="880" customWidth="1"/>
    <col min="4831" max="4831" width="17.125" style="880" customWidth="1"/>
    <col min="4832" max="4834" width="0" style="880" hidden="1" customWidth="1"/>
    <col min="4835" max="5082" width="9" style="880"/>
    <col min="5083" max="5083" width="4.875" style="880" bestFit="1" customWidth="1"/>
    <col min="5084" max="5084" width="65.75" style="880" customWidth="1"/>
    <col min="5085" max="5086" width="13.25" style="880" customWidth="1"/>
    <col min="5087" max="5087" width="17.125" style="880" customWidth="1"/>
    <col min="5088" max="5090" width="0" style="880" hidden="1" customWidth="1"/>
    <col min="5091" max="5338" width="9" style="880"/>
    <col min="5339" max="5339" width="4.875" style="880" bestFit="1" customWidth="1"/>
    <col min="5340" max="5340" width="65.75" style="880" customWidth="1"/>
    <col min="5341" max="5342" width="13.25" style="880" customWidth="1"/>
    <col min="5343" max="5343" width="17.125" style="880" customWidth="1"/>
    <col min="5344" max="5346" width="0" style="880" hidden="1" customWidth="1"/>
    <col min="5347" max="5594" width="9" style="880"/>
    <col min="5595" max="5595" width="4.875" style="880" bestFit="1" customWidth="1"/>
    <col min="5596" max="5596" width="65.75" style="880" customWidth="1"/>
    <col min="5597" max="5598" width="13.25" style="880" customWidth="1"/>
    <col min="5599" max="5599" width="17.125" style="880" customWidth="1"/>
    <col min="5600" max="5602" width="0" style="880" hidden="1" customWidth="1"/>
    <col min="5603" max="5850" width="9" style="880"/>
    <col min="5851" max="5851" width="4.875" style="880" bestFit="1" customWidth="1"/>
    <col min="5852" max="5852" width="65.75" style="880" customWidth="1"/>
    <col min="5853" max="5854" width="13.25" style="880" customWidth="1"/>
    <col min="5855" max="5855" width="17.125" style="880" customWidth="1"/>
    <col min="5856" max="5858" width="0" style="880" hidden="1" customWidth="1"/>
    <col min="5859" max="6106" width="9" style="880"/>
    <col min="6107" max="6107" width="4.875" style="880" bestFit="1" customWidth="1"/>
    <col min="6108" max="6108" width="65.75" style="880" customWidth="1"/>
    <col min="6109" max="6110" width="13.25" style="880" customWidth="1"/>
    <col min="6111" max="6111" width="17.125" style="880" customWidth="1"/>
    <col min="6112" max="6114" width="0" style="880" hidden="1" customWidth="1"/>
    <col min="6115" max="6362" width="9" style="880"/>
    <col min="6363" max="6363" width="4.875" style="880" bestFit="1" customWidth="1"/>
    <col min="6364" max="6364" width="65.75" style="880" customWidth="1"/>
    <col min="6365" max="6366" width="13.25" style="880" customWidth="1"/>
    <col min="6367" max="6367" width="17.125" style="880" customWidth="1"/>
    <col min="6368" max="6370" width="0" style="880" hidden="1" customWidth="1"/>
    <col min="6371" max="6618" width="9" style="880"/>
    <col min="6619" max="6619" width="4.875" style="880" bestFit="1" customWidth="1"/>
    <col min="6620" max="6620" width="65.75" style="880" customWidth="1"/>
    <col min="6621" max="6622" width="13.25" style="880" customWidth="1"/>
    <col min="6623" max="6623" width="17.125" style="880" customWidth="1"/>
    <col min="6624" max="6626" width="0" style="880" hidden="1" customWidth="1"/>
    <col min="6627" max="6874" width="9" style="880"/>
    <col min="6875" max="6875" width="4.875" style="880" bestFit="1" customWidth="1"/>
    <col min="6876" max="6876" width="65.75" style="880" customWidth="1"/>
    <col min="6877" max="6878" width="13.25" style="880" customWidth="1"/>
    <col min="6879" max="6879" width="17.125" style="880" customWidth="1"/>
    <col min="6880" max="6882" width="0" style="880" hidden="1" customWidth="1"/>
    <col min="6883" max="7130" width="9" style="880"/>
    <col min="7131" max="7131" width="4.875" style="880" bestFit="1" customWidth="1"/>
    <col min="7132" max="7132" width="65.75" style="880" customWidth="1"/>
    <col min="7133" max="7134" width="13.25" style="880" customWidth="1"/>
    <col min="7135" max="7135" width="17.125" style="880" customWidth="1"/>
    <col min="7136" max="7138" width="0" style="880" hidden="1" customWidth="1"/>
    <col min="7139" max="7386" width="9" style="880"/>
    <col min="7387" max="7387" width="4.875" style="880" bestFit="1" customWidth="1"/>
    <col min="7388" max="7388" width="65.75" style="880" customWidth="1"/>
    <col min="7389" max="7390" width="13.25" style="880" customWidth="1"/>
    <col min="7391" max="7391" width="17.125" style="880" customWidth="1"/>
    <col min="7392" max="7394" width="0" style="880" hidden="1" customWidth="1"/>
    <col min="7395" max="7642" width="9" style="880"/>
    <col min="7643" max="7643" width="4.875" style="880" bestFit="1" customWidth="1"/>
    <col min="7644" max="7644" width="65.75" style="880" customWidth="1"/>
    <col min="7645" max="7646" width="13.25" style="880" customWidth="1"/>
    <col min="7647" max="7647" width="17.125" style="880" customWidth="1"/>
    <col min="7648" max="7650" width="0" style="880" hidden="1" customWidth="1"/>
    <col min="7651" max="7898" width="9" style="880"/>
    <col min="7899" max="7899" width="4.875" style="880" bestFit="1" customWidth="1"/>
    <col min="7900" max="7900" width="65.75" style="880" customWidth="1"/>
    <col min="7901" max="7902" width="13.25" style="880" customWidth="1"/>
    <col min="7903" max="7903" width="17.125" style="880" customWidth="1"/>
    <col min="7904" max="7906" width="0" style="880" hidden="1" customWidth="1"/>
    <col min="7907" max="8154" width="9" style="880"/>
    <col min="8155" max="8155" width="4.875" style="880" bestFit="1" customWidth="1"/>
    <col min="8156" max="8156" width="65.75" style="880" customWidth="1"/>
    <col min="8157" max="8158" width="13.25" style="880" customWidth="1"/>
    <col min="8159" max="8159" width="17.125" style="880" customWidth="1"/>
    <col min="8160" max="8162" width="0" style="880" hidden="1" customWidth="1"/>
    <col min="8163" max="8410" width="9" style="880"/>
    <col min="8411" max="8411" width="4.875" style="880" bestFit="1" customWidth="1"/>
    <col min="8412" max="8412" width="65.75" style="880" customWidth="1"/>
    <col min="8413" max="8414" width="13.25" style="880" customWidth="1"/>
    <col min="8415" max="8415" width="17.125" style="880" customWidth="1"/>
    <col min="8416" max="8418" width="0" style="880" hidden="1" customWidth="1"/>
    <col min="8419" max="8666" width="9" style="880"/>
    <col min="8667" max="8667" width="4.875" style="880" bestFit="1" customWidth="1"/>
    <col min="8668" max="8668" width="65.75" style="880" customWidth="1"/>
    <col min="8669" max="8670" width="13.25" style="880" customWidth="1"/>
    <col min="8671" max="8671" width="17.125" style="880" customWidth="1"/>
    <col min="8672" max="8674" width="0" style="880" hidden="1" customWidth="1"/>
    <col min="8675" max="8922" width="9" style="880"/>
    <col min="8923" max="8923" width="4.875" style="880" bestFit="1" customWidth="1"/>
    <col min="8924" max="8924" width="65.75" style="880" customWidth="1"/>
    <col min="8925" max="8926" width="13.25" style="880" customWidth="1"/>
    <col min="8927" max="8927" width="17.125" style="880" customWidth="1"/>
    <col min="8928" max="8930" width="0" style="880" hidden="1" customWidth="1"/>
    <col min="8931" max="9178" width="9" style="880"/>
    <col min="9179" max="9179" width="4.875" style="880" bestFit="1" customWidth="1"/>
    <col min="9180" max="9180" width="65.75" style="880" customWidth="1"/>
    <col min="9181" max="9182" width="13.25" style="880" customWidth="1"/>
    <col min="9183" max="9183" width="17.125" style="880" customWidth="1"/>
    <col min="9184" max="9186" width="0" style="880" hidden="1" customWidth="1"/>
    <col min="9187" max="9434" width="9" style="880"/>
    <col min="9435" max="9435" width="4.875" style="880" bestFit="1" customWidth="1"/>
    <col min="9436" max="9436" width="65.75" style="880" customWidth="1"/>
    <col min="9437" max="9438" width="13.25" style="880" customWidth="1"/>
    <col min="9439" max="9439" width="17.125" style="880" customWidth="1"/>
    <col min="9440" max="9442" width="0" style="880" hidden="1" customWidth="1"/>
    <col min="9443" max="9690" width="9" style="880"/>
    <col min="9691" max="9691" width="4.875" style="880" bestFit="1" customWidth="1"/>
    <col min="9692" max="9692" width="65.75" style="880" customWidth="1"/>
    <col min="9693" max="9694" width="13.25" style="880" customWidth="1"/>
    <col min="9695" max="9695" width="17.125" style="880" customWidth="1"/>
    <col min="9696" max="9698" width="0" style="880" hidden="1" customWidth="1"/>
    <col min="9699" max="9946" width="9" style="880"/>
    <col min="9947" max="9947" width="4.875" style="880" bestFit="1" customWidth="1"/>
    <col min="9948" max="9948" width="65.75" style="880" customWidth="1"/>
    <col min="9949" max="9950" width="13.25" style="880" customWidth="1"/>
    <col min="9951" max="9951" width="17.125" style="880" customWidth="1"/>
    <col min="9952" max="9954" width="0" style="880" hidden="1" customWidth="1"/>
    <col min="9955" max="10202" width="9" style="880"/>
    <col min="10203" max="10203" width="4.875" style="880" bestFit="1" customWidth="1"/>
    <col min="10204" max="10204" width="65.75" style="880" customWidth="1"/>
    <col min="10205" max="10206" width="13.25" style="880" customWidth="1"/>
    <col min="10207" max="10207" width="17.125" style="880" customWidth="1"/>
    <col min="10208" max="10210" width="0" style="880" hidden="1" customWidth="1"/>
    <col min="10211" max="10458" width="9" style="880"/>
    <col min="10459" max="10459" width="4.875" style="880" bestFit="1" customWidth="1"/>
    <col min="10460" max="10460" width="65.75" style="880" customWidth="1"/>
    <col min="10461" max="10462" width="13.25" style="880" customWidth="1"/>
    <col min="10463" max="10463" width="17.125" style="880" customWidth="1"/>
    <col min="10464" max="10466" width="0" style="880" hidden="1" customWidth="1"/>
    <col min="10467" max="10714" width="9" style="880"/>
    <col min="10715" max="10715" width="4.875" style="880" bestFit="1" customWidth="1"/>
    <col min="10716" max="10716" width="65.75" style="880" customWidth="1"/>
    <col min="10717" max="10718" width="13.25" style="880" customWidth="1"/>
    <col min="10719" max="10719" width="17.125" style="880" customWidth="1"/>
    <col min="10720" max="10722" width="0" style="880" hidden="1" customWidth="1"/>
    <col min="10723" max="10970" width="9" style="880"/>
    <col min="10971" max="10971" width="4.875" style="880" bestFit="1" customWidth="1"/>
    <col min="10972" max="10972" width="65.75" style="880" customWidth="1"/>
    <col min="10973" max="10974" width="13.25" style="880" customWidth="1"/>
    <col min="10975" max="10975" width="17.125" style="880" customWidth="1"/>
    <col min="10976" max="10978" width="0" style="880" hidden="1" customWidth="1"/>
    <col min="10979" max="11226" width="9" style="880"/>
    <col min="11227" max="11227" width="4.875" style="880" bestFit="1" customWidth="1"/>
    <col min="11228" max="11228" width="65.75" style="880" customWidth="1"/>
    <col min="11229" max="11230" width="13.25" style="880" customWidth="1"/>
    <col min="11231" max="11231" width="17.125" style="880" customWidth="1"/>
    <col min="11232" max="11234" width="0" style="880" hidden="1" customWidth="1"/>
    <col min="11235" max="11482" width="9" style="880"/>
    <col min="11483" max="11483" width="4.875" style="880" bestFit="1" customWidth="1"/>
    <col min="11484" max="11484" width="65.75" style="880" customWidth="1"/>
    <col min="11485" max="11486" width="13.25" style="880" customWidth="1"/>
    <col min="11487" max="11487" width="17.125" style="880" customWidth="1"/>
    <col min="11488" max="11490" width="0" style="880" hidden="1" customWidth="1"/>
    <col min="11491" max="11738" width="9" style="880"/>
    <col min="11739" max="11739" width="4.875" style="880" bestFit="1" customWidth="1"/>
    <col min="11740" max="11740" width="65.75" style="880" customWidth="1"/>
    <col min="11741" max="11742" width="13.25" style="880" customWidth="1"/>
    <col min="11743" max="11743" width="17.125" style="880" customWidth="1"/>
    <col min="11744" max="11746" width="0" style="880" hidden="1" customWidth="1"/>
    <col min="11747" max="11994" width="9" style="880"/>
    <col min="11995" max="11995" width="4.875" style="880" bestFit="1" customWidth="1"/>
    <col min="11996" max="11996" width="65.75" style="880" customWidth="1"/>
    <col min="11997" max="11998" width="13.25" style="880" customWidth="1"/>
    <col min="11999" max="11999" width="17.125" style="880" customWidth="1"/>
    <col min="12000" max="12002" width="0" style="880" hidden="1" customWidth="1"/>
    <col min="12003" max="12250" width="9" style="880"/>
    <col min="12251" max="12251" width="4.875" style="880" bestFit="1" customWidth="1"/>
    <col min="12252" max="12252" width="65.75" style="880" customWidth="1"/>
    <col min="12253" max="12254" width="13.25" style="880" customWidth="1"/>
    <col min="12255" max="12255" width="17.125" style="880" customWidth="1"/>
    <col min="12256" max="12258" width="0" style="880" hidden="1" customWidth="1"/>
    <col min="12259" max="12506" width="9" style="880"/>
    <col min="12507" max="12507" width="4.875" style="880" bestFit="1" customWidth="1"/>
    <col min="12508" max="12508" width="65.75" style="880" customWidth="1"/>
    <col min="12509" max="12510" width="13.25" style="880" customWidth="1"/>
    <col min="12511" max="12511" width="17.125" style="880" customWidth="1"/>
    <col min="12512" max="12514" width="0" style="880" hidden="1" customWidth="1"/>
    <col min="12515" max="12762" width="9" style="880"/>
    <col min="12763" max="12763" width="4.875" style="880" bestFit="1" customWidth="1"/>
    <col min="12764" max="12764" width="65.75" style="880" customWidth="1"/>
    <col min="12765" max="12766" width="13.25" style="880" customWidth="1"/>
    <col min="12767" max="12767" width="17.125" style="880" customWidth="1"/>
    <col min="12768" max="12770" width="0" style="880" hidden="1" customWidth="1"/>
    <col min="12771" max="13018" width="9" style="880"/>
    <col min="13019" max="13019" width="4.875" style="880" bestFit="1" customWidth="1"/>
    <col min="13020" max="13020" width="65.75" style="880" customWidth="1"/>
    <col min="13021" max="13022" width="13.25" style="880" customWidth="1"/>
    <col min="13023" max="13023" width="17.125" style="880" customWidth="1"/>
    <col min="13024" max="13026" width="0" style="880" hidden="1" customWidth="1"/>
    <col min="13027" max="13274" width="9" style="880"/>
    <col min="13275" max="13275" width="4.875" style="880" bestFit="1" customWidth="1"/>
    <col min="13276" max="13276" width="65.75" style="880" customWidth="1"/>
    <col min="13277" max="13278" width="13.25" style="880" customWidth="1"/>
    <col min="13279" max="13279" width="17.125" style="880" customWidth="1"/>
    <col min="13280" max="13282" width="0" style="880" hidden="1" customWidth="1"/>
    <col min="13283" max="13530" width="9" style="880"/>
    <col min="13531" max="13531" width="4.875" style="880" bestFit="1" customWidth="1"/>
    <col min="13532" max="13532" width="65.75" style="880" customWidth="1"/>
    <col min="13533" max="13534" width="13.25" style="880" customWidth="1"/>
    <col min="13535" max="13535" width="17.125" style="880" customWidth="1"/>
    <col min="13536" max="13538" width="0" style="880" hidden="1" customWidth="1"/>
    <col min="13539" max="13786" width="9" style="880"/>
    <col min="13787" max="13787" width="4.875" style="880" bestFit="1" customWidth="1"/>
    <col min="13788" max="13788" width="65.75" style="880" customWidth="1"/>
    <col min="13789" max="13790" width="13.25" style="880" customWidth="1"/>
    <col min="13791" max="13791" width="17.125" style="880" customWidth="1"/>
    <col min="13792" max="13794" width="0" style="880" hidden="1" customWidth="1"/>
    <col min="13795" max="14042" width="9" style="880"/>
    <col min="14043" max="14043" width="4.875" style="880" bestFit="1" customWidth="1"/>
    <col min="14044" max="14044" width="65.75" style="880" customWidth="1"/>
    <col min="14045" max="14046" width="13.25" style="880" customWidth="1"/>
    <col min="14047" max="14047" width="17.125" style="880" customWidth="1"/>
    <col min="14048" max="14050" width="0" style="880" hidden="1" customWidth="1"/>
    <col min="14051" max="14298" width="9" style="880"/>
    <col min="14299" max="14299" width="4.875" style="880" bestFit="1" customWidth="1"/>
    <col min="14300" max="14300" width="65.75" style="880" customWidth="1"/>
    <col min="14301" max="14302" width="13.25" style="880" customWidth="1"/>
    <col min="14303" max="14303" width="17.125" style="880" customWidth="1"/>
    <col min="14304" max="14306" width="0" style="880" hidden="1" customWidth="1"/>
    <col min="14307" max="14554" width="9" style="880"/>
    <col min="14555" max="14555" width="4.875" style="880" bestFit="1" customWidth="1"/>
    <col min="14556" max="14556" width="65.75" style="880" customWidth="1"/>
    <col min="14557" max="14558" width="13.25" style="880" customWidth="1"/>
    <col min="14559" max="14559" width="17.125" style="880" customWidth="1"/>
    <col min="14560" max="14562" width="0" style="880" hidden="1" customWidth="1"/>
    <col min="14563" max="14810" width="9" style="880"/>
    <col min="14811" max="14811" width="4.875" style="880" bestFit="1" customWidth="1"/>
    <col min="14812" max="14812" width="65.75" style="880" customWidth="1"/>
    <col min="14813" max="14814" width="13.25" style="880" customWidth="1"/>
    <col min="14815" max="14815" width="17.125" style="880" customWidth="1"/>
    <col min="14816" max="14818" width="0" style="880" hidden="1" customWidth="1"/>
    <col min="14819" max="15066" width="9" style="880"/>
    <col min="15067" max="15067" width="4.875" style="880" bestFit="1" customWidth="1"/>
    <col min="15068" max="15068" width="65.75" style="880" customWidth="1"/>
    <col min="15069" max="15070" width="13.25" style="880" customWidth="1"/>
    <col min="15071" max="15071" width="17.125" style="880" customWidth="1"/>
    <col min="15072" max="15074" width="0" style="880" hidden="1" customWidth="1"/>
    <col min="15075" max="15322" width="9" style="880"/>
    <col min="15323" max="15323" width="4.875" style="880" bestFit="1" customWidth="1"/>
    <col min="15324" max="15324" width="65.75" style="880" customWidth="1"/>
    <col min="15325" max="15326" width="13.25" style="880" customWidth="1"/>
    <col min="15327" max="15327" width="17.125" style="880" customWidth="1"/>
    <col min="15328" max="15330" width="0" style="880" hidden="1" customWidth="1"/>
    <col min="15331" max="15578" width="9" style="880"/>
    <col min="15579" max="15579" width="4.875" style="880" bestFit="1" customWidth="1"/>
    <col min="15580" max="15580" width="65.75" style="880" customWidth="1"/>
    <col min="15581" max="15582" width="13.25" style="880" customWidth="1"/>
    <col min="15583" max="15583" width="17.125" style="880" customWidth="1"/>
    <col min="15584" max="15586" width="0" style="880" hidden="1" customWidth="1"/>
    <col min="15587" max="15834" width="9" style="880"/>
    <col min="15835" max="15835" width="4.875" style="880" bestFit="1" customWidth="1"/>
    <col min="15836" max="15836" width="65.75" style="880" customWidth="1"/>
    <col min="15837" max="15838" width="13.25" style="880" customWidth="1"/>
    <col min="15839" max="15839" width="17.125" style="880" customWidth="1"/>
    <col min="15840" max="15842" width="0" style="880" hidden="1" customWidth="1"/>
    <col min="15843" max="16090" width="9" style="880"/>
    <col min="16091" max="16091" width="4.875" style="880" bestFit="1" customWidth="1"/>
    <col min="16092" max="16092" width="65.75" style="880" customWidth="1"/>
    <col min="16093" max="16094" width="13.25" style="880" customWidth="1"/>
    <col min="16095" max="16095" width="17.125" style="880" customWidth="1"/>
    <col min="16096" max="16098" width="0" style="880" hidden="1" customWidth="1"/>
    <col min="16099" max="16384" width="9" style="880"/>
  </cols>
  <sheetData>
    <row r="1" spans="1:11" ht="39.75" customHeight="1" x14ac:dyDescent="0.3">
      <c r="A1" s="1033" t="s">
        <v>594</v>
      </c>
      <c r="B1" s="1033"/>
      <c r="C1" s="1033"/>
      <c r="D1" s="1033"/>
      <c r="E1" s="1033"/>
      <c r="F1" s="1033"/>
      <c r="G1" s="1033"/>
      <c r="H1" s="1033"/>
      <c r="I1" s="1033"/>
      <c r="J1" s="1033"/>
      <c r="K1" s="1033"/>
    </row>
    <row r="2" spans="1:11" ht="16.5" thickBot="1" x14ac:dyDescent="0.3"/>
    <row r="3" spans="1:11" ht="63.75" thickBot="1" x14ac:dyDescent="0.3">
      <c r="A3" s="498"/>
      <c r="B3" s="171" t="s">
        <v>137</v>
      </c>
      <c r="C3" s="172" t="s">
        <v>901</v>
      </c>
      <c r="D3" s="499" t="s">
        <v>765</v>
      </c>
      <c r="E3" s="499" t="s">
        <v>902</v>
      </c>
      <c r="F3" s="172" t="s">
        <v>766</v>
      </c>
      <c r="G3" s="499" t="s">
        <v>767</v>
      </c>
      <c r="H3" s="499" t="s">
        <v>768</v>
      </c>
      <c r="I3" s="499" t="s">
        <v>132</v>
      </c>
      <c r="J3" s="499" t="s">
        <v>133</v>
      </c>
      <c r="K3" s="499" t="s">
        <v>350</v>
      </c>
    </row>
    <row r="4" spans="1:11" x14ac:dyDescent="0.25">
      <c r="A4" s="500" t="s">
        <v>76</v>
      </c>
      <c r="B4" s="501" t="s">
        <v>109</v>
      </c>
      <c r="C4" s="249">
        <f>SUM(C5,C9,C79,C80,C83)</f>
        <v>5606044</v>
      </c>
      <c r="D4" s="249">
        <f>SUM(D5,D9,D79,D80,D83)</f>
        <v>4031</v>
      </c>
      <c r="E4" s="249">
        <f>SUM(C4:D4)</f>
        <v>5610075</v>
      </c>
      <c r="F4" s="249">
        <f>SUM(F5,F9,F79,F80,F83)</f>
        <v>24232</v>
      </c>
      <c r="G4" s="249">
        <f>SUM(G5,G9,G79,G80,G83)</f>
        <v>5588485</v>
      </c>
      <c r="H4" s="527">
        <f>SUM(H5,H9,H79,H80,H83)</f>
        <v>-2642</v>
      </c>
      <c r="I4" s="502" t="s">
        <v>595</v>
      </c>
      <c r="J4" s="502" t="s">
        <v>595</v>
      </c>
      <c r="K4" s="502"/>
    </row>
    <row r="5" spans="1:11" x14ac:dyDescent="0.25">
      <c r="A5" s="186"/>
      <c r="B5" s="503" t="s">
        <v>77</v>
      </c>
      <c r="C5" s="173">
        <f>SUM(C6:C8)</f>
        <v>4383504</v>
      </c>
      <c r="D5" s="173">
        <f>SUM(D6:D8)</f>
        <v>0</v>
      </c>
      <c r="E5" s="173">
        <f t="shared" ref="E5:E107" si="0">SUM(C5:D5)</f>
        <v>4383504</v>
      </c>
      <c r="F5" s="173">
        <f>SUM(F6:F8)</f>
        <v>967</v>
      </c>
      <c r="G5" s="173">
        <f>SUM(G6:G8)</f>
        <v>4382537</v>
      </c>
      <c r="H5" s="177">
        <f>SUM(H6:H8)</f>
        <v>0</v>
      </c>
      <c r="I5" s="174" t="s">
        <v>595</v>
      </c>
      <c r="J5" s="174" t="s">
        <v>595</v>
      </c>
      <c r="K5" s="174"/>
    </row>
    <row r="6" spans="1:11" x14ac:dyDescent="0.25">
      <c r="A6" s="186"/>
      <c r="B6" s="175" t="s">
        <v>78</v>
      </c>
      <c r="C6" s="178">
        <v>1198015</v>
      </c>
      <c r="D6" s="178">
        <v>0</v>
      </c>
      <c r="E6" s="178">
        <f>SUM(C6:D6)</f>
        <v>1198015</v>
      </c>
      <c r="F6" s="178">
        <f>336+631</f>
        <v>967</v>
      </c>
      <c r="G6" s="178">
        <f>363294+507376+166349+1257-12192-1257+172221</f>
        <v>1197048</v>
      </c>
      <c r="H6" s="189"/>
      <c r="I6" s="176" t="s">
        <v>595</v>
      </c>
      <c r="J6" s="176" t="s">
        <v>595</v>
      </c>
      <c r="K6" s="176"/>
    </row>
    <row r="7" spans="1:11" x14ac:dyDescent="0.25">
      <c r="A7" s="186"/>
      <c r="B7" s="175" t="s">
        <v>351</v>
      </c>
      <c r="C7" s="178">
        <v>12367</v>
      </c>
      <c r="D7" s="178"/>
      <c r="E7" s="178">
        <f t="shared" si="0"/>
        <v>12367</v>
      </c>
      <c r="F7" s="178"/>
      <c r="G7" s="178">
        <v>12367</v>
      </c>
      <c r="H7" s="189"/>
      <c r="I7" s="176"/>
      <c r="J7" s="176" t="s">
        <v>595</v>
      </c>
      <c r="K7" s="176"/>
    </row>
    <row r="8" spans="1:11" x14ac:dyDescent="0.25">
      <c r="A8" s="186"/>
      <c r="B8" s="175" t="s">
        <v>495</v>
      </c>
      <c r="C8" s="178">
        <v>3173122</v>
      </c>
      <c r="D8" s="178"/>
      <c r="E8" s="178">
        <f t="shared" si="0"/>
        <v>3173122</v>
      </c>
      <c r="F8" s="178"/>
      <c r="G8" s="178">
        <v>3173122</v>
      </c>
      <c r="H8" s="189"/>
      <c r="I8" s="176" t="s">
        <v>595</v>
      </c>
      <c r="J8" s="176"/>
      <c r="K8" s="176"/>
    </row>
    <row r="9" spans="1:11" x14ac:dyDescent="0.25">
      <c r="A9" s="186"/>
      <c r="B9" s="183" t="s">
        <v>79</v>
      </c>
      <c r="C9" s="177">
        <f>SUM(C10,C74,C78)</f>
        <v>428767</v>
      </c>
      <c r="D9" s="177">
        <f>SUM(D10,D74,D78)</f>
        <v>4031</v>
      </c>
      <c r="E9" s="177">
        <f t="shared" si="0"/>
        <v>432798</v>
      </c>
      <c r="F9" s="177">
        <f>SUM(F10,F74,F78)</f>
        <v>5262</v>
      </c>
      <c r="G9" s="177">
        <f>SUM(G10,G74,G78)</f>
        <v>430178</v>
      </c>
      <c r="H9" s="177">
        <f>SUM(H10,H74,H78)</f>
        <v>-2642</v>
      </c>
      <c r="I9" s="174" t="s">
        <v>595</v>
      </c>
      <c r="J9" s="174" t="s">
        <v>595</v>
      </c>
      <c r="K9" s="174"/>
    </row>
    <row r="10" spans="1:11" x14ac:dyDescent="0.25">
      <c r="A10" s="186"/>
      <c r="B10" s="175" t="s">
        <v>80</v>
      </c>
      <c r="C10" s="178">
        <v>401689</v>
      </c>
      <c r="D10" s="178">
        <f>3031+1000</f>
        <v>4031</v>
      </c>
      <c r="E10" s="178">
        <f t="shared" si="0"/>
        <v>405720</v>
      </c>
      <c r="F10" s="178">
        <f>5113-19</f>
        <v>5094</v>
      </c>
      <c r="G10" s="178">
        <f>344454+2400+1755+16510+5000-2200+1000+360+400+8000+5000+12700+1270-4411+448+4368-2184+2184+1000+400+1000+750+300+508+402-1755-16510+3273+2000+500+1257+1000+1100+1500+5000+3031+1000</f>
        <v>402810</v>
      </c>
      <c r="H10" s="189">
        <v>-2184</v>
      </c>
      <c r="I10" s="176" t="s">
        <v>595</v>
      </c>
      <c r="J10" s="176" t="s">
        <v>595</v>
      </c>
      <c r="K10" s="176"/>
    </row>
    <row r="11" spans="1:11" s="276" customFormat="1" x14ac:dyDescent="0.25">
      <c r="A11" s="270"/>
      <c r="B11" s="271" t="s">
        <v>242</v>
      </c>
      <c r="C11" s="272">
        <v>2000</v>
      </c>
      <c r="D11" s="273"/>
      <c r="E11" s="274">
        <f t="shared" si="0"/>
        <v>2000</v>
      </c>
      <c r="F11" s="272">
        <v>0</v>
      </c>
      <c r="G11" s="273">
        <v>2000</v>
      </c>
      <c r="H11" s="528"/>
      <c r="I11" s="275"/>
      <c r="J11" s="275" t="s">
        <v>595</v>
      </c>
      <c r="K11" s="275"/>
    </row>
    <row r="12" spans="1:11" s="276" customFormat="1" x14ac:dyDescent="0.25">
      <c r="A12" s="270"/>
      <c r="B12" s="271" t="s">
        <v>101</v>
      </c>
      <c r="C12" s="272">
        <v>2000</v>
      </c>
      <c r="D12" s="273"/>
      <c r="E12" s="274">
        <f t="shared" si="0"/>
        <v>2000</v>
      </c>
      <c r="F12" s="272">
        <v>0</v>
      </c>
      <c r="G12" s="273">
        <f>2000</f>
        <v>2000</v>
      </c>
      <c r="H12" s="528"/>
      <c r="I12" s="275"/>
      <c r="J12" s="275" t="s">
        <v>595</v>
      </c>
      <c r="K12" s="275"/>
    </row>
    <row r="13" spans="1:11" s="276" customFormat="1" x14ac:dyDescent="0.25">
      <c r="A13" s="270"/>
      <c r="B13" s="271" t="s">
        <v>102</v>
      </c>
      <c r="C13" s="272">
        <v>4164</v>
      </c>
      <c r="D13" s="273"/>
      <c r="E13" s="274">
        <f t="shared" si="0"/>
        <v>4164</v>
      </c>
      <c r="F13" s="272">
        <v>164</v>
      </c>
      <c r="G13" s="273">
        <v>4000</v>
      </c>
      <c r="H13" s="528"/>
      <c r="I13" s="275"/>
      <c r="J13" s="275" t="s">
        <v>595</v>
      </c>
      <c r="K13" s="275"/>
    </row>
    <row r="14" spans="1:11" s="276" customFormat="1" x14ac:dyDescent="0.25">
      <c r="A14" s="270"/>
      <c r="B14" s="271" t="s">
        <v>243</v>
      </c>
      <c r="C14" s="272">
        <v>10074</v>
      </c>
      <c r="D14" s="273"/>
      <c r="E14" s="274">
        <f t="shared" si="0"/>
        <v>10074</v>
      </c>
      <c r="F14" s="272">
        <f>356-19</f>
        <v>337</v>
      </c>
      <c r="G14" s="273">
        <v>9737</v>
      </c>
      <c r="H14" s="528"/>
      <c r="I14" s="275"/>
      <c r="J14" s="275" t="s">
        <v>595</v>
      </c>
      <c r="K14" s="275"/>
    </row>
    <row r="15" spans="1:11" s="276" customFormat="1" x14ac:dyDescent="0.25">
      <c r="A15" s="270"/>
      <c r="B15" s="271" t="s">
        <v>687</v>
      </c>
      <c r="C15" s="272">
        <v>350</v>
      </c>
      <c r="D15" s="273"/>
      <c r="E15" s="274">
        <f t="shared" si="0"/>
        <v>350</v>
      </c>
      <c r="F15" s="272">
        <v>0</v>
      </c>
      <c r="G15" s="273">
        <v>350</v>
      </c>
      <c r="H15" s="528"/>
      <c r="I15" s="275"/>
      <c r="J15" s="275" t="s">
        <v>595</v>
      </c>
      <c r="K15" s="275"/>
    </row>
    <row r="16" spans="1:11" s="276" customFormat="1" x14ac:dyDescent="0.25">
      <c r="A16" s="270"/>
      <c r="B16" s="271" t="s">
        <v>244</v>
      </c>
      <c r="C16" s="272">
        <v>400</v>
      </c>
      <c r="D16" s="273"/>
      <c r="E16" s="274">
        <f t="shared" si="0"/>
        <v>400</v>
      </c>
      <c r="F16" s="272">
        <v>0</v>
      </c>
      <c r="G16" s="273">
        <v>400</v>
      </c>
      <c r="H16" s="528"/>
      <c r="I16" s="275"/>
      <c r="J16" s="275" t="s">
        <v>595</v>
      </c>
      <c r="K16" s="275"/>
    </row>
    <row r="17" spans="1:11" s="276" customFormat="1" x14ac:dyDescent="0.25">
      <c r="A17" s="270"/>
      <c r="B17" s="271" t="s">
        <v>245</v>
      </c>
      <c r="C17" s="272">
        <v>15000</v>
      </c>
      <c r="D17" s="273"/>
      <c r="E17" s="274">
        <f t="shared" si="0"/>
        <v>15000</v>
      </c>
      <c r="F17" s="272">
        <v>0</v>
      </c>
      <c r="G17" s="273">
        <v>15000</v>
      </c>
      <c r="H17" s="528"/>
      <c r="I17" s="275"/>
      <c r="J17" s="275" t="s">
        <v>595</v>
      </c>
      <c r="K17" s="275"/>
    </row>
    <row r="18" spans="1:11" s="276" customFormat="1" x14ac:dyDescent="0.25">
      <c r="A18" s="270"/>
      <c r="B18" s="271" t="s">
        <v>246</v>
      </c>
      <c r="C18" s="272">
        <v>3000</v>
      </c>
      <c r="D18" s="273"/>
      <c r="E18" s="274">
        <f t="shared" si="0"/>
        <v>3000</v>
      </c>
      <c r="F18" s="272">
        <v>0</v>
      </c>
      <c r="G18" s="273">
        <f>2000+1000</f>
        <v>3000</v>
      </c>
      <c r="H18" s="528"/>
      <c r="I18" s="275"/>
      <c r="J18" s="275" t="s">
        <v>595</v>
      </c>
      <c r="K18" s="275"/>
    </row>
    <row r="19" spans="1:11" s="276" customFormat="1" x14ac:dyDescent="0.25">
      <c r="A19" s="270"/>
      <c r="B19" s="280" t="s">
        <v>899</v>
      </c>
      <c r="C19" s="272">
        <v>500</v>
      </c>
      <c r="D19" s="273"/>
      <c r="E19" s="274">
        <f t="shared" ref="E19" si="1">SUM(C19:D19)</f>
        <v>500</v>
      </c>
      <c r="F19" s="272">
        <v>0</v>
      </c>
      <c r="G19" s="273">
        <v>500</v>
      </c>
      <c r="H19" s="528"/>
      <c r="I19" s="275"/>
      <c r="J19" s="275" t="s">
        <v>595</v>
      </c>
      <c r="K19" s="275"/>
    </row>
    <row r="20" spans="1:11" s="276" customFormat="1" x14ac:dyDescent="0.25">
      <c r="A20" s="270"/>
      <c r="B20" s="271" t="s">
        <v>247</v>
      </c>
      <c r="C20" s="272">
        <v>2000</v>
      </c>
      <c r="D20" s="273"/>
      <c r="E20" s="274">
        <f t="shared" si="0"/>
        <v>2000</v>
      </c>
      <c r="F20" s="272">
        <v>0</v>
      </c>
      <c r="G20" s="273">
        <v>2000</v>
      </c>
      <c r="H20" s="528"/>
      <c r="I20" s="275"/>
      <c r="J20" s="275" t="s">
        <v>595</v>
      </c>
      <c r="K20" s="275"/>
    </row>
    <row r="21" spans="1:11" s="276" customFormat="1" x14ac:dyDescent="0.25">
      <c r="A21" s="270"/>
      <c r="B21" s="271" t="s">
        <v>248</v>
      </c>
      <c r="C21" s="272">
        <v>3270</v>
      </c>
      <c r="D21" s="273"/>
      <c r="E21" s="274">
        <f t="shared" si="0"/>
        <v>3270</v>
      </c>
      <c r="F21" s="272">
        <v>0</v>
      </c>
      <c r="G21" s="273">
        <f>2000+1270</f>
        <v>3270</v>
      </c>
      <c r="H21" s="528"/>
      <c r="I21" s="275"/>
      <c r="J21" s="275" t="s">
        <v>595</v>
      </c>
      <c r="K21" s="275"/>
    </row>
    <row r="22" spans="1:11" s="276" customFormat="1" ht="31.5" x14ac:dyDescent="0.25">
      <c r="A22" s="270"/>
      <c r="B22" s="271" t="s">
        <v>249</v>
      </c>
      <c r="C22" s="272">
        <v>4000</v>
      </c>
      <c r="D22" s="273"/>
      <c r="E22" s="274">
        <f t="shared" si="0"/>
        <v>4000</v>
      </c>
      <c r="F22" s="272">
        <v>0</v>
      </c>
      <c r="G22" s="273">
        <v>4000</v>
      </c>
      <c r="H22" s="528"/>
      <c r="I22" s="277"/>
      <c r="J22" s="277" t="s">
        <v>595</v>
      </c>
      <c r="K22" s="277"/>
    </row>
    <row r="23" spans="1:11" s="276" customFormat="1" ht="31.5" x14ac:dyDescent="0.25">
      <c r="A23" s="270"/>
      <c r="B23" s="271" t="s">
        <v>596</v>
      </c>
      <c r="C23" s="272">
        <v>1000</v>
      </c>
      <c r="D23" s="273"/>
      <c r="E23" s="274">
        <f t="shared" si="0"/>
        <v>1000</v>
      </c>
      <c r="F23" s="272"/>
      <c r="G23" s="273">
        <v>1000</v>
      </c>
      <c r="H23" s="528"/>
      <c r="I23" s="277"/>
      <c r="J23" s="277" t="s">
        <v>595</v>
      </c>
      <c r="K23" s="277"/>
    </row>
    <row r="24" spans="1:11" s="276" customFormat="1" x14ac:dyDescent="0.25">
      <c r="A24" s="270"/>
      <c r="B24" s="271" t="s">
        <v>250</v>
      </c>
      <c r="C24" s="272">
        <v>500</v>
      </c>
      <c r="D24" s="273"/>
      <c r="E24" s="274">
        <f t="shared" si="0"/>
        <v>500</v>
      </c>
      <c r="F24" s="272">
        <v>0</v>
      </c>
      <c r="G24" s="273">
        <v>500</v>
      </c>
      <c r="H24" s="528"/>
      <c r="I24" s="277"/>
      <c r="J24" s="277" t="s">
        <v>595</v>
      </c>
      <c r="K24" s="277"/>
    </row>
    <row r="25" spans="1:11" s="276" customFormat="1" x14ac:dyDescent="0.25">
      <c r="A25" s="270"/>
      <c r="B25" s="271" t="s">
        <v>127</v>
      </c>
      <c r="C25" s="272">
        <v>1000</v>
      </c>
      <c r="D25" s="273"/>
      <c r="E25" s="274">
        <f t="shared" si="0"/>
        <v>1000</v>
      </c>
      <c r="F25" s="272">
        <v>0</v>
      </c>
      <c r="G25" s="273">
        <v>1000</v>
      </c>
      <c r="H25" s="528"/>
      <c r="I25" s="277"/>
      <c r="J25" s="277" t="s">
        <v>595</v>
      </c>
      <c r="K25" s="277"/>
    </row>
    <row r="26" spans="1:11" s="276" customFormat="1" x14ac:dyDescent="0.25">
      <c r="A26" s="270"/>
      <c r="B26" s="271" t="s">
        <v>251</v>
      </c>
      <c r="C26" s="272">
        <v>500</v>
      </c>
      <c r="D26" s="273"/>
      <c r="E26" s="274">
        <f t="shared" si="0"/>
        <v>500</v>
      </c>
      <c r="F26" s="272">
        <v>0</v>
      </c>
      <c r="G26" s="273">
        <v>500</v>
      </c>
      <c r="H26" s="528"/>
      <c r="I26" s="277"/>
      <c r="J26" s="277" t="s">
        <v>595</v>
      </c>
      <c r="K26" s="277"/>
    </row>
    <row r="27" spans="1:11" s="276" customFormat="1" x14ac:dyDescent="0.25">
      <c r="A27" s="270"/>
      <c r="B27" s="271" t="s">
        <v>252</v>
      </c>
      <c r="C27" s="272">
        <v>200</v>
      </c>
      <c r="D27" s="273"/>
      <c r="E27" s="274">
        <f t="shared" si="0"/>
        <v>200</v>
      </c>
      <c r="F27" s="272">
        <v>0</v>
      </c>
      <c r="G27" s="273">
        <v>200</v>
      </c>
      <c r="H27" s="528"/>
      <c r="I27" s="277"/>
      <c r="J27" s="277" t="s">
        <v>595</v>
      </c>
      <c r="K27" s="277"/>
    </row>
    <row r="28" spans="1:11" s="276" customFormat="1" ht="31.5" x14ac:dyDescent="0.25">
      <c r="A28" s="270"/>
      <c r="B28" s="271" t="s">
        <v>688</v>
      </c>
      <c r="C28" s="272">
        <v>3500</v>
      </c>
      <c r="D28" s="278"/>
      <c r="E28" s="274">
        <f t="shared" si="0"/>
        <v>3500</v>
      </c>
      <c r="F28" s="272">
        <v>0</v>
      </c>
      <c r="G28" s="278">
        <f>2500+1000</f>
        <v>3500</v>
      </c>
      <c r="H28" s="529"/>
      <c r="I28" s="277"/>
      <c r="J28" s="277" t="s">
        <v>595</v>
      </c>
      <c r="K28" s="277"/>
    </row>
    <row r="29" spans="1:11" s="276" customFormat="1" x14ac:dyDescent="0.25">
      <c r="A29" s="270"/>
      <c r="B29" s="271" t="s">
        <v>689</v>
      </c>
      <c r="C29" s="272">
        <v>1000</v>
      </c>
      <c r="D29" s="278"/>
      <c r="E29" s="274">
        <f t="shared" si="0"/>
        <v>1000</v>
      </c>
      <c r="F29" s="272"/>
      <c r="G29" s="278">
        <v>1000</v>
      </c>
      <c r="H29" s="529"/>
      <c r="I29" s="277"/>
      <c r="J29" s="277" t="s">
        <v>595</v>
      </c>
      <c r="K29" s="277"/>
    </row>
    <row r="30" spans="1:11" s="276" customFormat="1" ht="31.5" x14ac:dyDescent="0.25">
      <c r="A30" s="270"/>
      <c r="B30" s="271" t="s">
        <v>690</v>
      </c>
      <c r="C30" s="272">
        <v>1000</v>
      </c>
      <c r="D30" s="278"/>
      <c r="E30" s="274">
        <f t="shared" si="0"/>
        <v>1000</v>
      </c>
      <c r="F30" s="272"/>
      <c r="G30" s="278">
        <v>1000</v>
      </c>
      <c r="H30" s="529"/>
      <c r="I30" s="277"/>
      <c r="J30" s="277" t="s">
        <v>595</v>
      </c>
      <c r="K30" s="277"/>
    </row>
    <row r="31" spans="1:11" s="276" customFormat="1" ht="31.5" x14ac:dyDescent="0.25">
      <c r="A31" s="270"/>
      <c r="B31" s="271" t="s">
        <v>691</v>
      </c>
      <c r="C31" s="272">
        <v>4250</v>
      </c>
      <c r="D31" s="278"/>
      <c r="E31" s="274">
        <f t="shared" si="0"/>
        <v>4250</v>
      </c>
      <c r="F31" s="272"/>
      <c r="G31" s="278">
        <v>4250</v>
      </c>
      <c r="H31" s="529"/>
      <c r="I31" s="277"/>
      <c r="J31" s="277" t="s">
        <v>595</v>
      </c>
      <c r="K31" s="277"/>
    </row>
    <row r="32" spans="1:11" s="276" customFormat="1" ht="43.5" customHeight="1" x14ac:dyDescent="0.25">
      <c r="A32" s="270"/>
      <c r="B32" s="271" t="s">
        <v>692</v>
      </c>
      <c r="C32" s="272">
        <v>5000</v>
      </c>
      <c r="D32" s="278"/>
      <c r="E32" s="274">
        <f t="shared" si="0"/>
        <v>5000</v>
      </c>
      <c r="F32" s="272"/>
      <c r="G32" s="278">
        <v>5000</v>
      </c>
      <c r="H32" s="529"/>
      <c r="I32" s="277"/>
      <c r="J32" s="277" t="s">
        <v>595</v>
      </c>
      <c r="K32" s="277"/>
    </row>
    <row r="33" spans="1:11" s="276" customFormat="1" x14ac:dyDescent="0.25">
      <c r="A33" s="270"/>
      <c r="B33" s="271" t="s">
        <v>693</v>
      </c>
      <c r="C33" s="272">
        <v>9599</v>
      </c>
      <c r="D33" s="278">
        <v>1000</v>
      </c>
      <c r="E33" s="274">
        <f t="shared" si="0"/>
        <v>10599</v>
      </c>
      <c r="F33" s="272">
        <v>47</v>
      </c>
      <c r="G33" s="278">
        <f>7150+402+2000+1000</f>
        <v>10552</v>
      </c>
      <c r="H33" s="529"/>
      <c r="I33" s="277"/>
      <c r="J33" s="277" t="s">
        <v>595</v>
      </c>
      <c r="K33" s="277"/>
    </row>
    <row r="34" spans="1:11" s="276" customFormat="1" x14ac:dyDescent="0.25">
      <c r="A34" s="270"/>
      <c r="B34" s="271" t="s">
        <v>1026</v>
      </c>
      <c r="C34" s="272">
        <v>11987</v>
      </c>
      <c r="D34" s="278"/>
      <c r="E34" s="274">
        <f t="shared" si="0"/>
        <v>11987</v>
      </c>
      <c r="F34" s="272"/>
      <c r="G34" s="278">
        <v>11987</v>
      </c>
      <c r="H34" s="529"/>
      <c r="I34" s="277"/>
      <c r="J34" s="277" t="s">
        <v>595</v>
      </c>
      <c r="K34" s="277"/>
    </row>
    <row r="35" spans="1:11" s="276" customFormat="1" ht="31.5" x14ac:dyDescent="0.25">
      <c r="A35" s="270"/>
      <c r="B35" s="271" t="s">
        <v>694</v>
      </c>
      <c r="C35" s="272">
        <v>1200</v>
      </c>
      <c r="D35" s="278"/>
      <c r="E35" s="274">
        <f t="shared" si="0"/>
        <v>1200</v>
      </c>
      <c r="F35" s="272"/>
      <c r="G35" s="278">
        <v>1200</v>
      </c>
      <c r="H35" s="529"/>
      <c r="I35" s="277"/>
      <c r="J35" s="277" t="s">
        <v>595</v>
      </c>
      <c r="K35" s="277"/>
    </row>
    <row r="36" spans="1:11" s="276" customFormat="1" ht="31.5" x14ac:dyDescent="0.25">
      <c r="A36" s="270"/>
      <c r="B36" s="271" t="s">
        <v>695</v>
      </c>
      <c r="C36" s="272">
        <v>0</v>
      </c>
      <c r="D36" s="278"/>
      <c r="E36" s="274">
        <f t="shared" si="0"/>
        <v>0</v>
      </c>
      <c r="F36" s="272"/>
      <c r="G36" s="278">
        <f>2200-2200</f>
        <v>0</v>
      </c>
      <c r="H36" s="529"/>
      <c r="I36" s="277"/>
      <c r="J36" s="277" t="s">
        <v>595</v>
      </c>
      <c r="K36" s="277"/>
    </row>
    <row r="37" spans="1:11" s="276" customFormat="1" x14ac:dyDescent="0.25">
      <c r="A37" s="270"/>
      <c r="B37" s="271" t="s">
        <v>829</v>
      </c>
      <c r="C37" s="272">
        <v>5000</v>
      </c>
      <c r="D37" s="278"/>
      <c r="E37" s="274">
        <f t="shared" ref="E37" si="2">SUM(C37:D37)</f>
        <v>5000</v>
      </c>
      <c r="F37" s="272"/>
      <c r="G37" s="278">
        <v>5000</v>
      </c>
      <c r="H37" s="529"/>
      <c r="I37" s="277"/>
      <c r="J37" s="277" t="s">
        <v>595</v>
      </c>
      <c r="K37" s="277"/>
    </row>
    <row r="38" spans="1:11" s="276" customFormat="1" ht="31.5" x14ac:dyDescent="0.25">
      <c r="A38" s="270"/>
      <c r="B38" s="271" t="s">
        <v>834</v>
      </c>
      <c r="C38" s="272">
        <v>1000</v>
      </c>
      <c r="D38" s="278"/>
      <c r="E38" s="274">
        <f t="shared" ref="E38:E42" si="3">SUM(C38:D38)</f>
        <v>1000</v>
      </c>
      <c r="F38" s="272"/>
      <c r="G38" s="278">
        <v>1000</v>
      </c>
      <c r="H38" s="529"/>
      <c r="I38" s="277"/>
      <c r="J38" s="277" t="s">
        <v>595</v>
      </c>
      <c r="K38" s="277"/>
    </row>
    <row r="39" spans="1:11" s="276" customFormat="1" x14ac:dyDescent="0.25">
      <c r="A39" s="270"/>
      <c r="B39" s="271" t="s">
        <v>833</v>
      </c>
      <c r="C39" s="272">
        <v>360</v>
      </c>
      <c r="D39" s="278"/>
      <c r="E39" s="274">
        <f t="shared" si="3"/>
        <v>360</v>
      </c>
      <c r="F39" s="272"/>
      <c r="G39" s="278">
        <v>360</v>
      </c>
      <c r="H39" s="529"/>
      <c r="I39" s="277"/>
      <c r="J39" s="277" t="s">
        <v>595</v>
      </c>
      <c r="K39" s="277"/>
    </row>
    <row r="40" spans="1:11" s="276" customFormat="1" ht="31.5" x14ac:dyDescent="0.25">
      <c r="A40" s="270"/>
      <c r="B40" s="271" t="s">
        <v>832</v>
      </c>
      <c r="C40" s="272">
        <v>400</v>
      </c>
      <c r="D40" s="278"/>
      <c r="E40" s="274">
        <f t="shared" si="3"/>
        <v>400</v>
      </c>
      <c r="F40" s="272"/>
      <c r="G40" s="278">
        <v>400</v>
      </c>
      <c r="H40" s="529"/>
      <c r="I40" s="277"/>
      <c r="J40" s="277" t="s">
        <v>595</v>
      </c>
      <c r="K40" s="277"/>
    </row>
    <row r="41" spans="1:11" s="276" customFormat="1" x14ac:dyDescent="0.25">
      <c r="A41" s="270"/>
      <c r="B41" s="271" t="s">
        <v>831</v>
      </c>
      <c r="C41" s="272">
        <v>8000</v>
      </c>
      <c r="D41" s="278"/>
      <c r="E41" s="274">
        <f t="shared" si="3"/>
        <v>8000</v>
      </c>
      <c r="F41" s="272"/>
      <c r="G41" s="278">
        <v>8000</v>
      </c>
      <c r="H41" s="529"/>
      <c r="I41" s="277"/>
      <c r="J41" s="277" t="s">
        <v>595</v>
      </c>
      <c r="K41" s="277"/>
    </row>
    <row r="42" spans="1:11" s="276" customFormat="1" x14ac:dyDescent="0.25">
      <c r="A42" s="270"/>
      <c r="B42" s="271" t="s">
        <v>830</v>
      </c>
      <c r="C42" s="272">
        <v>5000</v>
      </c>
      <c r="D42" s="278"/>
      <c r="E42" s="274">
        <f t="shared" si="3"/>
        <v>5000</v>
      </c>
      <c r="F42" s="272"/>
      <c r="G42" s="278">
        <v>5000</v>
      </c>
      <c r="H42" s="529"/>
      <c r="I42" s="277"/>
      <c r="J42" s="277" t="s">
        <v>595</v>
      </c>
      <c r="K42" s="277"/>
    </row>
    <row r="43" spans="1:11" s="276" customFormat="1" x14ac:dyDescent="0.25">
      <c r="A43" s="270"/>
      <c r="B43" s="271" t="s">
        <v>696</v>
      </c>
      <c r="C43" s="272">
        <v>35094</v>
      </c>
      <c r="D43" s="278"/>
      <c r="E43" s="274">
        <f t="shared" si="0"/>
        <v>35094</v>
      </c>
      <c r="F43" s="272">
        <v>1826</v>
      </c>
      <c r="G43" s="278">
        <v>33268</v>
      </c>
      <c r="H43" s="529"/>
      <c r="I43" s="277"/>
      <c r="J43" s="277" t="s">
        <v>595</v>
      </c>
      <c r="K43" s="277"/>
    </row>
    <row r="44" spans="1:11" s="276" customFormat="1" x14ac:dyDescent="0.25">
      <c r="A44" s="270"/>
      <c r="B44" s="271" t="s">
        <v>697</v>
      </c>
      <c r="C44" s="272">
        <v>5000</v>
      </c>
      <c r="D44" s="278"/>
      <c r="E44" s="274">
        <f t="shared" si="0"/>
        <v>5000</v>
      </c>
      <c r="F44" s="272"/>
      <c r="G44" s="278">
        <v>5000</v>
      </c>
      <c r="H44" s="529"/>
      <c r="I44" s="277"/>
      <c r="J44" s="277" t="s">
        <v>595</v>
      </c>
      <c r="K44" s="277"/>
    </row>
    <row r="45" spans="1:11" s="276" customFormat="1" x14ac:dyDescent="0.25">
      <c r="A45" s="270"/>
      <c r="B45" s="271" t="s">
        <v>698</v>
      </c>
      <c r="C45" s="272">
        <v>2714</v>
      </c>
      <c r="D45" s="278"/>
      <c r="E45" s="274">
        <f t="shared" si="0"/>
        <v>2714</v>
      </c>
      <c r="F45" s="272">
        <v>310</v>
      </c>
      <c r="G45" s="278">
        <v>2404</v>
      </c>
      <c r="H45" s="529"/>
      <c r="I45" s="277"/>
      <c r="J45" s="277" t="s">
        <v>595</v>
      </c>
      <c r="K45" s="277"/>
    </row>
    <row r="46" spans="1:11" s="276" customFormat="1" x14ac:dyDescent="0.25">
      <c r="A46" s="270"/>
      <c r="B46" s="271" t="s">
        <v>699</v>
      </c>
      <c r="C46" s="272">
        <v>1500</v>
      </c>
      <c r="D46" s="278"/>
      <c r="E46" s="274">
        <f t="shared" si="0"/>
        <v>1500</v>
      </c>
      <c r="F46" s="272"/>
      <c r="G46" s="278">
        <v>1500</v>
      </c>
      <c r="H46" s="529"/>
      <c r="I46" s="277"/>
      <c r="J46" s="277" t="s">
        <v>595</v>
      </c>
      <c r="K46" s="277"/>
    </row>
    <row r="47" spans="1:11" s="276" customFormat="1" ht="31.5" x14ac:dyDescent="0.25">
      <c r="A47" s="270"/>
      <c r="B47" s="271" t="s">
        <v>700</v>
      </c>
      <c r="C47" s="272">
        <v>1880</v>
      </c>
      <c r="D47" s="278"/>
      <c r="E47" s="274">
        <f t="shared" si="0"/>
        <v>1880</v>
      </c>
      <c r="F47" s="272"/>
      <c r="G47" s="278">
        <v>1880</v>
      </c>
      <c r="H47" s="529"/>
      <c r="I47" s="277"/>
      <c r="J47" s="277" t="s">
        <v>595</v>
      </c>
      <c r="K47" s="277"/>
    </row>
    <row r="48" spans="1:11" s="276" customFormat="1" ht="31.5" x14ac:dyDescent="0.25">
      <c r="A48" s="270"/>
      <c r="B48" s="271" t="s">
        <v>701</v>
      </c>
      <c r="C48" s="272">
        <v>1500</v>
      </c>
      <c r="D48" s="278"/>
      <c r="E48" s="274">
        <f t="shared" si="0"/>
        <v>1500</v>
      </c>
      <c r="F48" s="272"/>
      <c r="G48" s="278">
        <v>1500</v>
      </c>
      <c r="H48" s="529"/>
      <c r="I48" s="277"/>
      <c r="J48" s="277" t="s">
        <v>595</v>
      </c>
      <c r="K48" s="277"/>
    </row>
    <row r="49" spans="1:11" s="276" customFormat="1" x14ac:dyDescent="0.25">
      <c r="A49" s="270"/>
      <c r="B49" s="271" t="s">
        <v>702</v>
      </c>
      <c r="C49" s="272">
        <v>250</v>
      </c>
      <c r="D49" s="278"/>
      <c r="E49" s="274">
        <f t="shared" si="0"/>
        <v>250</v>
      </c>
      <c r="F49" s="272"/>
      <c r="G49" s="278">
        <v>250</v>
      </c>
      <c r="H49" s="529"/>
      <c r="I49" s="277"/>
      <c r="J49" s="277" t="s">
        <v>595</v>
      </c>
      <c r="K49" s="277"/>
    </row>
    <row r="50" spans="1:11" s="276" customFormat="1" x14ac:dyDescent="0.25">
      <c r="A50" s="270"/>
      <c r="B50" s="271" t="s">
        <v>703</v>
      </c>
      <c r="C50" s="272">
        <v>3000</v>
      </c>
      <c r="D50" s="278"/>
      <c r="E50" s="274">
        <f t="shared" si="0"/>
        <v>3000</v>
      </c>
      <c r="F50" s="272"/>
      <c r="G50" s="278">
        <v>3000</v>
      </c>
      <c r="H50" s="529"/>
      <c r="I50" s="277"/>
      <c r="J50" s="277" t="s">
        <v>595</v>
      </c>
      <c r="K50" s="277"/>
    </row>
    <row r="51" spans="1:11" s="276" customFormat="1" ht="31.5" x14ac:dyDescent="0.25">
      <c r="A51" s="270"/>
      <c r="B51" s="271" t="s">
        <v>704</v>
      </c>
      <c r="C51" s="272">
        <v>3000</v>
      </c>
      <c r="D51" s="278"/>
      <c r="E51" s="274">
        <f t="shared" si="0"/>
        <v>3000</v>
      </c>
      <c r="F51" s="272"/>
      <c r="G51" s="278">
        <v>3000</v>
      </c>
      <c r="H51" s="529"/>
      <c r="I51" s="277"/>
      <c r="J51" s="277" t="s">
        <v>595</v>
      </c>
      <c r="K51" s="277"/>
    </row>
    <row r="52" spans="1:11" s="276" customFormat="1" x14ac:dyDescent="0.25">
      <c r="A52" s="270"/>
      <c r="B52" s="271" t="s">
        <v>705</v>
      </c>
      <c r="C52" s="272">
        <v>24790</v>
      </c>
      <c r="D52" s="278"/>
      <c r="E52" s="274">
        <f t="shared" si="0"/>
        <v>24790</v>
      </c>
      <c r="F52" s="272"/>
      <c r="G52" s="278">
        <v>24790</v>
      </c>
      <c r="H52" s="529"/>
      <c r="I52" s="277"/>
      <c r="J52" s="277" t="s">
        <v>595</v>
      </c>
      <c r="K52" s="277"/>
    </row>
    <row r="53" spans="1:11" s="276" customFormat="1" x14ac:dyDescent="0.25">
      <c r="A53" s="270"/>
      <c r="B53" s="271" t="s">
        <v>706</v>
      </c>
      <c r="C53" s="272">
        <v>2300</v>
      </c>
      <c r="D53" s="278"/>
      <c r="E53" s="274">
        <f t="shared" si="0"/>
        <v>2300</v>
      </c>
      <c r="F53" s="272"/>
      <c r="G53" s="278">
        <v>2300</v>
      </c>
      <c r="H53" s="529"/>
      <c r="I53" s="277"/>
      <c r="J53" s="277" t="s">
        <v>595</v>
      </c>
      <c r="K53" s="277"/>
    </row>
    <row r="54" spans="1:11" s="276" customFormat="1" x14ac:dyDescent="0.25">
      <c r="A54" s="270"/>
      <c r="B54" s="271" t="s">
        <v>707</v>
      </c>
      <c r="C54" s="272">
        <v>2000</v>
      </c>
      <c r="D54" s="278"/>
      <c r="E54" s="274">
        <f t="shared" si="0"/>
        <v>2000</v>
      </c>
      <c r="F54" s="272"/>
      <c r="G54" s="278">
        <v>2000</v>
      </c>
      <c r="H54" s="529"/>
      <c r="I54" s="277"/>
      <c r="J54" s="277" t="s">
        <v>595</v>
      </c>
      <c r="K54" s="277"/>
    </row>
    <row r="55" spans="1:11" s="276" customFormat="1" x14ac:dyDescent="0.25">
      <c r="A55" s="270"/>
      <c r="B55" s="271" t="s">
        <v>708</v>
      </c>
      <c r="C55" s="272">
        <v>500</v>
      </c>
      <c r="D55" s="278"/>
      <c r="E55" s="274">
        <f t="shared" si="0"/>
        <v>500</v>
      </c>
      <c r="F55" s="272"/>
      <c r="G55" s="278">
        <v>500</v>
      </c>
      <c r="H55" s="529"/>
      <c r="I55" s="277"/>
      <c r="J55" s="277" t="s">
        <v>595</v>
      </c>
      <c r="K55" s="277"/>
    </row>
    <row r="56" spans="1:11" s="276" customFormat="1" ht="31.5" x14ac:dyDescent="0.25">
      <c r="A56" s="270"/>
      <c r="B56" s="271" t="s">
        <v>709</v>
      </c>
      <c r="C56" s="272">
        <v>2484</v>
      </c>
      <c r="D56" s="278"/>
      <c r="E56" s="274">
        <f t="shared" si="0"/>
        <v>2484</v>
      </c>
      <c r="F56" s="272"/>
      <c r="G56" s="278">
        <f>300+2184</f>
        <v>2484</v>
      </c>
      <c r="H56" s="529"/>
      <c r="I56" s="277"/>
      <c r="J56" s="277" t="s">
        <v>595</v>
      </c>
      <c r="K56" s="277"/>
    </row>
    <row r="57" spans="1:11" s="276" customFormat="1" x14ac:dyDescent="0.25">
      <c r="A57" s="270"/>
      <c r="B57" s="271" t="s">
        <v>710</v>
      </c>
      <c r="C57" s="272">
        <v>2483</v>
      </c>
      <c r="D57" s="278"/>
      <c r="E57" s="274">
        <f t="shared" si="0"/>
        <v>2483</v>
      </c>
      <c r="F57" s="272"/>
      <c r="G57" s="278">
        <v>2483</v>
      </c>
      <c r="H57" s="529"/>
      <c r="I57" s="277"/>
      <c r="J57" s="277" t="s">
        <v>595</v>
      </c>
      <c r="K57" s="277"/>
    </row>
    <row r="58" spans="1:11" s="276" customFormat="1" x14ac:dyDescent="0.25">
      <c r="A58" s="270"/>
      <c r="B58" s="271" t="s">
        <v>711</v>
      </c>
      <c r="C58" s="272">
        <v>80000</v>
      </c>
      <c r="D58" s="278"/>
      <c r="E58" s="274">
        <f t="shared" si="0"/>
        <v>80000</v>
      </c>
      <c r="F58" s="272"/>
      <c r="G58" s="278">
        <v>80000</v>
      </c>
      <c r="H58" s="529"/>
      <c r="I58" s="277"/>
      <c r="J58" s="277" t="s">
        <v>595</v>
      </c>
      <c r="K58" s="277"/>
    </row>
    <row r="59" spans="1:11" s="276" customFormat="1" x14ac:dyDescent="0.25">
      <c r="A59" s="270"/>
      <c r="B59" s="271" t="s">
        <v>712</v>
      </c>
      <c r="C59" s="272">
        <v>1000</v>
      </c>
      <c r="D59" s="278"/>
      <c r="E59" s="274">
        <f t="shared" si="0"/>
        <v>1000</v>
      </c>
      <c r="F59" s="272"/>
      <c r="G59" s="278">
        <v>1000</v>
      </c>
      <c r="H59" s="529"/>
      <c r="I59" s="277"/>
      <c r="J59" s="277" t="s">
        <v>595</v>
      </c>
      <c r="K59" s="277"/>
    </row>
    <row r="60" spans="1:11" s="276" customFormat="1" x14ac:dyDescent="0.25">
      <c r="A60" s="270"/>
      <c r="B60" s="271" t="s">
        <v>713</v>
      </c>
      <c r="C60" s="272">
        <v>2000</v>
      </c>
      <c r="D60" s="278"/>
      <c r="E60" s="274">
        <f t="shared" si="0"/>
        <v>2000</v>
      </c>
      <c r="F60" s="272"/>
      <c r="G60" s="278">
        <v>2000</v>
      </c>
      <c r="H60" s="529"/>
      <c r="I60" s="277"/>
      <c r="J60" s="277" t="s">
        <v>595</v>
      </c>
      <c r="K60" s="277"/>
    </row>
    <row r="61" spans="1:11" s="276" customFormat="1" ht="31.5" x14ac:dyDescent="0.25">
      <c r="A61" s="270"/>
      <c r="B61" s="271" t="s">
        <v>714</v>
      </c>
      <c r="C61" s="272">
        <v>1000</v>
      </c>
      <c r="D61" s="278"/>
      <c r="E61" s="274">
        <f t="shared" si="0"/>
        <v>1000</v>
      </c>
      <c r="F61" s="272"/>
      <c r="G61" s="278">
        <v>1000</v>
      </c>
      <c r="H61" s="529"/>
      <c r="I61" s="277"/>
      <c r="J61" s="277" t="s">
        <v>595</v>
      </c>
      <c r="K61" s="277"/>
    </row>
    <row r="62" spans="1:11" s="276" customFormat="1" ht="31.5" x14ac:dyDescent="0.25">
      <c r="A62" s="270"/>
      <c r="B62" s="271" t="s">
        <v>715</v>
      </c>
      <c r="C62" s="272">
        <v>1000</v>
      </c>
      <c r="D62" s="278"/>
      <c r="E62" s="274">
        <f t="shared" si="0"/>
        <v>1000</v>
      </c>
      <c r="F62" s="272"/>
      <c r="G62" s="278">
        <v>1000</v>
      </c>
      <c r="H62" s="529"/>
      <c r="I62" s="277"/>
      <c r="J62" s="277" t="s">
        <v>595</v>
      </c>
      <c r="K62" s="277"/>
    </row>
    <row r="63" spans="1:11" s="276" customFormat="1" x14ac:dyDescent="0.25">
      <c r="A63" s="270"/>
      <c r="B63" s="271" t="s">
        <v>716</v>
      </c>
      <c r="C63" s="272">
        <v>2000</v>
      </c>
      <c r="D63" s="278"/>
      <c r="E63" s="274">
        <f t="shared" si="0"/>
        <v>2000</v>
      </c>
      <c r="F63" s="272"/>
      <c r="G63" s="278">
        <v>2000</v>
      </c>
      <c r="H63" s="529"/>
      <c r="I63" s="277"/>
      <c r="J63" s="277" t="s">
        <v>595</v>
      </c>
      <c r="K63" s="277"/>
    </row>
    <row r="64" spans="1:11" s="276" customFormat="1" ht="31.5" x14ac:dyDescent="0.25">
      <c r="A64" s="270"/>
      <c r="B64" s="271" t="s">
        <v>717</v>
      </c>
      <c r="C64" s="272">
        <v>1705</v>
      </c>
      <c r="D64" s="278">
        <v>3031</v>
      </c>
      <c r="E64" s="274">
        <f t="shared" ref="E64:E70" si="4">SUM(C64:D64)</f>
        <v>4736</v>
      </c>
      <c r="F64" s="272"/>
      <c r="G64" s="278">
        <f>4411-4411+448+4368-2184+1257+3031</f>
        <v>6920</v>
      </c>
      <c r="H64" s="529">
        <v>-2184</v>
      </c>
      <c r="I64" s="277"/>
      <c r="J64" s="277" t="s">
        <v>595</v>
      </c>
      <c r="K64" s="277"/>
    </row>
    <row r="65" spans="1:11" s="276" customFormat="1" ht="31.5" x14ac:dyDescent="0.25">
      <c r="A65" s="270"/>
      <c r="B65" s="271" t="s">
        <v>953</v>
      </c>
      <c r="C65" s="272">
        <v>5000</v>
      </c>
      <c r="D65" s="278"/>
      <c r="E65" s="274">
        <f t="shared" ref="E65" si="5">SUM(C65:D65)</f>
        <v>5000</v>
      </c>
      <c r="F65" s="272"/>
      <c r="G65" s="278">
        <v>5000</v>
      </c>
      <c r="H65" s="529"/>
      <c r="I65" s="277"/>
      <c r="J65" s="277" t="s">
        <v>595</v>
      </c>
      <c r="K65" s="277"/>
    </row>
    <row r="66" spans="1:11" s="276" customFormat="1" x14ac:dyDescent="0.25">
      <c r="A66" s="270"/>
      <c r="B66" s="271" t="s">
        <v>908</v>
      </c>
      <c r="C66" s="272">
        <v>1000</v>
      </c>
      <c r="D66" s="278"/>
      <c r="E66" s="274">
        <f t="shared" si="4"/>
        <v>1000</v>
      </c>
      <c r="F66" s="272"/>
      <c r="G66" s="278">
        <v>1000</v>
      </c>
      <c r="H66" s="529"/>
      <c r="I66" s="277"/>
      <c r="J66" s="277" t="s">
        <v>595</v>
      </c>
      <c r="K66" s="277"/>
    </row>
    <row r="67" spans="1:11" s="276" customFormat="1" x14ac:dyDescent="0.25">
      <c r="A67" s="270"/>
      <c r="B67" s="271" t="s">
        <v>909</v>
      </c>
      <c r="C67" s="272">
        <v>400</v>
      </c>
      <c r="D67" s="278"/>
      <c r="E67" s="274">
        <f t="shared" si="4"/>
        <v>400</v>
      </c>
      <c r="F67" s="272"/>
      <c r="G67" s="278">
        <v>400</v>
      </c>
      <c r="H67" s="529"/>
      <c r="I67" s="277"/>
      <c r="J67" s="277" t="s">
        <v>595</v>
      </c>
      <c r="K67" s="277"/>
    </row>
    <row r="68" spans="1:11" s="276" customFormat="1" x14ac:dyDescent="0.25">
      <c r="A68" s="270"/>
      <c r="B68" s="271" t="s">
        <v>910</v>
      </c>
      <c r="C68" s="272">
        <v>750</v>
      </c>
      <c r="D68" s="278"/>
      <c r="E68" s="274">
        <f t="shared" ref="E68" si="6">SUM(C68:D68)</f>
        <v>750</v>
      </c>
      <c r="F68" s="272"/>
      <c r="G68" s="278">
        <v>750</v>
      </c>
      <c r="H68" s="529"/>
      <c r="I68" s="277"/>
      <c r="J68" s="277" t="s">
        <v>595</v>
      </c>
      <c r="K68" s="277"/>
    </row>
    <row r="69" spans="1:11" s="276" customFormat="1" x14ac:dyDescent="0.25">
      <c r="A69" s="270"/>
      <c r="B69" s="271" t="s">
        <v>912</v>
      </c>
      <c r="C69" s="272">
        <v>300</v>
      </c>
      <c r="D69" s="278"/>
      <c r="E69" s="274">
        <f t="shared" si="4"/>
        <v>300</v>
      </c>
      <c r="F69" s="272"/>
      <c r="G69" s="278">
        <v>300</v>
      </c>
      <c r="H69" s="529"/>
      <c r="I69" s="277"/>
      <c r="J69" s="277" t="s">
        <v>595</v>
      </c>
      <c r="K69" s="277"/>
    </row>
    <row r="70" spans="1:11" s="276" customFormat="1" x14ac:dyDescent="0.25">
      <c r="A70" s="270"/>
      <c r="B70" s="271" t="s">
        <v>911</v>
      </c>
      <c r="C70" s="272">
        <v>508</v>
      </c>
      <c r="D70" s="278"/>
      <c r="E70" s="274">
        <f t="shared" si="4"/>
        <v>508</v>
      </c>
      <c r="F70" s="272"/>
      <c r="G70" s="278">
        <v>508</v>
      </c>
      <c r="H70" s="529"/>
      <c r="I70" s="277"/>
      <c r="J70" s="277" t="s">
        <v>595</v>
      </c>
      <c r="K70" s="277"/>
    </row>
    <row r="71" spans="1:11" s="276" customFormat="1" x14ac:dyDescent="0.25">
      <c r="A71" s="270"/>
      <c r="B71" s="271" t="s">
        <v>922</v>
      </c>
      <c r="C71" s="272">
        <v>3273</v>
      </c>
      <c r="D71" s="278"/>
      <c r="E71" s="274">
        <f t="shared" ref="E71:E72" si="7">SUM(C71:D71)</f>
        <v>3273</v>
      </c>
      <c r="F71" s="272"/>
      <c r="G71" s="278">
        <v>3273</v>
      </c>
      <c r="H71" s="529"/>
      <c r="I71" s="277"/>
      <c r="J71" s="277" t="s">
        <v>595</v>
      </c>
      <c r="K71" s="277"/>
    </row>
    <row r="72" spans="1:11" s="276" customFormat="1" x14ac:dyDescent="0.25">
      <c r="A72" s="270"/>
      <c r="B72" s="271" t="s">
        <v>943</v>
      </c>
      <c r="C72" s="272">
        <v>1100</v>
      </c>
      <c r="D72" s="278"/>
      <c r="E72" s="274">
        <f t="shared" si="7"/>
        <v>1100</v>
      </c>
      <c r="F72" s="272"/>
      <c r="G72" s="278">
        <v>1100</v>
      </c>
      <c r="H72" s="529"/>
      <c r="I72" s="277"/>
      <c r="J72" s="277" t="s">
        <v>595</v>
      </c>
      <c r="K72" s="277"/>
    </row>
    <row r="73" spans="1:11" s="276" customFormat="1" x14ac:dyDescent="0.25">
      <c r="A73" s="270"/>
      <c r="B73" s="271" t="s">
        <v>944</v>
      </c>
      <c r="C73" s="272">
        <v>1500</v>
      </c>
      <c r="D73" s="278"/>
      <c r="E73" s="274">
        <f t="shared" si="0"/>
        <v>1500</v>
      </c>
      <c r="F73" s="272"/>
      <c r="G73" s="278">
        <v>1500</v>
      </c>
      <c r="H73" s="529"/>
      <c r="I73" s="277"/>
      <c r="J73" s="277" t="s">
        <v>595</v>
      </c>
      <c r="K73" s="277"/>
    </row>
    <row r="74" spans="1:11" x14ac:dyDescent="0.25">
      <c r="A74" s="186"/>
      <c r="B74" s="175" t="s">
        <v>103</v>
      </c>
      <c r="C74" s="178">
        <f t="shared" ref="C74:D74" si="8">SUM(C75:C77)</f>
        <v>19910</v>
      </c>
      <c r="D74" s="178">
        <f t="shared" si="8"/>
        <v>0</v>
      </c>
      <c r="E74" s="178">
        <f t="shared" si="0"/>
        <v>19910</v>
      </c>
      <c r="F74" s="178">
        <f>SUM(F75:F77)</f>
        <v>168</v>
      </c>
      <c r="G74" s="178">
        <f t="shared" ref="G74:H74" si="9">SUM(G75:G77)</f>
        <v>20200</v>
      </c>
      <c r="H74" s="189">
        <f t="shared" si="9"/>
        <v>-458</v>
      </c>
      <c r="I74" s="176"/>
      <c r="J74" s="176" t="s">
        <v>595</v>
      </c>
      <c r="K74" s="176"/>
    </row>
    <row r="75" spans="1:11" x14ac:dyDescent="0.25">
      <c r="A75" s="186"/>
      <c r="B75" s="179" t="s">
        <v>114</v>
      </c>
      <c r="C75" s="182">
        <v>16355</v>
      </c>
      <c r="D75" s="182">
        <v>0</v>
      </c>
      <c r="E75" s="182">
        <f t="shared" si="0"/>
        <v>16355</v>
      </c>
      <c r="F75" s="182">
        <f>192-79</f>
        <v>113</v>
      </c>
      <c r="G75" s="182">
        <v>16700</v>
      </c>
      <c r="H75" s="517">
        <v>-458</v>
      </c>
      <c r="I75" s="250"/>
      <c r="J75" s="250" t="s">
        <v>595</v>
      </c>
      <c r="K75" s="250"/>
    </row>
    <row r="76" spans="1:11" x14ac:dyDescent="0.25">
      <c r="A76" s="186"/>
      <c r="B76" s="179" t="s">
        <v>115</v>
      </c>
      <c r="C76" s="182">
        <v>1055</v>
      </c>
      <c r="D76" s="182"/>
      <c r="E76" s="182">
        <f t="shared" si="0"/>
        <v>1055</v>
      </c>
      <c r="F76" s="182">
        <v>55</v>
      </c>
      <c r="G76" s="182">
        <v>1000</v>
      </c>
      <c r="H76" s="517"/>
      <c r="I76" s="250"/>
      <c r="J76" s="250" t="s">
        <v>595</v>
      </c>
      <c r="K76" s="250"/>
    </row>
    <row r="77" spans="1:11" x14ac:dyDescent="0.25">
      <c r="A77" s="186"/>
      <c r="B77" s="179" t="s">
        <v>116</v>
      </c>
      <c r="C77" s="182">
        <v>2500</v>
      </c>
      <c r="D77" s="182"/>
      <c r="E77" s="182">
        <f t="shared" si="0"/>
        <v>2500</v>
      </c>
      <c r="F77" s="182"/>
      <c r="G77" s="182">
        <v>2500</v>
      </c>
      <c r="H77" s="517"/>
      <c r="I77" s="250"/>
      <c r="J77" s="250" t="s">
        <v>595</v>
      </c>
      <c r="K77" s="250"/>
    </row>
    <row r="78" spans="1:11" x14ac:dyDescent="0.25">
      <c r="A78" s="186"/>
      <c r="B78" s="175" t="s">
        <v>126</v>
      </c>
      <c r="C78" s="178">
        <v>7168</v>
      </c>
      <c r="D78" s="178"/>
      <c r="E78" s="178">
        <f t="shared" si="0"/>
        <v>7168</v>
      </c>
      <c r="F78" s="178">
        <v>0</v>
      </c>
      <c r="G78" s="178">
        <v>7168</v>
      </c>
      <c r="H78" s="189"/>
      <c r="I78" s="176" t="s">
        <v>595</v>
      </c>
      <c r="J78" s="176" t="s">
        <v>595</v>
      </c>
      <c r="K78" s="176"/>
    </row>
    <row r="79" spans="1:11" x14ac:dyDescent="0.25">
      <c r="A79" s="186"/>
      <c r="B79" s="183" t="s">
        <v>81</v>
      </c>
      <c r="C79" s="173">
        <v>353479</v>
      </c>
      <c r="D79" s="173">
        <v>0</v>
      </c>
      <c r="E79" s="173">
        <f t="shared" si="0"/>
        <v>353479</v>
      </c>
      <c r="F79" s="173">
        <f>19558-1555</f>
        <v>18003</v>
      </c>
      <c r="G79" s="173">
        <f>299384+12192+4900+19000</f>
        <v>335476</v>
      </c>
      <c r="H79" s="177"/>
      <c r="I79" s="174" t="s">
        <v>595</v>
      </c>
      <c r="J79" s="174" t="s">
        <v>595</v>
      </c>
      <c r="K79" s="174"/>
    </row>
    <row r="80" spans="1:11" x14ac:dyDescent="0.25">
      <c r="A80" s="186"/>
      <c r="B80" s="183" t="s">
        <v>82</v>
      </c>
      <c r="C80" s="173">
        <v>349525</v>
      </c>
      <c r="D80" s="173">
        <v>0</v>
      </c>
      <c r="E80" s="173">
        <f t="shared" si="0"/>
        <v>349525</v>
      </c>
      <c r="F80" s="173">
        <v>0</v>
      </c>
      <c r="G80" s="173">
        <f>282770+65000+1755</f>
        <v>349525</v>
      </c>
      <c r="H80" s="177"/>
      <c r="I80" s="174" t="s">
        <v>595</v>
      </c>
      <c r="J80" s="174"/>
      <c r="K80" s="174"/>
    </row>
    <row r="81" spans="1:11" x14ac:dyDescent="0.25">
      <c r="A81" s="186"/>
      <c r="B81" s="93" t="s">
        <v>104</v>
      </c>
      <c r="C81" s="182">
        <v>254400</v>
      </c>
      <c r="D81" s="182">
        <v>0</v>
      </c>
      <c r="E81" s="182">
        <f t="shared" si="0"/>
        <v>254400</v>
      </c>
      <c r="F81" s="182"/>
      <c r="G81" s="182">
        <f>252645+1755</f>
        <v>254400</v>
      </c>
      <c r="H81" s="517"/>
      <c r="I81" s="250" t="s">
        <v>595</v>
      </c>
      <c r="J81" s="250"/>
      <c r="K81" s="250"/>
    </row>
    <row r="82" spans="1:11" x14ac:dyDescent="0.25">
      <c r="A82" s="186"/>
      <c r="B82" s="93" t="s">
        <v>718</v>
      </c>
      <c r="C82" s="182">
        <v>95000</v>
      </c>
      <c r="D82" s="182"/>
      <c r="E82" s="182">
        <f t="shared" si="0"/>
        <v>95000</v>
      </c>
      <c r="F82" s="182"/>
      <c r="G82" s="182">
        <f>30000+65000</f>
        <v>95000</v>
      </c>
      <c r="H82" s="517"/>
      <c r="I82" s="250" t="s">
        <v>595</v>
      </c>
      <c r="J82" s="250"/>
      <c r="K82" s="250"/>
    </row>
    <row r="83" spans="1:11" x14ac:dyDescent="0.25">
      <c r="A83" s="186"/>
      <c r="B83" s="183" t="s">
        <v>105</v>
      </c>
      <c r="C83" s="173">
        <v>90769</v>
      </c>
      <c r="D83" s="173"/>
      <c r="E83" s="173">
        <f t="shared" si="0"/>
        <v>90769</v>
      </c>
      <c r="F83" s="173"/>
      <c r="G83" s="173">
        <v>90769</v>
      </c>
      <c r="H83" s="177"/>
      <c r="I83" s="174"/>
      <c r="J83" s="174" t="s">
        <v>595</v>
      </c>
      <c r="K83" s="174"/>
    </row>
    <row r="84" spans="1:11" x14ac:dyDescent="0.25">
      <c r="A84" s="186"/>
      <c r="B84" s="179" t="s">
        <v>496</v>
      </c>
      <c r="C84" s="182">
        <v>11600</v>
      </c>
      <c r="D84" s="182"/>
      <c r="E84" s="182">
        <f t="shared" si="0"/>
        <v>11600</v>
      </c>
      <c r="F84" s="182"/>
      <c r="G84" s="182">
        <v>11600</v>
      </c>
      <c r="H84" s="517"/>
      <c r="I84" s="250"/>
      <c r="J84" s="250" t="s">
        <v>595</v>
      </c>
      <c r="K84" s="250"/>
    </row>
    <row r="85" spans="1:11" ht="31.5" x14ac:dyDescent="0.25">
      <c r="A85" s="186"/>
      <c r="B85" s="179" t="s">
        <v>597</v>
      </c>
      <c r="C85" s="182">
        <v>28000</v>
      </c>
      <c r="D85" s="182"/>
      <c r="E85" s="182">
        <f t="shared" si="0"/>
        <v>28000</v>
      </c>
      <c r="F85" s="182"/>
      <c r="G85" s="182">
        <v>28000</v>
      </c>
      <c r="H85" s="517"/>
      <c r="I85" s="250"/>
      <c r="J85" s="250" t="s">
        <v>595</v>
      </c>
      <c r="K85" s="250"/>
    </row>
    <row r="86" spans="1:11" ht="31.5" x14ac:dyDescent="0.25">
      <c r="A86" s="186"/>
      <c r="B86" s="179" t="s">
        <v>719</v>
      </c>
      <c r="C86" s="182">
        <v>2500</v>
      </c>
      <c r="D86" s="182"/>
      <c r="E86" s="182">
        <f t="shared" si="0"/>
        <v>2500</v>
      </c>
      <c r="F86" s="182"/>
      <c r="G86" s="182">
        <v>2500</v>
      </c>
      <c r="H86" s="517"/>
      <c r="I86" s="250"/>
      <c r="J86" s="250" t="s">
        <v>595</v>
      </c>
      <c r="K86" s="250"/>
    </row>
    <row r="87" spans="1:11" ht="31.5" x14ac:dyDescent="0.25">
      <c r="A87" s="186"/>
      <c r="B87" s="179" t="s">
        <v>497</v>
      </c>
      <c r="C87" s="182">
        <v>33669</v>
      </c>
      <c r="D87" s="182"/>
      <c r="E87" s="182">
        <f t="shared" si="0"/>
        <v>33669</v>
      </c>
      <c r="F87" s="182"/>
      <c r="G87" s="182">
        <v>33669</v>
      </c>
      <c r="H87" s="517"/>
      <c r="I87" s="250"/>
      <c r="J87" s="250" t="s">
        <v>595</v>
      </c>
      <c r="K87" s="250"/>
    </row>
    <row r="88" spans="1:11" x14ac:dyDescent="0.25">
      <c r="A88" s="186"/>
      <c r="B88" s="179" t="s">
        <v>234</v>
      </c>
      <c r="C88" s="182">
        <v>15000</v>
      </c>
      <c r="D88" s="182"/>
      <c r="E88" s="182">
        <f t="shared" si="0"/>
        <v>15000</v>
      </c>
      <c r="F88" s="182"/>
      <c r="G88" s="182">
        <v>15000</v>
      </c>
      <c r="H88" s="517"/>
      <c r="I88" s="250"/>
      <c r="J88" s="250" t="s">
        <v>595</v>
      </c>
      <c r="K88" s="250"/>
    </row>
    <row r="89" spans="1:11" x14ac:dyDescent="0.25">
      <c r="A89" s="186" t="s">
        <v>106</v>
      </c>
      <c r="B89" s="503" t="s">
        <v>107</v>
      </c>
      <c r="C89" s="184">
        <f t="shared" ref="C89:D89" si="10">SUM(C90:C91)</f>
        <v>191833</v>
      </c>
      <c r="D89" s="184">
        <f t="shared" si="10"/>
        <v>0</v>
      </c>
      <c r="E89" s="184">
        <f t="shared" si="0"/>
        <v>191833</v>
      </c>
      <c r="F89" s="184">
        <f>SUM(F90:F91)</f>
        <v>9</v>
      </c>
      <c r="G89" s="184">
        <f t="shared" ref="G89:H89" si="11">SUM(G90:G91)</f>
        <v>191824</v>
      </c>
      <c r="H89" s="184">
        <f t="shared" si="11"/>
        <v>0</v>
      </c>
      <c r="I89" s="185" t="s">
        <v>595</v>
      </c>
      <c r="J89" s="185"/>
      <c r="K89" s="185"/>
    </row>
    <row r="90" spans="1:11" x14ac:dyDescent="0.25">
      <c r="A90" s="186"/>
      <c r="B90" s="175" t="s">
        <v>235</v>
      </c>
      <c r="C90" s="178">
        <v>15000</v>
      </c>
      <c r="D90" s="178"/>
      <c r="E90" s="178">
        <f t="shared" si="0"/>
        <v>15000</v>
      </c>
      <c r="F90" s="178"/>
      <c r="G90" s="178">
        <v>15000</v>
      </c>
      <c r="H90" s="189"/>
      <c r="I90" s="176" t="s">
        <v>595</v>
      </c>
      <c r="J90" s="176"/>
      <c r="K90" s="176"/>
    </row>
    <row r="91" spans="1:11" x14ac:dyDescent="0.25">
      <c r="A91" s="186"/>
      <c r="B91" s="175" t="s">
        <v>83</v>
      </c>
      <c r="C91" s="178">
        <v>176833</v>
      </c>
      <c r="D91" s="178">
        <f>4560-4560</f>
        <v>0</v>
      </c>
      <c r="E91" s="178">
        <f t="shared" si="0"/>
        <v>176833</v>
      </c>
      <c r="F91" s="178">
        <v>9</v>
      </c>
      <c r="G91" s="178">
        <f>175000+1824+2000-2000</f>
        <v>176824</v>
      </c>
      <c r="H91" s="189"/>
      <c r="I91" s="176" t="s">
        <v>595</v>
      </c>
      <c r="J91" s="176"/>
      <c r="K91" s="176"/>
    </row>
    <row r="92" spans="1:11" x14ac:dyDescent="0.25">
      <c r="A92" s="186"/>
      <c r="B92" s="179" t="s">
        <v>720</v>
      </c>
      <c r="C92" s="180">
        <v>148000</v>
      </c>
      <c r="D92" s="180"/>
      <c r="E92" s="180">
        <f t="shared" si="0"/>
        <v>148000</v>
      </c>
      <c r="F92" s="180"/>
      <c r="G92" s="180">
        <f>150000-2000</f>
        <v>148000</v>
      </c>
      <c r="H92" s="530"/>
      <c r="I92" s="181" t="s">
        <v>595</v>
      </c>
      <c r="J92" s="181"/>
      <c r="K92" s="181"/>
    </row>
    <row r="93" spans="1:11" x14ac:dyDescent="0.25">
      <c r="A93" s="186" t="s">
        <v>108</v>
      </c>
      <c r="B93" s="183" t="s">
        <v>321</v>
      </c>
      <c r="C93" s="184">
        <f t="shared" ref="C93:D93" si="12">SUM(C94:C97)</f>
        <v>33693215</v>
      </c>
      <c r="D93" s="184">
        <f t="shared" si="12"/>
        <v>1012475</v>
      </c>
      <c r="E93" s="184">
        <f t="shared" si="0"/>
        <v>34705690</v>
      </c>
      <c r="F93" s="184">
        <f>SUM(F94:F97)</f>
        <v>334326</v>
      </c>
      <c r="G93" s="184">
        <f t="shared" ref="G93:H93" si="13">SUM(G94:G97)</f>
        <v>34371364</v>
      </c>
      <c r="H93" s="184">
        <f t="shared" si="13"/>
        <v>0</v>
      </c>
      <c r="I93" s="185" t="s">
        <v>595</v>
      </c>
      <c r="J93" s="185" t="s">
        <v>595</v>
      </c>
      <c r="K93" s="185"/>
    </row>
    <row r="94" spans="1:11" x14ac:dyDescent="0.25">
      <c r="A94" s="186"/>
      <c r="B94" s="175" t="s">
        <v>593</v>
      </c>
      <c r="C94" s="178">
        <v>2105122</v>
      </c>
      <c r="D94" s="178">
        <f>1+1+1+1+1-5</f>
        <v>0</v>
      </c>
      <c r="E94" s="178">
        <f t="shared" si="0"/>
        <v>2105122</v>
      </c>
      <c r="F94" s="178">
        <v>20520</v>
      </c>
      <c r="G94" s="178">
        <f>1848197+11243+31398+10000+26445+38211+10000-7000+15000+5858+95250+1+1+1+1+1-5</f>
        <v>2084602</v>
      </c>
      <c r="H94" s="189"/>
      <c r="I94" s="176" t="s">
        <v>595</v>
      </c>
      <c r="J94" s="176"/>
      <c r="K94" s="176"/>
    </row>
    <row r="95" spans="1:11" x14ac:dyDescent="0.25">
      <c r="A95" s="186"/>
      <c r="B95" s="175" t="s">
        <v>84</v>
      </c>
      <c r="C95" s="178">
        <v>30409855</v>
      </c>
      <c r="D95" s="178">
        <f>-126195+28639+1+1+90005+1+792498+126195</f>
        <v>911145</v>
      </c>
      <c r="E95" s="178">
        <f t="shared" si="0"/>
        <v>31321000</v>
      </c>
      <c r="F95" s="178">
        <f>271592-94-385</f>
        <v>271113</v>
      </c>
      <c r="G95" s="178">
        <f>30136333+34613-7742+18+40000+5542+15066-10000-105000+56000+101600-2850+16422-6+11455+24905+10040-624+30000+23961-5858-374030-19135+51497-82465+189000-126195+28639+1+1+90005+1+792498+126195</f>
        <v>31049887</v>
      </c>
      <c r="H95" s="189"/>
      <c r="I95" s="176" t="s">
        <v>595</v>
      </c>
      <c r="J95" s="176" t="s">
        <v>595</v>
      </c>
      <c r="K95" s="176"/>
    </row>
    <row r="96" spans="1:11" x14ac:dyDescent="0.25">
      <c r="A96" s="186"/>
      <c r="B96" s="504" t="s">
        <v>498</v>
      </c>
      <c r="C96" s="178">
        <v>1160880</v>
      </c>
      <c r="D96" s="178">
        <f>18746+254+68716+12409+1191</f>
        <v>101316</v>
      </c>
      <c r="E96" s="178">
        <f t="shared" si="0"/>
        <v>1262196</v>
      </c>
      <c r="F96" s="178">
        <v>42693</v>
      </c>
      <c r="G96" s="178">
        <f>992853+25334+100000+18746+254+68716+12409+1191</f>
        <v>1219503</v>
      </c>
      <c r="H96" s="189"/>
      <c r="I96" s="176" t="s">
        <v>595</v>
      </c>
      <c r="J96" s="176"/>
      <c r="K96" s="176"/>
    </row>
    <row r="97" spans="1:12" x14ac:dyDescent="0.25">
      <c r="A97" s="186"/>
      <c r="B97" s="504" t="s">
        <v>110</v>
      </c>
      <c r="C97" s="178">
        <v>17358</v>
      </c>
      <c r="D97" s="178">
        <v>14</v>
      </c>
      <c r="E97" s="178">
        <f t="shared" si="0"/>
        <v>17372</v>
      </c>
      <c r="F97" s="178">
        <v>0</v>
      </c>
      <c r="G97" s="178">
        <f>17358+14</f>
        <v>17372</v>
      </c>
      <c r="H97" s="189"/>
      <c r="I97" s="176" t="s">
        <v>595</v>
      </c>
      <c r="J97" s="176"/>
      <c r="K97" s="176"/>
    </row>
    <row r="98" spans="1:12" x14ac:dyDescent="0.25">
      <c r="A98" s="186" t="s">
        <v>85</v>
      </c>
      <c r="B98" s="183" t="s">
        <v>63</v>
      </c>
      <c r="C98" s="173">
        <f>SUM(C104,C99)</f>
        <v>1760791</v>
      </c>
      <c r="D98" s="173">
        <f>SUM(D104,D99)</f>
        <v>42144</v>
      </c>
      <c r="E98" s="173">
        <f t="shared" si="0"/>
        <v>1802935</v>
      </c>
      <c r="F98" s="173">
        <f>SUM(F104,F99)</f>
        <v>2480</v>
      </c>
      <c r="G98" s="173">
        <f>SUM(G104,G99)</f>
        <v>1800455</v>
      </c>
      <c r="H98" s="177">
        <f>SUM(H104,H99)</f>
        <v>0</v>
      </c>
      <c r="I98" s="174" t="s">
        <v>595</v>
      </c>
      <c r="J98" s="174" t="s">
        <v>595</v>
      </c>
      <c r="K98" s="174"/>
    </row>
    <row r="99" spans="1:12" x14ac:dyDescent="0.25">
      <c r="A99" s="186"/>
      <c r="B99" s="504" t="s">
        <v>86</v>
      </c>
      <c r="C99" s="178">
        <v>1749695</v>
      </c>
      <c r="D99" s="178">
        <f>1+356+2650+9812+25374+3951</f>
        <v>42144</v>
      </c>
      <c r="E99" s="178">
        <f t="shared" si="0"/>
        <v>1791839</v>
      </c>
      <c r="F99" s="178">
        <v>2384</v>
      </c>
      <c r="G99" s="178">
        <f>1390801+48945+76527+10*7000+11152+100+1905+5965+3600+43000+19416+3000+64400+1590-42000+19584+297+28450+579+1+356+2650+9812+25374+3951</f>
        <v>1789455</v>
      </c>
      <c r="H99" s="189"/>
      <c r="I99" s="176" t="s">
        <v>595</v>
      </c>
      <c r="J99" s="176" t="s">
        <v>595</v>
      </c>
      <c r="K99" s="176"/>
    </row>
    <row r="100" spans="1:12" x14ac:dyDescent="0.25">
      <c r="A100" s="186"/>
      <c r="B100" s="93" t="s">
        <v>721</v>
      </c>
      <c r="C100" s="182">
        <v>20000</v>
      </c>
      <c r="D100" s="182"/>
      <c r="E100" s="182">
        <f t="shared" si="0"/>
        <v>20000</v>
      </c>
      <c r="F100" s="182"/>
      <c r="G100" s="182">
        <v>20000</v>
      </c>
      <c r="H100" s="517"/>
      <c r="I100" s="250"/>
      <c r="J100" s="250" t="s">
        <v>595</v>
      </c>
      <c r="K100" s="250"/>
    </row>
    <row r="101" spans="1:12" x14ac:dyDescent="0.25">
      <c r="A101" s="186"/>
      <c r="B101" s="93" t="s">
        <v>823</v>
      </c>
      <c r="C101" s="182">
        <v>669948</v>
      </c>
      <c r="D101" s="182">
        <f>2650+9812</f>
        <v>12462</v>
      </c>
      <c r="E101" s="182">
        <f t="shared" si="0"/>
        <v>682410</v>
      </c>
      <c r="F101" s="182"/>
      <c r="G101" s="182">
        <f>381000+48945+76527+10*7000+64400-42000+19584+19416+3000+626+28450+2650+9812</f>
        <v>682410</v>
      </c>
      <c r="H101" s="517"/>
      <c r="I101" s="250" t="s">
        <v>595</v>
      </c>
      <c r="J101" s="250"/>
      <c r="K101" s="250"/>
      <c r="L101" s="881"/>
    </row>
    <row r="102" spans="1:12" ht="31.5" x14ac:dyDescent="0.25">
      <c r="A102" s="186"/>
      <c r="B102" s="93" t="s">
        <v>926</v>
      </c>
      <c r="C102" s="182">
        <v>527977</v>
      </c>
      <c r="D102" s="182"/>
      <c r="E102" s="182">
        <f>SUM(C102:D102)</f>
        <v>527977</v>
      </c>
      <c r="F102" s="182"/>
      <c r="G102" s="182">
        <f>381000+76527+6*7000+3000+19416-42000+19584+28450</f>
        <v>527977</v>
      </c>
      <c r="H102" s="517"/>
      <c r="I102" s="250" t="s">
        <v>595</v>
      </c>
      <c r="J102" s="250"/>
      <c r="K102" s="250"/>
      <c r="L102" s="881"/>
    </row>
    <row r="103" spans="1:12" x14ac:dyDescent="0.25">
      <c r="A103" s="186"/>
      <c r="B103" s="504" t="s">
        <v>842</v>
      </c>
      <c r="C103" s="178">
        <v>11152</v>
      </c>
      <c r="D103" s="178"/>
      <c r="E103" s="178">
        <f t="shared" ref="E103" si="14">SUM(C103:D103)</f>
        <v>11152</v>
      </c>
      <c r="F103" s="178"/>
      <c r="G103" s="178">
        <v>11152</v>
      </c>
      <c r="H103" s="189"/>
      <c r="I103" s="176"/>
      <c r="J103" s="176" t="s">
        <v>595</v>
      </c>
      <c r="K103" s="176"/>
    </row>
    <row r="104" spans="1:12" x14ac:dyDescent="0.25">
      <c r="A104" s="186"/>
      <c r="B104" s="504" t="s">
        <v>253</v>
      </c>
      <c r="C104" s="178">
        <v>11096</v>
      </c>
      <c r="D104" s="178"/>
      <c r="E104" s="178">
        <f t="shared" si="0"/>
        <v>11096</v>
      </c>
      <c r="F104" s="178">
        <f>333-237</f>
        <v>96</v>
      </c>
      <c r="G104" s="178">
        <v>11000</v>
      </c>
      <c r="H104" s="189"/>
      <c r="I104" s="176"/>
      <c r="J104" s="176" t="s">
        <v>595</v>
      </c>
      <c r="K104" s="176"/>
    </row>
    <row r="105" spans="1:12" x14ac:dyDescent="0.25">
      <c r="A105" s="186" t="s">
        <v>87</v>
      </c>
      <c r="B105" s="183" t="s">
        <v>64</v>
      </c>
      <c r="C105" s="184">
        <f>SUM(C114,C112,C108,C106:C107)</f>
        <v>8131484</v>
      </c>
      <c r="D105" s="184">
        <f>SUM(D114,D112,D108,D106:D107)</f>
        <v>1</v>
      </c>
      <c r="E105" s="184">
        <f t="shared" si="0"/>
        <v>8131485</v>
      </c>
      <c r="F105" s="184">
        <f>SUM(F114,F112,F108,F106:F107)</f>
        <v>0</v>
      </c>
      <c r="G105" s="184">
        <f>SUM(G114,G112,G108,G106:G107)</f>
        <v>8131485</v>
      </c>
      <c r="H105" s="184">
        <f>SUM(H114,H112,H108,H106:H107)</f>
        <v>0</v>
      </c>
      <c r="I105" s="185" t="s">
        <v>595</v>
      </c>
      <c r="J105" s="185" t="s">
        <v>595</v>
      </c>
      <c r="K105" s="185"/>
    </row>
    <row r="106" spans="1:12" x14ac:dyDescent="0.25">
      <c r="A106" s="186"/>
      <c r="B106" s="175" t="s">
        <v>88</v>
      </c>
      <c r="C106" s="178">
        <v>7108860</v>
      </c>
      <c r="D106" s="178"/>
      <c r="E106" s="178">
        <f t="shared" si="0"/>
        <v>7108860</v>
      </c>
      <c r="F106" s="178"/>
      <c r="G106" s="178">
        <f>6577274+330000+201586</f>
        <v>7108860</v>
      </c>
      <c r="H106" s="189"/>
      <c r="I106" s="176" t="s">
        <v>595</v>
      </c>
      <c r="J106" s="176"/>
      <c r="K106" s="176"/>
    </row>
    <row r="107" spans="1:12" x14ac:dyDescent="0.25">
      <c r="A107" s="186"/>
      <c r="B107" s="175" t="s">
        <v>89</v>
      </c>
      <c r="C107" s="178">
        <v>71513</v>
      </c>
      <c r="D107" s="178"/>
      <c r="E107" s="178">
        <f t="shared" si="0"/>
        <v>71513</v>
      </c>
      <c r="F107" s="178"/>
      <c r="G107" s="178">
        <v>71513</v>
      </c>
      <c r="H107" s="189"/>
      <c r="I107" s="176" t="s">
        <v>595</v>
      </c>
      <c r="J107" s="176" t="s">
        <v>595</v>
      </c>
      <c r="K107" s="176"/>
    </row>
    <row r="108" spans="1:12" x14ac:dyDescent="0.25">
      <c r="A108" s="186"/>
      <c r="B108" s="504" t="s">
        <v>277</v>
      </c>
      <c r="C108" s="178">
        <v>906450</v>
      </c>
      <c r="D108" s="178"/>
      <c r="E108" s="178">
        <f t="shared" ref="E108:E144" si="15">SUM(C108:D108)</f>
        <v>906450</v>
      </c>
      <c r="F108" s="178"/>
      <c r="G108" s="178">
        <f>793000+57856+55594</f>
        <v>906450</v>
      </c>
      <c r="H108" s="189"/>
      <c r="I108" s="176"/>
      <c r="J108" s="176" t="s">
        <v>595</v>
      </c>
      <c r="K108" s="176"/>
    </row>
    <row r="109" spans="1:12" x14ac:dyDescent="0.25">
      <c r="A109" s="186"/>
      <c r="B109" s="93" t="s">
        <v>499</v>
      </c>
      <c r="C109" s="182">
        <v>813450</v>
      </c>
      <c r="D109" s="182"/>
      <c r="E109" s="182">
        <f t="shared" si="15"/>
        <v>813450</v>
      </c>
      <c r="F109" s="182"/>
      <c r="G109" s="182">
        <f>700000+57856+55594</f>
        <v>813450</v>
      </c>
      <c r="H109" s="517"/>
      <c r="I109" s="250"/>
      <c r="J109" s="250" t="s">
        <v>595</v>
      </c>
      <c r="K109" s="250"/>
    </row>
    <row r="110" spans="1:12" ht="31.5" x14ac:dyDescent="0.25">
      <c r="A110" s="186"/>
      <c r="B110" s="93" t="s">
        <v>236</v>
      </c>
      <c r="C110" s="182">
        <v>63000</v>
      </c>
      <c r="D110" s="182"/>
      <c r="E110" s="182">
        <f t="shared" si="15"/>
        <v>63000</v>
      </c>
      <c r="F110" s="182"/>
      <c r="G110" s="182">
        <v>63000</v>
      </c>
      <c r="H110" s="517"/>
      <c r="I110" s="250"/>
      <c r="J110" s="250" t="s">
        <v>595</v>
      </c>
      <c r="K110" s="250"/>
    </row>
    <row r="111" spans="1:12" ht="31.5" x14ac:dyDescent="0.25">
      <c r="A111" s="186"/>
      <c r="B111" s="93" t="s">
        <v>722</v>
      </c>
      <c r="C111" s="182">
        <v>30000</v>
      </c>
      <c r="D111" s="182"/>
      <c r="E111" s="182">
        <f t="shared" si="15"/>
        <v>30000</v>
      </c>
      <c r="F111" s="182"/>
      <c r="G111" s="182">
        <v>30000</v>
      </c>
      <c r="H111" s="517"/>
      <c r="I111" s="250"/>
      <c r="J111" s="250" t="s">
        <v>595</v>
      </c>
      <c r="K111" s="250"/>
    </row>
    <row r="112" spans="1:12" x14ac:dyDescent="0.25">
      <c r="A112" s="186"/>
      <c r="B112" s="504" t="s">
        <v>598</v>
      </c>
      <c r="C112" s="178">
        <v>39504</v>
      </c>
      <c r="D112" s="178"/>
      <c r="E112" s="178">
        <f t="shared" si="15"/>
        <v>39504</v>
      </c>
      <c r="F112" s="178"/>
      <c r="G112" s="178">
        <f>50674+6-11176</f>
        <v>39504</v>
      </c>
      <c r="H112" s="189"/>
      <c r="I112" s="176" t="s">
        <v>595</v>
      </c>
      <c r="J112" s="176" t="s">
        <v>595</v>
      </c>
      <c r="K112" s="176"/>
    </row>
    <row r="113" spans="1:11" x14ac:dyDescent="0.25">
      <c r="A113" s="186"/>
      <c r="B113" s="93" t="s">
        <v>278</v>
      </c>
      <c r="C113" s="182">
        <v>7000</v>
      </c>
      <c r="D113" s="182"/>
      <c r="E113" s="182">
        <f t="shared" si="15"/>
        <v>7000</v>
      </c>
      <c r="F113" s="182"/>
      <c r="G113" s="182">
        <v>7000</v>
      </c>
      <c r="H113" s="517"/>
      <c r="I113" s="250"/>
      <c r="J113" s="250" t="s">
        <v>595</v>
      </c>
      <c r="K113" s="250"/>
    </row>
    <row r="114" spans="1:11" ht="16.5" customHeight="1" x14ac:dyDescent="0.25">
      <c r="A114" s="186"/>
      <c r="B114" s="175" t="s">
        <v>90</v>
      </c>
      <c r="C114" s="178">
        <v>5157</v>
      </c>
      <c r="D114" s="178">
        <v>1</v>
      </c>
      <c r="E114" s="178">
        <f t="shared" si="15"/>
        <v>5158</v>
      </c>
      <c r="F114" s="178"/>
      <c r="G114" s="178">
        <f>5157+1</f>
        <v>5158</v>
      </c>
      <c r="H114" s="189"/>
      <c r="I114" s="176"/>
      <c r="J114" s="176" t="s">
        <v>595</v>
      </c>
      <c r="K114" s="176"/>
    </row>
    <row r="115" spans="1:11" x14ac:dyDescent="0.25">
      <c r="A115" s="186" t="s">
        <v>91</v>
      </c>
      <c r="B115" s="183" t="s">
        <v>65</v>
      </c>
      <c r="C115" s="184">
        <f>SUM(C224,C220,C208,C205,C144,C131,C116)</f>
        <v>2711743</v>
      </c>
      <c r="D115" s="184">
        <f>SUM(D224,D220,D208,D205,D144,D131,D116)</f>
        <v>39055</v>
      </c>
      <c r="E115" s="184">
        <f t="shared" si="15"/>
        <v>2750798</v>
      </c>
      <c r="F115" s="184">
        <f>SUM(F224,F220,F208,F205,F144,F131,F116)</f>
        <v>1468</v>
      </c>
      <c r="G115" s="184">
        <f>SUM(G224,G220,G208,G205,G144,G131,G116)</f>
        <v>2816100</v>
      </c>
      <c r="H115" s="184">
        <f>SUM(H224,H220,H208,H205,H144,H131,H116)</f>
        <v>-66770</v>
      </c>
      <c r="I115" s="185" t="s">
        <v>595</v>
      </c>
      <c r="J115" s="185" t="s">
        <v>595</v>
      </c>
      <c r="K115" s="185"/>
    </row>
    <row r="116" spans="1:11" x14ac:dyDescent="0.25">
      <c r="A116" s="186"/>
      <c r="B116" s="175" t="s">
        <v>92</v>
      </c>
      <c r="C116" s="178">
        <v>282514</v>
      </c>
      <c r="D116" s="178">
        <v>1</v>
      </c>
      <c r="E116" s="178">
        <f t="shared" si="15"/>
        <v>282515</v>
      </c>
      <c r="F116" s="178">
        <f>1591-1485</f>
        <v>106</v>
      </c>
      <c r="G116" s="178">
        <f>310931-11455-24905+7987+1</f>
        <v>282559</v>
      </c>
      <c r="H116" s="189">
        <v>-150</v>
      </c>
      <c r="I116" s="176" t="s">
        <v>595</v>
      </c>
      <c r="J116" s="176" t="s">
        <v>595</v>
      </c>
      <c r="K116" s="176"/>
    </row>
    <row r="117" spans="1:11" s="282" customFormat="1" ht="31.5" x14ac:dyDescent="0.25">
      <c r="A117" s="279"/>
      <c r="B117" s="280" t="s">
        <v>599</v>
      </c>
      <c r="C117" s="281">
        <v>7022</v>
      </c>
      <c r="D117" s="278">
        <v>1</v>
      </c>
      <c r="E117" s="274">
        <f t="shared" si="15"/>
        <v>7023</v>
      </c>
      <c r="F117" s="281"/>
      <c r="G117" s="278">
        <f>7022+1</f>
        <v>7023</v>
      </c>
      <c r="H117" s="529"/>
      <c r="I117" s="277" t="s">
        <v>595</v>
      </c>
      <c r="J117" s="277"/>
      <c r="K117" s="277"/>
    </row>
    <row r="118" spans="1:11" s="282" customFormat="1" ht="31.5" x14ac:dyDescent="0.25">
      <c r="A118" s="279"/>
      <c r="B118" s="280" t="s">
        <v>125</v>
      </c>
      <c r="C118" s="281">
        <v>2174</v>
      </c>
      <c r="D118" s="278"/>
      <c r="E118" s="274">
        <f t="shared" si="15"/>
        <v>2174</v>
      </c>
      <c r="F118" s="281"/>
      <c r="G118" s="278">
        <v>2174</v>
      </c>
      <c r="H118" s="529"/>
      <c r="I118" s="277" t="s">
        <v>595</v>
      </c>
      <c r="J118" s="277"/>
      <c r="K118" s="277"/>
    </row>
    <row r="119" spans="1:11" s="282" customFormat="1" ht="31.5" x14ac:dyDescent="0.25">
      <c r="A119" s="279"/>
      <c r="B119" s="280" t="s">
        <v>600</v>
      </c>
      <c r="C119" s="281">
        <v>6000</v>
      </c>
      <c r="D119" s="278"/>
      <c r="E119" s="274">
        <f t="shared" si="15"/>
        <v>6000</v>
      </c>
      <c r="F119" s="281"/>
      <c r="G119" s="278">
        <v>6000</v>
      </c>
      <c r="H119" s="529"/>
      <c r="I119" s="277"/>
      <c r="J119" s="277" t="s">
        <v>595</v>
      </c>
      <c r="K119" s="277"/>
    </row>
    <row r="120" spans="1:11" s="282" customFormat="1" x14ac:dyDescent="0.25">
      <c r="A120" s="279"/>
      <c r="B120" s="280" t="s">
        <v>601</v>
      </c>
      <c r="C120" s="281">
        <v>13500</v>
      </c>
      <c r="D120" s="278"/>
      <c r="E120" s="274">
        <f t="shared" si="15"/>
        <v>13500</v>
      </c>
      <c r="F120" s="281"/>
      <c r="G120" s="278">
        <v>13500</v>
      </c>
      <c r="H120" s="529"/>
      <c r="I120" s="277"/>
      <c r="J120" s="277" t="s">
        <v>595</v>
      </c>
      <c r="K120" s="277"/>
    </row>
    <row r="121" spans="1:11" s="282" customFormat="1" ht="31.5" x14ac:dyDescent="0.25">
      <c r="A121" s="279"/>
      <c r="B121" s="280" t="s">
        <v>602</v>
      </c>
      <c r="C121" s="281">
        <v>500</v>
      </c>
      <c r="D121" s="278"/>
      <c r="E121" s="274">
        <f t="shared" si="15"/>
        <v>500</v>
      </c>
      <c r="F121" s="281"/>
      <c r="G121" s="278">
        <v>500</v>
      </c>
      <c r="H121" s="529"/>
      <c r="I121" s="277"/>
      <c r="J121" s="277" t="s">
        <v>595</v>
      </c>
      <c r="K121" s="277"/>
    </row>
    <row r="122" spans="1:11" s="282" customFormat="1" x14ac:dyDescent="0.25">
      <c r="A122" s="279"/>
      <c r="B122" s="280" t="s">
        <v>723</v>
      </c>
      <c r="C122" s="281">
        <v>129555</v>
      </c>
      <c r="D122" s="278"/>
      <c r="E122" s="274">
        <f t="shared" si="15"/>
        <v>129555</v>
      </c>
      <c r="F122" s="281">
        <v>10</v>
      </c>
      <c r="G122" s="278">
        <f>141000-11455</f>
        <v>129545</v>
      </c>
      <c r="H122" s="529"/>
      <c r="I122" s="277"/>
      <c r="J122" s="277" t="s">
        <v>595</v>
      </c>
      <c r="K122" s="277"/>
    </row>
    <row r="123" spans="1:11" s="282" customFormat="1" x14ac:dyDescent="0.25">
      <c r="A123" s="279"/>
      <c r="B123" s="280" t="s">
        <v>603</v>
      </c>
      <c r="C123" s="281">
        <v>22081</v>
      </c>
      <c r="D123" s="278"/>
      <c r="E123" s="274">
        <f t="shared" si="15"/>
        <v>22081</v>
      </c>
      <c r="F123" s="281">
        <f>1581-1485</f>
        <v>96</v>
      </c>
      <c r="G123" s="278">
        <v>21985</v>
      </c>
      <c r="H123" s="529"/>
      <c r="I123" s="277"/>
      <c r="J123" s="277" t="s">
        <v>595</v>
      </c>
      <c r="K123" s="277"/>
    </row>
    <row r="124" spans="1:11" s="282" customFormat="1" x14ac:dyDescent="0.25">
      <c r="A124" s="279"/>
      <c r="B124" s="280" t="s">
        <v>500</v>
      </c>
      <c r="C124" s="281">
        <v>100</v>
      </c>
      <c r="D124" s="278"/>
      <c r="E124" s="274">
        <f t="shared" si="15"/>
        <v>100</v>
      </c>
      <c r="F124" s="281"/>
      <c r="G124" s="278">
        <v>100</v>
      </c>
      <c r="H124" s="529"/>
      <c r="I124" s="277"/>
      <c r="J124" s="277" t="s">
        <v>595</v>
      </c>
      <c r="K124" s="277"/>
    </row>
    <row r="125" spans="1:11" s="282" customFormat="1" ht="31.5" x14ac:dyDescent="0.25">
      <c r="A125" s="279"/>
      <c r="B125" s="280" t="s">
        <v>501</v>
      </c>
      <c r="C125" s="281">
        <v>23087</v>
      </c>
      <c r="D125" s="278"/>
      <c r="E125" s="274">
        <f t="shared" si="15"/>
        <v>23087</v>
      </c>
      <c r="F125" s="281"/>
      <c r="G125" s="278">
        <f>15100+7987</f>
        <v>23087</v>
      </c>
      <c r="H125" s="529"/>
      <c r="I125" s="277"/>
      <c r="J125" s="277" t="s">
        <v>595</v>
      </c>
      <c r="K125" s="277"/>
    </row>
    <row r="126" spans="1:11" s="282" customFormat="1" ht="31.5" x14ac:dyDescent="0.25">
      <c r="A126" s="279"/>
      <c r="B126" s="280" t="s">
        <v>502</v>
      </c>
      <c r="C126" s="281">
        <v>3400</v>
      </c>
      <c r="D126" s="278"/>
      <c r="E126" s="274">
        <f t="shared" si="15"/>
        <v>3400</v>
      </c>
      <c r="F126" s="281"/>
      <c r="G126" s="278">
        <v>3400</v>
      </c>
      <c r="H126" s="529"/>
      <c r="I126" s="277"/>
      <c r="J126" s="277" t="s">
        <v>595</v>
      </c>
      <c r="K126" s="277"/>
    </row>
    <row r="127" spans="1:11" s="282" customFormat="1" x14ac:dyDescent="0.25">
      <c r="A127" s="279"/>
      <c r="B127" s="280" t="s">
        <v>724</v>
      </c>
      <c r="C127" s="281">
        <v>4000</v>
      </c>
      <c r="D127" s="278"/>
      <c r="E127" s="274">
        <f t="shared" si="15"/>
        <v>4000</v>
      </c>
      <c r="F127" s="281"/>
      <c r="G127" s="278">
        <f>5000-1000</f>
        <v>4000</v>
      </c>
      <c r="H127" s="529"/>
      <c r="I127" s="277"/>
      <c r="J127" s="277" t="s">
        <v>595</v>
      </c>
      <c r="K127" s="277"/>
    </row>
    <row r="128" spans="1:11" s="282" customFormat="1" ht="31.5" x14ac:dyDescent="0.25">
      <c r="A128" s="279"/>
      <c r="B128" s="280" t="s">
        <v>725</v>
      </c>
      <c r="C128" s="281">
        <v>15095</v>
      </c>
      <c r="D128" s="278"/>
      <c r="E128" s="274">
        <f t="shared" si="15"/>
        <v>15095</v>
      </c>
      <c r="F128" s="281"/>
      <c r="G128" s="278">
        <v>40000</v>
      </c>
      <c r="H128" s="529"/>
      <c r="I128" s="277"/>
      <c r="J128" s="277" t="s">
        <v>595</v>
      </c>
      <c r="K128" s="277"/>
    </row>
    <row r="129" spans="1:11" s="282" customFormat="1" ht="31.5" x14ac:dyDescent="0.25">
      <c r="A129" s="279"/>
      <c r="B129" s="280" t="s">
        <v>726</v>
      </c>
      <c r="C129" s="281">
        <v>16000</v>
      </c>
      <c r="D129" s="278"/>
      <c r="E129" s="274">
        <f t="shared" si="15"/>
        <v>16000</v>
      </c>
      <c r="F129" s="281"/>
      <c r="G129" s="278">
        <f>15000+1000</f>
        <v>16000</v>
      </c>
      <c r="H129" s="529"/>
      <c r="I129" s="277"/>
      <c r="J129" s="277" t="s">
        <v>595</v>
      </c>
      <c r="K129" s="277"/>
    </row>
    <row r="130" spans="1:11" s="282" customFormat="1" ht="31.5" x14ac:dyDescent="0.25">
      <c r="A130" s="279"/>
      <c r="B130" s="280" t="s">
        <v>727</v>
      </c>
      <c r="C130" s="281">
        <v>40000</v>
      </c>
      <c r="D130" s="278"/>
      <c r="E130" s="274">
        <f t="shared" si="15"/>
        <v>40000</v>
      </c>
      <c r="F130" s="281"/>
      <c r="G130" s="278">
        <v>40000</v>
      </c>
      <c r="H130" s="529"/>
      <c r="I130" s="277"/>
      <c r="J130" s="277" t="s">
        <v>595</v>
      </c>
      <c r="K130" s="277"/>
    </row>
    <row r="131" spans="1:11" x14ac:dyDescent="0.25">
      <c r="A131" s="186"/>
      <c r="B131" s="175" t="s">
        <v>93</v>
      </c>
      <c r="C131" s="178">
        <v>425621</v>
      </c>
      <c r="D131" s="178">
        <v>188</v>
      </c>
      <c r="E131" s="178">
        <f t="shared" si="15"/>
        <v>425809</v>
      </c>
      <c r="F131" s="178">
        <v>0</v>
      </c>
      <c r="G131" s="178">
        <f>449149+500+1000+1000+188</f>
        <v>451837</v>
      </c>
      <c r="H131" s="189">
        <f>-25428-200-400</f>
        <v>-26028</v>
      </c>
      <c r="I131" s="176" t="s">
        <v>595</v>
      </c>
      <c r="J131" s="176" t="s">
        <v>595</v>
      </c>
      <c r="K131" s="176"/>
    </row>
    <row r="132" spans="1:11" s="282" customFormat="1" ht="31.5" x14ac:dyDescent="0.25">
      <c r="A132" s="279"/>
      <c r="B132" s="280" t="s">
        <v>330</v>
      </c>
      <c r="C132" s="281">
        <v>74000</v>
      </c>
      <c r="D132" s="278"/>
      <c r="E132" s="274">
        <f t="shared" si="15"/>
        <v>74000</v>
      </c>
      <c r="F132" s="281"/>
      <c r="G132" s="278">
        <v>74000</v>
      </c>
      <c r="H132" s="529"/>
      <c r="I132" s="277" t="s">
        <v>595</v>
      </c>
      <c r="J132" s="277"/>
      <c r="K132" s="277"/>
    </row>
    <row r="133" spans="1:11" s="282" customFormat="1" x14ac:dyDescent="0.25">
      <c r="A133" s="279"/>
      <c r="B133" s="280" t="s">
        <v>117</v>
      </c>
      <c r="C133" s="281">
        <v>29400</v>
      </c>
      <c r="D133" s="278"/>
      <c r="E133" s="274">
        <f t="shared" si="15"/>
        <v>29400</v>
      </c>
      <c r="F133" s="281"/>
      <c r="G133" s="278">
        <v>29400</v>
      </c>
      <c r="H133" s="529"/>
      <c r="I133" s="277" t="s">
        <v>595</v>
      </c>
      <c r="J133" s="277"/>
      <c r="K133" s="277"/>
    </row>
    <row r="134" spans="1:11" s="282" customFormat="1" ht="31.5" x14ac:dyDescent="0.25">
      <c r="A134" s="279"/>
      <c r="B134" s="280" t="s">
        <v>503</v>
      </c>
      <c r="C134" s="281">
        <v>13000</v>
      </c>
      <c r="D134" s="278"/>
      <c r="E134" s="274">
        <f t="shared" si="15"/>
        <v>13000</v>
      </c>
      <c r="F134" s="281"/>
      <c r="G134" s="278">
        <f>12000+1000</f>
        <v>13000</v>
      </c>
      <c r="H134" s="529"/>
      <c r="I134" s="277"/>
      <c r="J134" s="277" t="s">
        <v>595</v>
      </c>
      <c r="K134" s="277"/>
    </row>
    <row r="135" spans="1:11" s="282" customFormat="1" x14ac:dyDescent="0.25">
      <c r="A135" s="279"/>
      <c r="B135" s="280" t="s">
        <v>504</v>
      </c>
      <c r="C135" s="281">
        <v>14000</v>
      </c>
      <c r="D135" s="278"/>
      <c r="E135" s="274">
        <f t="shared" si="15"/>
        <v>14000</v>
      </c>
      <c r="F135" s="281"/>
      <c r="G135" s="278">
        <f>13000+1000</f>
        <v>14000</v>
      </c>
      <c r="H135" s="529"/>
      <c r="I135" s="277"/>
      <c r="J135" s="277" t="s">
        <v>595</v>
      </c>
      <c r="K135" s="277"/>
    </row>
    <row r="136" spans="1:11" s="282" customFormat="1" x14ac:dyDescent="0.25">
      <c r="A136" s="279"/>
      <c r="B136" s="280" t="s">
        <v>505</v>
      </c>
      <c r="C136" s="281">
        <v>65544</v>
      </c>
      <c r="D136" s="278"/>
      <c r="E136" s="274">
        <f t="shared" si="15"/>
        <v>65544</v>
      </c>
      <c r="F136" s="281"/>
      <c r="G136" s="278">
        <v>65544</v>
      </c>
      <c r="H136" s="529"/>
      <c r="I136" s="277"/>
      <c r="J136" s="277" t="s">
        <v>595</v>
      </c>
      <c r="K136" s="277"/>
    </row>
    <row r="137" spans="1:11" s="282" customFormat="1" ht="31.5" x14ac:dyDescent="0.25">
      <c r="A137" s="279"/>
      <c r="B137" s="280" t="s">
        <v>506</v>
      </c>
      <c r="C137" s="281">
        <v>202000</v>
      </c>
      <c r="D137" s="278"/>
      <c r="E137" s="274">
        <f t="shared" si="15"/>
        <v>202000</v>
      </c>
      <c r="F137" s="281"/>
      <c r="G137" s="278">
        <v>202000</v>
      </c>
      <c r="H137" s="529"/>
      <c r="I137" s="277"/>
      <c r="J137" s="277" t="s">
        <v>595</v>
      </c>
      <c r="K137" s="283"/>
    </row>
    <row r="138" spans="1:11" s="282" customFormat="1" x14ac:dyDescent="0.25">
      <c r="A138" s="279"/>
      <c r="B138" s="280" t="s">
        <v>507</v>
      </c>
      <c r="C138" s="281">
        <v>13600</v>
      </c>
      <c r="D138" s="278"/>
      <c r="E138" s="274">
        <f t="shared" si="15"/>
        <v>13600</v>
      </c>
      <c r="F138" s="281"/>
      <c r="G138" s="278">
        <v>14200</v>
      </c>
      <c r="H138" s="529">
        <f>-200-400</f>
        <v>-600</v>
      </c>
      <c r="I138" s="277"/>
      <c r="J138" s="277" t="s">
        <v>595</v>
      </c>
      <c r="K138" s="283"/>
    </row>
    <row r="139" spans="1:11" s="282" customFormat="1" ht="47.25" x14ac:dyDescent="0.25">
      <c r="A139" s="279"/>
      <c r="B139" s="280" t="s">
        <v>604</v>
      </c>
      <c r="C139" s="281">
        <v>8447</v>
      </c>
      <c r="D139" s="278"/>
      <c r="E139" s="274">
        <f t="shared" si="15"/>
        <v>8447</v>
      </c>
      <c r="F139" s="281"/>
      <c r="G139" s="278">
        <v>8447</v>
      </c>
      <c r="H139" s="529"/>
      <c r="I139" s="277"/>
      <c r="J139" s="277" t="s">
        <v>595</v>
      </c>
      <c r="K139" s="283"/>
    </row>
    <row r="140" spans="1:11" s="282" customFormat="1" ht="47.25" x14ac:dyDescent="0.25">
      <c r="A140" s="279"/>
      <c r="B140" s="280" t="s">
        <v>728</v>
      </c>
      <c r="C140" s="281">
        <v>0</v>
      </c>
      <c r="D140" s="278"/>
      <c r="E140" s="274">
        <f t="shared" si="15"/>
        <v>0</v>
      </c>
      <c r="F140" s="281"/>
      <c r="G140" s="278">
        <v>25428</v>
      </c>
      <c r="H140" s="529">
        <v>-25428</v>
      </c>
      <c r="I140" s="277"/>
      <c r="J140" s="277" t="s">
        <v>595</v>
      </c>
      <c r="K140" s="283"/>
    </row>
    <row r="141" spans="1:11" s="282" customFormat="1" x14ac:dyDescent="0.25">
      <c r="A141" s="279"/>
      <c r="B141" s="280" t="s">
        <v>605</v>
      </c>
      <c r="C141" s="281">
        <v>500</v>
      </c>
      <c r="D141" s="278"/>
      <c r="E141" s="274">
        <f t="shared" si="15"/>
        <v>500</v>
      </c>
      <c r="F141" s="281"/>
      <c r="G141" s="278">
        <v>500</v>
      </c>
      <c r="H141" s="529"/>
      <c r="I141" s="277"/>
      <c r="J141" s="277" t="s">
        <v>595</v>
      </c>
      <c r="K141" s="283"/>
    </row>
    <row r="142" spans="1:11" s="282" customFormat="1" x14ac:dyDescent="0.25">
      <c r="A142" s="279"/>
      <c r="B142" s="280" t="s">
        <v>606</v>
      </c>
      <c r="C142" s="281">
        <v>860</v>
      </c>
      <c r="D142" s="278">
        <v>188</v>
      </c>
      <c r="E142" s="274">
        <f t="shared" si="15"/>
        <v>1048</v>
      </c>
      <c r="F142" s="281"/>
      <c r="G142" s="278">
        <f>860+188</f>
        <v>1048</v>
      </c>
      <c r="H142" s="529"/>
      <c r="I142" s="277"/>
      <c r="J142" s="277" t="s">
        <v>595</v>
      </c>
      <c r="K142" s="283"/>
    </row>
    <row r="143" spans="1:11" s="282" customFormat="1" x14ac:dyDescent="0.25">
      <c r="A143" s="279"/>
      <c r="B143" s="280" t="s">
        <v>897</v>
      </c>
      <c r="C143" s="281">
        <v>500</v>
      </c>
      <c r="D143" s="278"/>
      <c r="E143" s="274">
        <f t="shared" ref="E143" si="16">SUM(C143:D143)</f>
        <v>500</v>
      </c>
      <c r="F143" s="281"/>
      <c r="G143" s="278">
        <v>500</v>
      </c>
      <c r="H143" s="529"/>
      <c r="I143" s="277"/>
      <c r="J143" s="277" t="s">
        <v>595</v>
      </c>
      <c r="K143" s="283"/>
    </row>
    <row r="144" spans="1:11" x14ac:dyDescent="0.25">
      <c r="A144" s="186"/>
      <c r="B144" s="175" t="s">
        <v>94</v>
      </c>
      <c r="C144" s="178">
        <v>961479</v>
      </c>
      <c r="D144" s="178">
        <f>1036-1036+20000-400-150</f>
        <v>19450</v>
      </c>
      <c r="E144" s="178">
        <f t="shared" si="15"/>
        <v>980929</v>
      </c>
      <c r="F144" s="178">
        <f>3406-2044</f>
        <v>1362</v>
      </c>
      <c r="G144" s="178">
        <f>856600+3540+10000+1800+800+4000+3000+2000+1000+500+2000+700+1494+1646+1000+16510+7665+800+50000+750+20000</f>
        <v>985805</v>
      </c>
      <c r="H144" s="189">
        <f>-800-1421-1167-1600-700-400-150</f>
        <v>-6238</v>
      </c>
      <c r="I144" s="176" t="s">
        <v>595</v>
      </c>
      <c r="J144" s="176" t="s">
        <v>595</v>
      </c>
      <c r="K144" s="176"/>
    </row>
    <row r="145" spans="1:11" x14ac:dyDescent="0.25">
      <c r="A145" s="186"/>
      <c r="B145" s="183" t="s">
        <v>119</v>
      </c>
      <c r="C145" s="182"/>
      <c r="D145" s="182"/>
      <c r="E145" s="182"/>
      <c r="F145" s="182"/>
      <c r="G145" s="182"/>
      <c r="H145" s="517"/>
      <c r="I145" s="250"/>
      <c r="J145" s="250"/>
      <c r="K145" s="250"/>
    </row>
    <row r="146" spans="1:11" s="282" customFormat="1" x14ac:dyDescent="0.25">
      <c r="A146" s="279"/>
      <c r="B146" s="280" t="s">
        <v>607</v>
      </c>
      <c r="C146" s="281">
        <v>8114</v>
      </c>
      <c r="D146" s="278"/>
      <c r="E146" s="274">
        <f t="shared" ref="E146:E148" si="17">SUM(C146:D146)</f>
        <v>8114</v>
      </c>
      <c r="F146" s="281">
        <v>314</v>
      </c>
      <c r="G146" s="278">
        <f>6800+1000</f>
        <v>7800</v>
      </c>
      <c r="H146" s="529"/>
      <c r="I146" s="277" t="s">
        <v>595</v>
      </c>
      <c r="J146" s="277"/>
      <c r="K146" s="283"/>
    </row>
    <row r="147" spans="1:11" s="282" customFormat="1" x14ac:dyDescent="0.25">
      <c r="A147" s="279"/>
      <c r="B147" s="280" t="s">
        <v>729</v>
      </c>
      <c r="C147" s="281">
        <v>6829</v>
      </c>
      <c r="D147" s="278"/>
      <c r="E147" s="274">
        <f t="shared" si="17"/>
        <v>6829</v>
      </c>
      <c r="F147" s="281">
        <f>2873-2044</f>
        <v>829</v>
      </c>
      <c r="G147" s="278">
        <v>6000</v>
      </c>
      <c r="H147" s="529"/>
      <c r="I147" s="277"/>
      <c r="J147" s="277" t="s">
        <v>595</v>
      </c>
      <c r="K147" s="283"/>
    </row>
    <row r="148" spans="1:11" s="282" customFormat="1" x14ac:dyDescent="0.25">
      <c r="A148" s="279"/>
      <c r="B148" s="280" t="s">
        <v>730</v>
      </c>
      <c r="C148" s="281">
        <v>323</v>
      </c>
      <c r="D148" s="278"/>
      <c r="E148" s="274">
        <f t="shared" si="17"/>
        <v>323</v>
      </c>
      <c r="F148" s="281"/>
      <c r="G148" s="278">
        <v>323</v>
      </c>
      <c r="H148" s="529"/>
      <c r="I148" s="277"/>
      <c r="J148" s="277" t="s">
        <v>595</v>
      </c>
      <c r="K148" s="283"/>
    </row>
    <row r="149" spans="1:11" x14ac:dyDescent="0.25">
      <c r="A149" s="186"/>
      <c r="B149" s="183" t="s">
        <v>120</v>
      </c>
      <c r="C149" s="182"/>
      <c r="D149" s="182"/>
      <c r="E149" s="182"/>
      <c r="F149" s="182"/>
      <c r="G149" s="182"/>
      <c r="H149" s="517"/>
      <c r="I149" s="250"/>
      <c r="J149" s="250"/>
      <c r="K149" s="250"/>
    </row>
    <row r="150" spans="1:11" s="282" customFormat="1" x14ac:dyDescent="0.25">
      <c r="A150" s="279"/>
      <c r="B150" s="271" t="s">
        <v>237</v>
      </c>
      <c r="C150" s="272">
        <v>1000</v>
      </c>
      <c r="D150" s="278"/>
      <c r="E150" s="274">
        <f t="shared" ref="E150:E178" si="18">SUM(C150:D150)</f>
        <v>1000</v>
      </c>
      <c r="F150" s="272"/>
      <c r="G150" s="278">
        <v>1000</v>
      </c>
      <c r="H150" s="529"/>
      <c r="I150" s="277"/>
      <c r="J150" s="277" t="s">
        <v>595</v>
      </c>
      <c r="K150" s="283"/>
    </row>
    <row r="151" spans="1:11" s="282" customFormat="1" x14ac:dyDescent="0.25">
      <c r="A151" s="279"/>
      <c r="B151" s="271" t="s">
        <v>118</v>
      </c>
      <c r="C151" s="272">
        <v>3000</v>
      </c>
      <c r="D151" s="278"/>
      <c r="E151" s="274">
        <f t="shared" si="18"/>
        <v>3000</v>
      </c>
      <c r="F151" s="272"/>
      <c r="G151" s="278">
        <v>3000</v>
      </c>
      <c r="H151" s="529"/>
      <c r="I151" s="277" t="s">
        <v>595</v>
      </c>
      <c r="J151" s="277"/>
      <c r="K151" s="283"/>
    </row>
    <row r="152" spans="1:11" s="282" customFormat="1" x14ac:dyDescent="0.25">
      <c r="A152" s="279"/>
      <c r="B152" s="271" t="s">
        <v>322</v>
      </c>
      <c r="C152" s="272">
        <v>18000</v>
      </c>
      <c r="D152" s="278"/>
      <c r="E152" s="274">
        <f t="shared" si="18"/>
        <v>18000</v>
      </c>
      <c r="F152" s="272"/>
      <c r="G152" s="278">
        <v>18000</v>
      </c>
      <c r="H152" s="529"/>
      <c r="I152" s="277" t="s">
        <v>595</v>
      </c>
      <c r="J152" s="277"/>
      <c r="K152" s="283"/>
    </row>
    <row r="153" spans="1:11" s="282" customFormat="1" x14ac:dyDescent="0.25">
      <c r="A153" s="279"/>
      <c r="B153" s="271" t="s">
        <v>323</v>
      </c>
      <c r="C153" s="272">
        <v>22500</v>
      </c>
      <c r="D153" s="278"/>
      <c r="E153" s="274">
        <f t="shared" si="18"/>
        <v>22500</v>
      </c>
      <c r="F153" s="272"/>
      <c r="G153" s="278">
        <f>12500+10000</f>
        <v>22500</v>
      </c>
      <c r="H153" s="529"/>
      <c r="I153" s="277"/>
      <c r="J153" s="277" t="s">
        <v>595</v>
      </c>
      <c r="K153" s="283"/>
    </row>
    <row r="154" spans="1:11" s="282" customFormat="1" x14ac:dyDescent="0.25">
      <c r="A154" s="279"/>
      <c r="B154" s="271" t="s">
        <v>128</v>
      </c>
      <c r="C154" s="272">
        <v>1600</v>
      </c>
      <c r="D154" s="278"/>
      <c r="E154" s="274">
        <f t="shared" si="18"/>
        <v>1600</v>
      </c>
      <c r="F154" s="272"/>
      <c r="G154" s="278">
        <v>1600</v>
      </c>
      <c r="H154" s="529"/>
      <c r="I154" s="277" t="s">
        <v>595</v>
      </c>
      <c r="J154" s="277"/>
      <c r="K154" s="283"/>
    </row>
    <row r="155" spans="1:11" s="282" customFormat="1" x14ac:dyDescent="0.25">
      <c r="A155" s="279"/>
      <c r="B155" s="271" t="s">
        <v>129</v>
      </c>
      <c r="C155" s="272">
        <v>1000</v>
      </c>
      <c r="D155" s="278"/>
      <c r="E155" s="274">
        <f t="shared" si="18"/>
        <v>1000</v>
      </c>
      <c r="F155" s="272"/>
      <c r="G155" s="278">
        <v>1000</v>
      </c>
      <c r="H155" s="529"/>
      <c r="I155" s="277" t="s">
        <v>595</v>
      </c>
      <c r="J155" s="277"/>
      <c r="K155" s="283"/>
    </row>
    <row r="156" spans="1:11" s="282" customFormat="1" x14ac:dyDescent="0.25">
      <c r="A156" s="279"/>
      <c r="B156" s="271" t="s">
        <v>71</v>
      </c>
      <c r="C156" s="272">
        <v>2650</v>
      </c>
      <c r="D156" s="278"/>
      <c r="E156" s="274">
        <f t="shared" si="18"/>
        <v>2650</v>
      </c>
      <c r="F156" s="272"/>
      <c r="G156" s="278">
        <v>2650</v>
      </c>
      <c r="H156" s="529"/>
      <c r="I156" s="277" t="s">
        <v>595</v>
      </c>
      <c r="J156" s="277"/>
      <c r="K156" s="283"/>
    </row>
    <row r="157" spans="1:11" s="282" customFormat="1" x14ac:dyDescent="0.25">
      <c r="A157" s="279"/>
      <c r="B157" s="271" t="s">
        <v>73</v>
      </c>
      <c r="C157" s="272">
        <v>1200</v>
      </c>
      <c r="D157" s="278"/>
      <c r="E157" s="274">
        <f t="shared" si="18"/>
        <v>1200</v>
      </c>
      <c r="F157" s="272"/>
      <c r="G157" s="278">
        <v>1200</v>
      </c>
      <c r="H157" s="529"/>
      <c r="I157" s="277" t="s">
        <v>595</v>
      </c>
      <c r="J157" s="277"/>
      <c r="K157" s="283"/>
    </row>
    <row r="158" spans="1:11" s="282" customFormat="1" x14ac:dyDescent="0.25">
      <c r="A158" s="279"/>
      <c r="B158" s="271" t="s">
        <v>130</v>
      </c>
      <c r="C158" s="272">
        <v>3500</v>
      </c>
      <c r="D158" s="278"/>
      <c r="E158" s="274">
        <f t="shared" si="18"/>
        <v>3500</v>
      </c>
      <c r="F158" s="272"/>
      <c r="G158" s="278">
        <v>3500</v>
      </c>
      <c r="H158" s="529"/>
      <c r="I158" s="277" t="s">
        <v>595</v>
      </c>
      <c r="J158" s="277"/>
      <c r="K158" s="283"/>
    </row>
    <row r="159" spans="1:11" s="282" customFormat="1" x14ac:dyDescent="0.25">
      <c r="A159" s="279"/>
      <c r="B159" s="271" t="s">
        <v>72</v>
      </c>
      <c r="C159" s="272">
        <v>2000</v>
      </c>
      <c r="D159" s="278"/>
      <c r="E159" s="274">
        <f t="shared" si="18"/>
        <v>2000</v>
      </c>
      <c r="F159" s="272"/>
      <c r="G159" s="278">
        <v>2000</v>
      </c>
      <c r="H159" s="529"/>
      <c r="I159" s="277" t="s">
        <v>595</v>
      </c>
      <c r="J159" s="277"/>
      <c r="K159" s="283"/>
    </row>
    <row r="160" spans="1:11" s="282" customFormat="1" x14ac:dyDescent="0.25">
      <c r="A160" s="279"/>
      <c r="B160" s="271" t="s">
        <v>112</v>
      </c>
      <c r="C160" s="272">
        <v>8000</v>
      </c>
      <c r="D160" s="278"/>
      <c r="E160" s="274">
        <f t="shared" si="18"/>
        <v>8000</v>
      </c>
      <c r="F160" s="272"/>
      <c r="G160" s="278">
        <v>8000</v>
      </c>
      <c r="H160" s="529"/>
      <c r="I160" s="277" t="s">
        <v>595</v>
      </c>
      <c r="J160" s="277"/>
      <c r="K160" s="283"/>
    </row>
    <row r="161" spans="1:11" s="282" customFormat="1" ht="31.5" x14ac:dyDescent="0.25">
      <c r="A161" s="279"/>
      <c r="B161" s="271" t="s">
        <v>731</v>
      </c>
      <c r="C161" s="272">
        <v>2000</v>
      </c>
      <c r="D161" s="278"/>
      <c r="E161" s="274">
        <f t="shared" si="18"/>
        <v>2000</v>
      </c>
      <c r="F161" s="272"/>
      <c r="G161" s="278">
        <v>2000</v>
      </c>
      <c r="H161" s="529"/>
      <c r="I161" s="277" t="s">
        <v>595</v>
      </c>
      <c r="J161" s="277"/>
      <c r="K161" s="283"/>
    </row>
    <row r="162" spans="1:11" s="282" customFormat="1" x14ac:dyDescent="0.25">
      <c r="A162" s="279"/>
      <c r="B162" s="271" t="s">
        <v>121</v>
      </c>
      <c r="C162" s="272">
        <v>8600</v>
      </c>
      <c r="D162" s="278"/>
      <c r="E162" s="274">
        <f t="shared" si="18"/>
        <v>8600</v>
      </c>
      <c r="F162" s="272"/>
      <c r="G162" s="278">
        <v>8600</v>
      </c>
      <c r="H162" s="529"/>
      <c r="I162" s="277" t="s">
        <v>595</v>
      </c>
      <c r="J162" s="277"/>
      <c r="K162" s="283"/>
    </row>
    <row r="163" spans="1:11" s="282" customFormat="1" x14ac:dyDescent="0.25">
      <c r="A163" s="279"/>
      <c r="B163" s="271" t="s">
        <v>131</v>
      </c>
      <c r="C163" s="272">
        <v>5700</v>
      </c>
      <c r="D163" s="278"/>
      <c r="E163" s="274">
        <f t="shared" si="18"/>
        <v>5700</v>
      </c>
      <c r="F163" s="272"/>
      <c r="G163" s="278">
        <v>5700</v>
      </c>
      <c r="H163" s="529"/>
      <c r="I163" s="277" t="s">
        <v>595</v>
      </c>
      <c r="J163" s="277"/>
      <c r="K163" s="283"/>
    </row>
    <row r="164" spans="1:11" s="282" customFormat="1" x14ac:dyDescent="0.25">
      <c r="A164" s="279"/>
      <c r="B164" s="271" t="s">
        <v>324</v>
      </c>
      <c r="C164" s="272">
        <v>23000</v>
      </c>
      <c r="D164" s="278"/>
      <c r="E164" s="274">
        <f t="shared" si="18"/>
        <v>23000</v>
      </c>
      <c r="F164" s="272"/>
      <c r="G164" s="278">
        <v>23000</v>
      </c>
      <c r="H164" s="529"/>
      <c r="I164" s="277" t="s">
        <v>595</v>
      </c>
      <c r="J164" s="277"/>
      <c r="K164" s="283"/>
    </row>
    <row r="165" spans="1:11" s="282" customFormat="1" ht="31.5" x14ac:dyDescent="0.25">
      <c r="A165" s="279"/>
      <c r="B165" s="271" t="s">
        <v>835</v>
      </c>
      <c r="C165" s="272">
        <v>3800</v>
      </c>
      <c r="D165" s="278"/>
      <c r="E165" s="274">
        <f t="shared" ref="E165" si="19">SUM(C165:D165)</f>
        <v>3800</v>
      </c>
      <c r="F165" s="272"/>
      <c r="G165" s="278">
        <f>1800+2000</f>
        <v>3800</v>
      </c>
      <c r="H165" s="529"/>
      <c r="I165" s="277"/>
      <c r="J165" s="277" t="s">
        <v>595</v>
      </c>
      <c r="K165" s="283"/>
    </row>
    <row r="166" spans="1:11" s="282" customFormat="1" ht="31.5" x14ac:dyDescent="0.25">
      <c r="A166" s="279"/>
      <c r="B166" s="271" t="s">
        <v>255</v>
      </c>
      <c r="C166" s="272">
        <v>100</v>
      </c>
      <c r="D166" s="278"/>
      <c r="E166" s="274">
        <f t="shared" si="18"/>
        <v>100</v>
      </c>
      <c r="F166" s="272"/>
      <c r="G166" s="278">
        <v>100</v>
      </c>
      <c r="H166" s="529"/>
      <c r="I166" s="277"/>
      <c r="J166" s="277" t="s">
        <v>595</v>
      </c>
      <c r="K166" s="283"/>
    </row>
    <row r="167" spans="1:11" s="282" customFormat="1" x14ac:dyDescent="0.25">
      <c r="A167" s="279"/>
      <c r="B167" s="271" t="s">
        <v>238</v>
      </c>
      <c r="C167" s="272">
        <v>106570</v>
      </c>
      <c r="D167" s="278"/>
      <c r="E167" s="274">
        <f t="shared" si="18"/>
        <v>106570</v>
      </c>
      <c r="F167" s="272"/>
      <c r="G167" s="278">
        <f>90060+16510</f>
        <v>106570</v>
      </c>
      <c r="H167" s="529"/>
      <c r="I167" s="277" t="s">
        <v>595</v>
      </c>
      <c r="J167" s="277"/>
      <c r="K167" s="283"/>
    </row>
    <row r="168" spans="1:11" s="282" customFormat="1" x14ac:dyDescent="0.25">
      <c r="A168" s="279"/>
      <c r="B168" s="271" t="s">
        <v>329</v>
      </c>
      <c r="C168" s="272">
        <v>512925</v>
      </c>
      <c r="D168" s="278"/>
      <c r="E168" s="274">
        <f t="shared" si="18"/>
        <v>512925</v>
      </c>
      <c r="F168" s="272"/>
      <c r="G168" s="278">
        <f>505260+7665</f>
        <v>512925</v>
      </c>
      <c r="H168" s="529"/>
      <c r="I168" s="277" t="s">
        <v>595</v>
      </c>
      <c r="J168" s="277"/>
      <c r="K168" s="283"/>
    </row>
    <row r="169" spans="1:11" s="282" customFormat="1" x14ac:dyDescent="0.25">
      <c r="A169" s="279"/>
      <c r="B169" s="271" t="s">
        <v>508</v>
      </c>
      <c r="C169" s="272">
        <v>10000</v>
      </c>
      <c r="D169" s="278"/>
      <c r="E169" s="274">
        <f t="shared" si="18"/>
        <v>10000</v>
      </c>
      <c r="F169" s="272"/>
      <c r="G169" s="278">
        <v>10000</v>
      </c>
      <c r="H169" s="529"/>
      <c r="I169" s="277"/>
      <c r="J169" s="277" t="s">
        <v>595</v>
      </c>
      <c r="K169" s="283"/>
    </row>
    <row r="170" spans="1:11" s="282" customFormat="1" x14ac:dyDescent="0.25">
      <c r="A170" s="279"/>
      <c r="B170" s="271" t="s">
        <v>266</v>
      </c>
      <c r="C170" s="272">
        <v>1000</v>
      </c>
      <c r="D170" s="278"/>
      <c r="E170" s="274">
        <f t="shared" si="18"/>
        <v>1000</v>
      </c>
      <c r="F170" s="272"/>
      <c r="G170" s="278">
        <v>1000</v>
      </c>
      <c r="H170" s="529"/>
      <c r="I170" s="277" t="s">
        <v>595</v>
      </c>
      <c r="J170" s="277"/>
      <c r="K170" s="283"/>
    </row>
    <row r="171" spans="1:11" s="282" customFormat="1" x14ac:dyDescent="0.25">
      <c r="A171" s="279"/>
      <c r="B171" s="271" t="s">
        <v>254</v>
      </c>
      <c r="C171" s="272">
        <v>1200</v>
      </c>
      <c r="D171" s="278"/>
      <c r="E171" s="274">
        <f t="shared" si="18"/>
        <v>1200</v>
      </c>
      <c r="F171" s="272"/>
      <c r="G171" s="278">
        <v>1200</v>
      </c>
      <c r="H171" s="529"/>
      <c r="I171" s="277" t="s">
        <v>595</v>
      </c>
      <c r="J171" s="277"/>
      <c r="K171" s="283"/>
    </row>
    <row r="172" spans="1:11" s="282" customFormat="1" x14ac:dyDescent="0.25">
      <c r="A172" s="279"/>
      <c r="B172" s="271" t="s">
        <v>256</v>
      </c>
      <c r="C172" s="272">
        <v>800</v>
      </c>
      <c r="D172" s="278"/>
      <c r="E172" s="274">
        <f t="shared" si="18"/>
        <v>800</v>
      </c>
      <c r="F172" s="272"/>
      <c r="G172" s="278">
        <v>800</v>
      </c>
      <c r="H172" s="529"/>
      <c r="I172" s="277" t="s">
        <v>595</v>
      </c>
      <c r="J172" s="277"/>
      <c r="K172" s="283"/>
    </row>
    <row r="173" spans="1:11" s="282" customFormat="1" x14ac:dyDescent="0.25">
      <c r="A173" s="279"/>
      <c r="B173" s="284" t="s">
        <v>509</v>
      </c>
      <c r="C173" s="285">
        <v>1500</v>
      </c>
      <c r="D173" s="278"/>
      <c r="E173" s="274">
        <f t="shared" si="18"/>
        <v>1500</v>
      </c>
      <c r="F173" s="285"/>
      <c r="G173" s="278">
        <v>1500</v>
      </c>
      <c r="H173" s="529"/>
      <c r="I173" s="277" t="s">
        <v>595</v>
      </c>
      <c r="J173" s="277"/>
      <c r="K173" s="283"/>
    </row>
    <row r="174" spans="1:11" s="282" customFormat="1" x14ac:dyDescent="0.25">
      <c r="A174" s="279"/>
      <c r="B174" s="284" t="s">
        <v>608</v>
      </c>
      <c r="C174" s="285">
        <v>1330</v>
      </c>
      <c r="D174" s="278"/>
      <c r="E174" s="274">
        <f t="shared" si="18"/>
        <v>1330</v>
      </c>
      <c r="F174" s="285"/>
      <c r="G174" s="278">
        <v>1330</v>
      </c>
      <c r="H174" s="529"/>
      <c r="I174" s="277" t="s">
        <v>595</v>
      </c>
      <c r="J174" s="277"/>
      <c r="K174" s="283"/>
    </row>
    <row r="175" spans="1:11" s="282" customFormat="1" x14ac:dyDescent="0.25">
      <c r="A175" s="279"/>
      <c r="B175" s="284" t="s">
        <v>732</v>
      </c>
      <c r="C175" s="285">
        <v>500</v>
      </c>
      <c r="D175" s="278"/>
      <c r="E175" s="274">
        <f t="shared" si="18"/>
        <v>500</v>
      </c>
      <c r="F175" s="285"/>
      <c r="G175" s="278">
        <v>500</v>
      </c>
      <c r="H175" s="529"/>
      <c r="I175" s="277"/>
      <c r="J175" s="277" t="s">
        <v>595</v>
      </c>
      <c r="K175" s="283"/>
    </row>
    <row r="176" spans="1:11" s="282" customFormat="1" x14ac:dyDescent="0.25">
      <c r="A176" s="279"/>
      <c r="B176" s="280" t="s">
        <v>733</v>
      </c>
      <c r="C176" s="285">
        <v>100000</v>
      </c>
      <c r="D176" s="278"/>
      <c r="E176" s="274">
        <f t="shared" si="18"/>
        <v>100000</v>
      </c>
      <c r="F176" s="285"/>
      <c r="G176" s="278">
        <f>50000+50000</f>
        <v>100000</v>
      </c>
      <c r="H176" s="529"/>
      <c r="I176" s="277"/>
      <c r="J176" s="277" t="s">
        <v>595</v>
      </c>
      <c r="K176" s="283"/>
    </row>
    <row r="177" spans="1:11" s="282" customFormat="1" ht="31.5" x14ac:dyDescent="0.25">
      <c r="A177" s="279"/>
      <c r="B177" s="280" t="s">
        <v>734</v>
      </c>
      <c r="C177" s="285">
        <v>12300</v>
      </c>
      <c r="D177" s="278"/>
      <c r="E177" s="274">
        <f t="shared" si="18"/>
        <v>12300</v>
      </c>
      <c r="F177" s="285"/>
      <c r="G177" s="278">
        <v>12300</v>
      </c>
      <c r="H177" s="529"/>
      <c r="I177" s="277"/>
      <c r="J177" s="277" t="s">
        <v>595</v>
      </c>
      <c r="K177" s="283"/>
    </row>
    <row r="178" spans="1:11" s="282" customFormat="1" x14ac:dyDescent="0.25">
      <c r="A178" s="279"/>
      <c r="B178" s="284" t="s">
        <v>679</v>
      </c>
      <c r="C178" s="285">
        <v>1000</v>
      </c>
      <c r="D178" s="278"/>
      <c r="E178" s="274">
        <f t="shared" si="18"/>
        <v>1000</v>
      </c>
      <c r="F178" s="285"/>
      <c r="G178" s="278">
        <v>1000</v>
      </c>
      <c r="H178" s="529"/>
      <c r="I178" s="277"/>
      <c r="J178" s="277" t="s">
        <v>595</v>
      </c>
      <c r="K178" s="283"/>
    </row>
    <row r="179" spans="1:11" s="282" customFormat="1" x14ac:dyDescent="0.25">
      <c r="A179" s="279"/>
      <c r="B179" s="284" t="s">
        <v>836</v>
      </c>
      <c r="C179" s="285">
        <v>800</v>
      </c>
      <c r="D179" s="278"/>
      <c r="E179" s="274">
        <f t="shared" ref="E179:E183" si="20">SUM(C179:D179)</f>
        <v>800</v>
      </c>
      <c r="F179" s="285"/>
      <c r="G179" s="278">
        <v>800</v>
      </c>
      <c r="H179" s="529"/>
      <c r="I179" s="277"/>
      <c r="J179" s="277" t="s">
        <v>595</v>
      </c>
      <c r="K179" s="283"/>
    </row>
    <row r="180" spans="1:11" s="282" customFormat="1" ht="31.5" x14ac:dyDescent="0.25">
      <c r="A180" s="279"/>
      <c r="B180" s="284" t="s">
        <v>837</v>
      </c>
      <c r="C180" s="285">
        <v>4000</v>
      </c>
      <c r="D180" s="278"/>
      <c r="E180" s="274">
        <f t="shared" si="20"/>
        <v>4000</v>
      </c>
      <c r="F180" s="285"/>
      <c r="G180" s="278">
        <v>4000</v>
      </c>
      <c r="H180" s="529"/>
      <c r="I180" s="277"/>
      <c r="J180" s="277" t="s">
        <v>595</v>
      </c>
      <c r="K180" s="283"/>
    </row>
    <row r="181" spans="1:11" s="282" customFormat="1" x14ac:dyDescent="0.25">
      <c r="A181" s="279" t="s">
        <v>547</v>
      </c>
      <c r="B181" s="284" t="s">
        <v>838</v>
      </c>
      <c r="C181" s="285">
        <v>3000</v>
      </c>
      <c r="D181" s="278"/>
      <c r="E181" s="274">
        <f t="shared" ref="E181:E182" si="21">SUM(C181:D181)</f>
        <v>3000</v>
      </c>
      <c r="F181" s="285"/>
      <c r="G181" s="278">
        <v>3000</v>
      </c>
      <c r="H181" s="529"/>
      <c r="I181" s="277"/>
      <c r="J181" s="277" t="s">
        <v>595</v>
      </c>
      <c r="K181" s="283"/>
    </row>
    <row r="182" spans="1:11" s="282" customFormat="1" ht="47.25" x14ac:dyDescent="0.25">
      <c r="A182" s="279" t="s">
        <v>547</v>
      </c>
      <c r="B182" s="284" t="s">
        <v>954</v>
      </c>
      <c r="C182" s="285">
        <v>750</v>
      </c>
      <c r="D182" s="278"/>
      <c r="E182" s="274">
        <f t="shared" si="21"/>
        <v>750</v>
      </c>
      <c r="F182" s="285"/>
      <c r="G182" s="278">
        <v>750</v>
      </c>
      <c r="H182" s="529"/>
      <c r="I182" s="277"/>
      <c r="J182" s="277" t="s">
        <v>595</v>
      </c>
      <c r="K182" s="283"/>
    </row>
    <row r="183" spans="1:11" s="282" customFormat="1" x14ac:dyDescent="0.25">
      <c r="A183" s="279" t="s">
        <v>547</v>
      </c>
      <c r="B183" s="284" t="s">
        <v>945</v>
      </c>
      <c r="C183" s="285">
        <v>800</v>
      </c>
      <c r="D183" s="278"/>
      <c r="E183" s="274">
        <f t="shared" si="20"/>
        <v>800</v>
      </c>
      <c r="F183" s="285"/>
      <c r="G183" s="278">
        <v>800</v>
      </c>
      <c r="H183" s="529"/>
      <c r="I183" s="277"/>
      <c r="J183" s="277" t="s">
        <v>595</v>
      </c>
      <c r="K183" s="283"/>
    </row>
    <row r="184" spans="1:11" x14ac:dyDescent="0.25">
      <c r="A184" s="186"/>
      <c r="B184" s="183" t="s">
        <v>239</v>
      </c>
      <c r="C184" s="182"/>
      <c r="D184" s="182"/>
      <c r="E184" s="182"/>
      <c r="F184" s="182"/>
      <c r="G184" s="182"/>
      <c r="H184" s="517"/>
      <c r="I184" s="250"/>
      <c r="J184" s="250"/>
      <c r="K184" s="250"/>
    </row>
    <row r="185" spans="1:11" s="282" customFormat="1" x14ac:dyDescent="0.25">
      <c r="A185" s="279"/>
      <c r="B185" s="284" t="s">
        <v>609</v>
      </c>
      <c r="C185" s="285">
        <v>15853</v>
      </c>
      <c r="D185" s="278">
        <v>-1036</v>
      </c>
      <c r="E185" s="274">
        <f t="shared" ref="E185:E266" si="22">SUM(C185:D185)</f>
        <v>14817</v>
      </c>
      <c r="F185" s="285">
        <v>20</v>
      </c>
      <c r="G185" s="278">
        <f>17000+700-1036</f>
        <v>16664</v>
      </c>
      <c r="H185" s="529">
        <f>-1167-700</f>
        <v>-1867</v>
      </c>
      <c r="I185" s="277"/>
      <c r="J185" s="277" t="s">
        <v>595</v>
      </c>
      <c r="K185" s="283"/>
    </row>
    <row r="186" spans="1:11" s="282" customFormat="1" x14ac:dyDescent="0.25">
      <c r="A186" s="279"/>
      <c r="B186" s="284" t="s">
        <v>610</v>
      </c>
      <c r="C186" s="285">
        <v>17640</v>
      </c>
      <c r="D186" s="278">
        <f>1036-150</f>
        <v>886</v>
      </c>
      <c r="E186" s="274">
        <f>SUM(C186:D186)</f>
        <v>18526</v>
      </c>
      <c r="F186" s="285">
        <v>100</v>
      </c>
      <c r="G186" s="278">
        <f>13000+1000+3540+1036</f>
        <v>18576</v>
      </c>
      <c r="H186" s="529">
        <v>-150</v>
      </c>
      <c r="I186" s="277"/>
      <c r="J186" s="277" t="s">
        <v>595</v>
      </c>
      <c r="K186" s="283"/>
    </row>
    <row r="187" spans="1:11" s="282" customFormat="1" x14ac:dyDescent="0.25">
      <c r="A187" s="279"/>
      <c r="B187" s="284" t="s">
        <v>611</v>
      </c>
      <c r="C187" s="285">
        <v>12000</v>
      </c>
      <c r="D187" s="278"/>
      <c r="E187" s="274">
        <f t="shared" si="22"/>
        <v>12000</v>
      </c>
      <c r="F187" s="285"/>
      <c r="G187" s="278">
        <v>12000</v>
      </c>
      <c r="H187" s="529"/>
      <c r="I187" s="277"/>
      <c r="J187" s="277" t="s">
        <v>595</v>
      </c>
      <c r="K187" s="283"/>
    </row>
    <row r="188" spans="1:11" s="282" customFormat="1" x14ac:dyDescent="0.25">
      <c r="A188" s="279"/>
      <c r="B188" s="284" t="s">
        <v>612</v>
      </c>
      <c r="C188" s="285">
        <v>1500</v>
      </c>
      <c r="D188" s="278"/>
      <c r="E188" s="274">
        <f t="shared" si="22"/>
        <v>1500</v>
      </c>
      <c r="F188" s="285"/>
      <c r="G188" s="278">
        <v>1500</v>
      </c>
      <c r="H188" s="529"/>
      <c r="I188" s="277"/>
      <c r="J188" s="277" t="s">
        <v>595</v>
      </c>
      <c r="K188" s="283"/>
    </row>
    <row r="189" spans="1:11" s="282" customFormat="1" x14ac:dyDescent="0.25">
      <c r="A189" s="279"/>
      <c r="B189" s="284" t="s">
        <v>613</v>
      </c>
      <c r="C189" s="285">
        <v>500</v>
      </c>
      <c r="D189" s="278"/>
      <c r="E189" s="274">
        <f t="shared" si="22"/>
        <v>500</v>
      </c>
      <c r="F189" s="285"/>
      <c r="G189" s="278">
        <v>500</v>
      </c>
      <c r="H189" s="529"/>
      <c r="I189" s="277"/>
      <c r="J189" s="277" t="s">
        <v>595</v>
      </c>
      <c r="K189" s="283"/>
    </row>
    <row r="190" spans="1:11" s="282" customFormat="1" x14ac:dyDescent="0.25">
      <c r="A190" s="279"/>
      <c r="B190" s="284" t="s">
        <v>614</v>
      </c>
      <c r="C190" s="285">
        <v>500</v>
      </c>
      <c r="D190" s="278"/>
      <c r="E190" s="274">
        <f t="shared" si="22"/>
        <v>500</v>
      </c>
      <c r="F190" s="285"/>
      <c r="G190" s="278">
        <v>500</v>
      </c>
      <c r="H190" s="529"/>
      <c r="I190" s="277"/>
      <c r="J190" s="277" t="s">
        <v>595</v>
      </c>
      <c r="K190" s="283"/>
    </row>
    <row r="191" spans="1:11" s="282" customFormat="1" x14ac:dyDescent="0.25">
      <c r="A191" s="279"/>
      <c r="B191" s="284" t="s">
        <v>735</v>
      </c>
      <c r="C191" s="285">
        <v>2000</v>
      </c>
      <c r="D191" s="278"/>
      <c r="E191" s="274">
        <f t="shared" si="22"/>
        <v>2000</v>
      </c>
      <c r="F191" s="285"/>
      <c r="G191" s="278">
        <v>2000</v>
      </c>
      <c r="H191" s="529"/>
      <c r="I191" s="277"/>
      <c r="J191" s="277" t="s">
        <v>595</v>
      </c>
      <c r="K191" s="283"/>
    </row>
    <row r="192" spans="1:11" s="282" customFormat="1" x14ac:dyDescent="0.25">
      <c r="A192" s="279"/>
      <c r="B192" s="284" t="s">
        <v>736</v>
      </c>
      <c r="C192" s="285">
        <v>3699</v>
      </c>
      <c r="D192" s="278">
        <v>-400</v>
      </c>
      <c r="E192" s="274">
        <f t="shared" si="22"/>
        <v>3299</v>
      </c>
      <c r="F192" s="285">
        <v>99</v>
      </c>
      <c r="G192" s="278">
        <v>6000</v>
      </c>
      <c r="H192" s="529">
        <f>-800-1600-400</f>
        <v>-2800</v>
      </c>
      <c r="I192" s="277"/>
      <c r="J192" s="277" t="s">
        <v>595</v>
      </c>
      <c r="K192" s="283"/>
    </row>
    <row r="193" spans="1:11" s="282" customFormat="1" x14ac:dyDescent="0.25">
      <c r="A193" s="279"/>
      <c r="B193" s="284" t="s">
        <v>737</v>
      </c>
      <c r="C193" s="285">
        <v>5000</v>
      </c>
      <c r="D193" s="278"/>
      <c r="E193" s="274">
        <f t="shared" si="22"/>
        <v>5000</v>
      </c>
      <c r="F193" s="285"/>
      <c r="G193" s="278">
        <v>5000</v>
      </c>
      <c r="H193" s="529"/>
      <c r="I193" s="277"/>
      <c r="J193" s="277" t="s">
        <v>595</v>
      </c>
      <c r="K193" s="283"/>
    </row>
    <row r="194" spans="1:11" s="282" customFormat="1" x14ac:dyDescent="0.25">
      <c r="A194" s="279"/>
      <c r="B194" s="284" t="s">
        <v>738</v>
      </c>
      <c r="C194" s="285">
        <v>5000</v>
      </c>
      <c r="D194" s="278"/>
      <c r="E194" s="274">
        <f t="shared" si="22"/>
        <v>5000</v>
      </c>
      <c r="F194" s="285"/>
      <c r="G194" s="278">
        <v>5000</v>
      </c>
      <c r="H194" s="529"/>
      <c r="I194" s="277"/>
      <c r="J194" s="277" t="s">
        <v>595</v>
      </c>
      <c r="K194" s="283"/>
    </row>
    <row r="195" spans="1:11" s="282" customFormat="1" x14ac:dyDescent="0.25">
      <c r="A195" s="279"/>
      <c r="B195" s="284" t="s">
        <v>739</v>
      </c>
      <c r="C195" s="285">
        <v>1977</v>
      </c>
      <c r="D195" s="278"/>
      <c r="E195" s="274">
        <f t="shared" si="22"/>
        <v>1977</v>
      </c>
      <c r="F195" s="285"/>
      <c r="G195" s="278">
        <v>1977</v>
      </c>
      <c r="H195" s="529"/>
      <c r="I195" s="277"/>
      <c r="J195" s="277" t="s">
        <v>595</v>
      </c>
      <c r="K195" s="283"/>
    </row>
    <row r="196" spans="1:11" s="282" customFormat="1" x14ac:dyDescent="0.25">
      <c r="A196" s="279"/>
      <c r="B196" s="280" t="s">
        <v>740</v>
      </c>
      <c r="C196" s="285">
        <v>3579</v>
      </c>
      <c r="D196" s="278"/>
      <c r="E196" s="274">
        <f>SUM(C196:D196)</f>
        <v>3579</v>
      </c>
      <c r="F196" s="285"/>
      <c r="G196" s="278">
        <f>6000-1000</f>
        <v>5000</v>
      </c>
      <c r="H196" s="529">
        <v>-1421</v>
      </c>
      <c r="I196" s="277"/>
      <c r="J196" s="277" t="s">
        <v>595</v>
      </c>
      <c r="K196" s="283"/>
    </row>
    <row r="197" spans="1:11" s="282" customFormat="1" x14ac:dyDescent="0.25">
      <c r="A197" s="279"/>
      <c r="B197" s="280" t="s">
        <v>741</v>
      </c>
      <c r="C197" s="285">
        <v>3000</v>
      </c>
      <c r="D197" s="278"/>
      <c r="E197" s="274">
        <f>SUM(C197:D197)</f>
        <v>3000</v>
      </c>
      <c r="F197" s="285"/>
      <c r="G197" s="278">
        <v>3000</v>
      </c>
      <c r="H197" s="529"/>
      <c r="I197" s="277"/>
      <c r="J197" s="277" t="s">
        <v>595</v>
      </c>
      <c r="K197" s="283"/>
    </row>
    <row r="198" spans="1:11" s="282" customFormat="1" ht="31.5" x14ac:dyDescent="0.25">
      <c r="A198" s="279"/>
      <c r="B198" s="280" t="s">
        <v>742</v>
      </c>
      <c r="C198" s="281">
        <v>700</v>
      </c>
      <c r="D198" s="278"/>
      <c r="E198" s="274">
        <f t="shared" si="22"/>
        <v>700</v>
      </c>
      <c r="F198" s="281"/>
      <c r="G198" s="278">
        <v>700</v>
      </c>
      <c r="H198" s="529"/>
      <c r="I198" s="277"/>
      <c r="J198" s="277" t="s">
        <v>595</v>
      </c>
      <c r="K198" s="283"/>
    </row>
    <row r="199" spans="1:11" s="282" customFormat="1" x14ac:dyDescent="0.25">
      <c r="A199" s="279"/>
      <c r="B199" s="280" t="s">
        <v>861</v>
      </c>
      <c r="C199" s="281">
        <v>2000</v>
      </c>
      <c r="D199" s="278"/>
      <c r="E199" s="274">
        <f t="shared" ref="E199" si="23">SUM(C199:D199)</f>
        <v>2000</v>
      </c>
      <c r="F199" s="281"/>
      <c r="G199" s="278">
        <v>2000</v>
      </c>
      <c r="H199" s="529"/>
      <c r="I199" s="277"/>
      <c r="J199" s="277" t="s">
        <v>595</v>
      </c>
      <c r="K199" s="283"/>
    </row>
    <row r="200" spans="1:11" s="282" customFormat="1" x14ac:dyDescent="0.25">
      <c r="A200" s="279"/>
      <c r="B200" s="280" t="s">
        <v>862</v>
      </c>
      <c r="C200" s="281">
        <v>1000</v>
      </c>
      <c r="D200" s="278"/>
      <c r="E200" s="274">
        <f t="shared" ref="E200:E203" si="24">SUM(C200:D200)</f>
        <v>1000</v>
      </c>
      <c r="F200" s="281"/>
      <c r="G200" s="278">
        <v>1000</v>
      </c>
      <c r="H200" s="529"/>
      <c r="I200" s="277"/>
      <c r="J200" s="277" t="s">
        <v>595</v>
      </c>
      <c r="K200" s="283"/>
    </row>
    <row r="201" spans="1:11" s="282" customFormat="1" x14ac:dyDescent="0.25">
      <c r="A201" s="279"/>
      <c r="B201" s="280" t="s">
        <v>885</v>
      </c>
      <c r="C201" s="281">
        <v>500</v>
      </c>
      <c r="D201" s="278"/>
      <c r="E201" s="274">
        <f t="shared" si="24"/>
        <v>500</v>
      </c>
      <c r="F201" s="281"/>
      <c r="G201" s="278">
        <v>500</v>
      </c>
      <c r="H201" s="529"/>
      <c r="I201" s="277"/>
      <c r="J201" s="277" t="s">
        <v>595</v>
      </c>
      <c r="K201" s="283"/>
    </row>
    <row r="202" spans="1:11" s="282" customFormat="1" x14ac:dyDescent="0.25">
      <c r="A202" s="279"/>
      <c r="B202" s="280" t="s">
        <v>913</v>
      </c>
      <c r="C202" s="281">
        <v>1494</v>
      </c>
      <c r="D202" s="278"/>
      <c r="E202" s="274">
        <f t="shared" si="24"/>
        <v>1494</v>
      </c>
      <c r="F202" s="281"/>
      <c r="G202" s="278">
        <v>1494</v>
      </c>
      <c r="H202" s="529"/>
      <c r="I202" s="277"/>
      <c r="J202" s="277" t="s">
        <v>595</v>
      </c>
      <c r="K202" s="283"/>
    </row>
    <row r="203" spans="1:11" s="282" customFormat="1" x14ac:dyDescent="0.25">
      <c r="A203" s="279"/>
      <c r="B203" s="280" t="s">
        <v>914</v>
      </c>
      <c r="C203" s="281">
        <v>1646</v>
      </c>
      <c r="D203" s="278"/>
      <c r="E203" s="274">
        <f t="shared" si="24"/>
        <v>1646</v>
      </c>
      <c r="F203" s="281"/>
      <c r="G203" s="278">
        <v>1646</v>
      </c>
      <c r="H203" s="529"/>
      <c r="I203" s="277"/>
      <c r="J203" s="277" t="s">
        <v>595</v>
      </c>
      <c r="K203" s="283"/>
    </row>
    <row r="204" spans="1:11" s="282" customFormat="1" x14ac:dyDescent="0.25">
      <c r="A204" s="279"/>
      <c r="B204" s="280" t="s">
        <v>998</v>
      </c>
      <c r="C204" s="281"/>
      <c r="D204" s="278">
        <v>20000</v>
      </c>
      <c r="E204" s="274">
        <f t="shared" ref="E204" si="25">SUM(C204:D204)</f>
        <v>20000</v>
      </c>
      <c r="F204" s="281"/>
      <c r="G204" s="278">
        <v>20000</v>
      </c>
      <c r="H204" s="529"/>
      <c r="I204" s="277"/>
      <c r="J204" s="277" t="s">
        <v>595</v>
      </c>
      <c r="K204" s="283"/>
    </row>
    <row r="205" spans="1:11" x14ac:dyDescent="0.25">
      <c r="A205" s="186"/>
      <c r="B205" s="175" t="s">
        <v>95</v>
      </c>
      <c r="C205" s="178">
        <v>13942</v>
      </c>
      <c r="D205" s="178"/>
      <c r="E205" s="178">
        <f t="shared" si="22"/>
        <v>13942</v>
      </c>
      <c r="F205" s="178">
        <f>SUM(F206:F207)</f>
        <v>0</v>
      </c>
      <c r="G205" s="178">
        <f>SUM(G206:G207)</f>
        <v>48296</v>
      </c>
      <c r="H205" s="189">
        <f>SUM(H206:H207)</f>
        <v>-34354</v>
      </c>
      <c r="I205" s="176" t="s">
        <v>595</v>
      </c>
      <c r="J205" s="176"/>
      <c r="K205" s="176"/>
    </row>
    <row r="206" spans="1:11" x14ac:dyDescent="0.25">
      <c r="A206" s="186"/>
      <c r="B206" s="179" t="s">
        <v>122</v>
      </c>
      <c r="C206" s="182">
        <v>2292</v>
      </c>
      <c r="D206" s="182"/>
      <c r="E206" s="182">
        <f t="shared" si="22"/>
        <v>2292</v>
      </c>
      <c r="F206" s="182">
        <v>0</v>
      </c>
      <c r="G206" s="182">
        <v>8596</v>
      </c>
      <c r="H206" s="517">
        <f>-3526-2315-463</f>
        <v>-6304</v>
      </c>
      <c r="I206" s="250" t="s">
        <v>595</v>
      </c>
      <c r="J206" s="505"/>
      <c r="K206" s="505"/>
    </row>
    <row r="207" spans="1:11" x14ac:dyDescent="0.25">
      <c r="A207" s="186"/>
      <c r="B207" s="179" t="s">
        <v>123</v>
      </c>
      <c r="C207" s="182">
        <v>11650</v>
      </c>
      <c r="D207" s="182"/>
      <c r="E207" s="182">
        <f t="shared" si="22"/>
        <v>11650</v>
      </c>
      <c r="F207" s="182">
        <v>0</v>
      </c>
      <c r="G207" s="182">
        <v>39700</v>
      </c>
      <c r="H207" s="517">
        <f>-17633-8681-1736</f>
        <v>-28050</v>
      </c>
      <c r="I207" s="250" t="s">
        <v>595</v>
      </c>
      <c r="J207" s="505"/>
      <c r="K207" s="505"/>
    </row>
    <row r="208" spans="1:11" x14ac:dyDescent="0.25">
      <c r="A208" s="186"/>
      <c r="B208" s="175" t="s">
        <v>240</v>
      </c>
      <c r="C208" s="178">
        <v>603334</v>
      </c>
      <c r="D208" s="178">
        <v>19416</v>
      </c>
      <c r="E208" s="178">
        <f t="shared" si="22"/>
        <v>622750</v>
      </c>
      <c r="F208" s="178">
        <f>SUM(F209:F219)</f>
        <v>0</v>
      </c>
      <c r="G208" s="178">
        <f>510286+60000+1464+45000+4000+2000-19416+19416</f>
        <v>622750</v>
      </c>
      <c r="H208" s="189"/>
      <c r="I208" s="176"/>
      <c r="J208" s="176" t="s">
        <v>595</v>
      </c>
      <c r="K208" s="176"/>
    </row>
    <row r="209" spans="1:11" ht="18" customHeight="1" x14ac:dyDescent="0.25">
      <c r="A209" s="186"/>
      <c r="B209" s="93" t="s">
        <v>510</v>
      </c>
      <c r="C209" s="182">
        <v>104334</v>
      </c>
      <c r="D209" s="182">
        <v>19416</v>
      </c>
      <c r="E209" s="182">
        <f t="shared" si="22"/>
        <v>123750</v>
      </c>
      <c r="F209" s="182"/>
      <c r="G209" s="182">
        <f>62286+1464+60000-19416+19416</f>
        <v>123750</v>
      </c>
      <c r="H209" s="517"/>
      <c r="I209" s="250"/>
      <c r="J209" s="250" t="s">
        <v>595</v>
      </c>
      <c r="K209" s="250"/>
    </row>
    <row r="210" spans="1:11" x14ac:dyDescent="0.25">
      <c r="A210" s="186"/>
      <c r="B210" s="93" t="s">
        <v>615</v>
      </c>
      <c r="C210" s="182">
        <v>165000</v>
      </c>
      <c r="D210" s="182"/>
      <c r="E210" s="182">
        <f t="shared" si="22"/>
        <v>165000</v>
      </c>
      <c r="F210" s="182"/>
      <c r="G210" s="182">
        <f>165000</f>
        <v>165000</v>
      </c>
      <c r="H210" s="517"/>
      <c r="I210" s="250"/>
      <c r="J210" s="250" t="s">
        <v>595</v>
      </c>
      <c r="K210" s="250"/>
    </row>
    <row r="211" spans="1:11" ht="31.5" x14ac:dyDescent="0.25">
      <c r="A211" s="186"/>
      <c r="B211" s="93" t="s">
        <v>865</v>
      </c>
      <c r="C211" s="182">
        <v>45000</v>
      </c>
      <c r="D211" s="182"/>
      <c r="E211" s="182">
        <f t="shared" ref="E211" si="26">SUM(C211:D211)</f>
        <v>45000</v>
      </c>
      <c r="F211" s="182"/>
      <c r="G211" s="182">
        <v>45000</v>
      </c>
      <c r="H211" s="517"/>
      <c r="I211" s="250"/>
      <c r="J211" s="250" t="s">
        <v>595</v>
      </c>
      <c r="K211" s="250"/>
    </row>
    <row r="212" spans="1:11" x14ac:dyDescent="0.25">
      <c r="A212" s="186"/>
      <c r="B212" s="93" t="s">
        <v>111</v>
      </c>
      <c r="C212" s="182">
        <v>60000</v>
      </c>
      <c r="D212" s="182"/>
      <c r="E212" s="182">
        <f t="shared" si="22"/>
        <v>60000</v>
      </c>
      <c r="F212" s="182"/>
      <c r="G212" s="182">
        <v>60000</v>
      </c>
      <c r="H212" s="517"/>
      <c r="I212" s="250"/>
      <c r="J212" s="250" t="s">
        <v>595</v>
      </c>
      <c r="K212" s="250"/>
    </row>
    <row r="213" spans="1:11" x14ac:dyDescent="0.25">
      <c r="A213" s="186"/>
      <c r="B213" s="93" t="s">
        <v>511</v>
      </c>
      <c r="C213" s="182">
        <v>32000</v>
      </c>
      <c r="D213" s="182"/>
      <c r="E213" s="182">
        <f t="shared" si="22"/>
        <v>32000</v>
      </c>
      <c r="F213" s="182"/>
      <c r="G213" s="182">
        <v>32000</v>
      </c>
      <c r="H213" s="517"/>
      <c r="I213" s="250"/>
      <c r="J213" s="250" t="s">
        <v>595</v>
      </c>
      <c r="K213" s="250"/>
    </row>
    <row r="214" spans="1:11" ht="31.5" x14ac:dyDescent="0.25">
      <c r="A214" s="186"/>
      <c r="B214" s="93" t="s">
        <v>743</v>
      </c>
      <c r="C214" s="182">
        <v>9000</v>
      </c>
      <c r="D214" s="182"/>
      <c r="E214" s="182">
        <f t="shared" si="22"/>
        <v>9000</v>
      </c>
      <c r="F214" s="182"/>
      <c r="G214" s="182">
        <v>9000</v>
      </c>
      <c r="H214" s="517"/>
      <c r="I214" s="250"/>
      <c r="J214" s="250" t="s">
        <v>595</v>
      </c>
      <c r="K214" s="250"/>
    </row>
    <row r="215" spans="1:11" x14ac:dyDescent="0.25">
      <c r="A215" s="186"/>
      <c r="B215" s="93" t="s">
        <v>66</v>
      </c>
      <c r="C215" s="182">
        <v>35000</v>
      </c>
      <c r="D215" s="182"/>
      <c r="E215" s="182">
        <f t="shared" si="22"/>
        <v>35000</v>
      </c>
      <c r="F215" s="182"/>
      <c r="G215" s="182">
        <v>35000</v>
      </c>
      <c r="H215" s="517"/>
      <c r="I215" s="250"/>
      <c r="J215" s="250" t="s">
        <v>595</v>
      </c>
      <c r="K215" s="250"/>
    </row>
    <row r="216" spans="1:11" x14ac:dyDescent="0.25">
      <c r="A216" s="186"/>
      <c r="B216" s="93" t="s">
        <v>325</v>
      </c>
      <c r="C216" s="182">
        <v>126000</v>
      </c>
      <c r="D216" s="182"/>
      <c r="E216" s="182">
        <f t="shared" si="22"/>
        <v>126000</v>
      </c>
      <c r="F216" s="182"/>
      <c r="G216" s="182">
        <v>126000</v>
      </c>
      <c r="H216" s="517"/>
      <c r="I216" s="250"/>
      <c r="J216" s="250" t="s">
        <v>595</v>
      </c>
      <c r="K216" s="250"/>
    </row>
    <row r="217" spans="1:11" ht="31.5" x14ac:dyDescent="0.25">
      <c r="A217" s="186"/>
      <c r="B217" s="93" t="s">
        <v>744</v>
      </c>
      <c r="C217" s="182">
        <v>16000</v>
      </c>
      <c r="D217" s="182"/>
      <c r="E217" s="182">
        <f t="shared" si="22"/>
        <v>16000</v>
      </c>
      <c r="F217" s="182"/>
      <c r="G217" s="182">
        <v>16000</v>
      </c>
      <c r="H217" s="517"/>
      <c r="I217" s="250"/>
      <c r="J217" s="250" t="s">
        <v>595</v>
      </c>
      <c r="K217" s="250"/>
    </row>
    <row r="218" spans="1:11" ht="31.5" x14ac:dyDescent="0.25">
      <c r="A218" s="186"/>
      <c r="B218" s="93" t="s">
        <v>915</v>
      </c>
      <c r="C218" s="182">
        <v>4000</v>
      </c>
      <c r="D218" s="182"/>
      <c r="E218" s="182">
        <f t="shared" ref="E218" si="27">SUM(C218:D218)</f>
        <v>4000</v>
      </c>
      <c r="F218" s="182"/>
      <c r="G218" s="182">
        <v>4000</v>
      </c>
      <c r="H218" s="517"/>
      <c r="I218" s="250"/>
      <c r="J218" s="250" t="s">
        <v>595</v>
      </c>
      <c r="K218" s="250"/>
    </row>
    <row r="219" spans="1:11" x14ac:dyDescent="0.25">
      <c r="A219" s="186"/>
      <c r="B219" s="93" t="s">
        <v>100</v>
      </c>
      <c r="C219" s="182">
        <v>7000</v>
      </c>
      <c r="D219" s="182"/>
      <c r="E219" s="182">
        <f t="shared" si="22"/>
        <v>7000</v>
      </c>
      <c r="F219" s="182"/>
      <c r="G219" s="182">
        <f>5000+2000</f>
        <v>7000</v>
      </c>
      <c r="H219" s="517"/>
      <c r="I219" s="250"/>
      <c r="J219" s="250" t="s">
        <v>595</v>
      </c>
      <c r="K219" s="250"/>
    </row>
    <row r="220" spans="1:11" x14ac:dyDescent="0.25">
      <c r="A220" s="186"/>
      <c r="B220" s="175" t="s">
        <v>135</v>
      </c>
      <c r="C220" s="178">
        <v>205000</v>
      </c>
      <c r="D220" s="178">
        <f>SUM(D221:D223)</f>
        <v>0</v>
      </c>
      <c r="E220" s="178">
        <f t="shared" si="22"/>
        <v>205000</v>
      </c>
      <c r="F220" s="178">
        <f>SUM(F221:F223)</f>
        <v>0</v>
      </c>
      <c r="G220" s="178">
        <f>SUM(G221:G223)</f>
        <v>205000</v>
      </c>
      <c r="H220" s="189">
        <f>SUM(H221:H223)</f>
        <v>0</v>
      </c>
      <c r="I220" s="176" t="s">
        <v>595</v>
      </c>
      <c r="J220" s="176"/>
      <c r="K220" s="176"/>
    </row>
    <row r="221" spans="1:11" ht="31.5" x14ac:dyDescent="0.25">
      <c r="A221" s="186"/>
      <c r="B221" s="93" t="s">
        <v>616</v>
      </c>
      <c r="C221" s="182">
        <v>130000</v>
      </c>
      <c r="D221" s="182"/>
      <c r="E221" s="182">
        <f t="shared" si="22"/>
        <v>130000</v>
      </c>
      <c r="F221" s="182"/>
      <c r="G221" s="182">
        <v>130000</v>
      </c>
      <c r="H221" s="517"/>
      <c r="I221" s="250" t="s">
        <v>595</v>
      </c>
      <c r="J221" s="250"/>
      <c r="K221" s="250"/>
    </row>
    <row r="222" spans="1:11" ht="30" customHeight="1" x14ac:dyDescent="0.25">
      <c r="A222" s="186"/>
      <c r="B222" s="93" t="s">
        <v>136</v>
      </c>
      <c r="C222" s="182">
        <v>40000</v>
      </c>
      <c r="D222" s="182"/>
      <c r="E222" s="182">
        <f t="shared" si="22"/>
        <v>40000</v>
      </c>
      <c r="F222" s="182"/>
      <c r="G222" s="182">
        <v>40000</v>
      </c>
      <c r="H222" s="517"/>
      <c r="I222" s="250" t="s">
        <v>595</v>
      </c>
      <c r="J222" s="250"/>
      <c r="K222" s="250"/>
    </row>
    <row r="223" spans="1:11" ht="31.5" x14ac:dyDescent="0.25">
      <c r="A223" s="186"/>
      <c r="B223" s="93" t="s">
        <v>50</v>
      </c>
      <c r="C223" s="182">
        <v>35000</v>
      </c>
      <c r="D223" s="182"/>
      <c r="E223" s="182">
        <f t="shared" si="22"/>
        <v>35000</v>
      </c>
      <c r="F223" s="182"/>
      <c r="G223" s="182">
        <v>35000</v>
      </c>
      <c r="H223" s="517"/>
      <c r="I223" s="250" t="s">
        <v>595</v>
      </c>
      <c r="J223" s="250"/>
      <c r="K223" s="250"/>
    </row>
    <row r="224" spans="1:11" x14ac:dyDescent="0.25">
      <c r="A224" s="186"/>
      <c r="B224" s="175" t="s">
        <v>241</v>
      </c>
      <c r="C224" s="178">
        <v>219853</v>
      </c>
      <c r="D224" s="178"/>
      <c r="E224" s="178">
        <f t="shared" si="22"/>
        <v>219853</v>
      </c>
      <c r="F224" s="178">
        <v>0</v>
      </c>
      <c r="G224" s="178">
        <f>162500+1+3000+470+10000+10000+1000+1270+500+2000+1000+5000+3312+16650+2850-500+800</f>
        <v>219853</v>
      </c>
      <c r="H224" s="189"/>
      <c r="I224" s="176"/>
      <c r="J224" s="176" t="s">
        <v>595</v>
      </c>
      <c r="K224" s="176"/>
    </row>
    <row r="225" spans="1:11" s="282" customFormat="1" ht="31.5" x14ac:dyDescent="0.25">
      <c r="A225" s="279"/>
      <c r="B225" s="280" t="s">
        <v>745</v>
      </c>
      <c r="C225" s="281">
        <v>2000</v>
      </c>
      <c r="D225" s="278"/>
      <c r="E225" s="274">
        <f t="shared" si="22"/>
        <v>2000</v>
      </c>
      <c r="F225" s="281"/>
      <c r="G225" s="278">
        <v>2000</v>
      </c>
      <c r="H225" s="529"/>
      <c r="I225" s="277"/>
      <c r="J225" s="277" t="s">
        <v>595</v>
      </c>
      <c r="K225" s="283"/>
    </row>
    <row r="226" spans="1:11" s="282" customFormat="1" x14ac:dyDescent="0.25">
      <c r="A226" s="279"/>
      <c r="B226" s="280" t="s">
        <v>326</v>
      </c>
      <c r="C226" s="281">
        <v>500</v>
      </c>
      <c r="D226" s="278"/>
      <c r="E226" s="274">
        <f t="shared" si="22"/>
        <v>500</v>
      </c>
      <c r="F226" s="281"/>
      <c r="G226" s="278">
        <v>500</v>
      </c>
      <c r="H226" s="529"/>
      <c r="I226" s="277"/>
      <c r="J226" s="277" t="s">
        <v>595</v>
      </c>
      <c r="K226" s="283"/>
    </row>
    <row r="227" spans="1:11" s="282" customFormat="1" x14ac:dyDescent="0.25">
      <c r="A227" s="279"/>
      <c r="B227" s="280" t="s">
        <v>327</v>
      </c>
      <c r="C227" s="281">
        <v>12000</v>
      </c>
      <c r="D227" s="278"/>
      <c r="E227" s="274">
        <f t="shared" si="22"/>
        <v>12000</v>
      </c>
      <c r="F227" s="281"/>
      <c r="G227" s="278">
        <v>12000</v>
      </c>
      <c r="H227" s="529"/>
      <c r="I227" s="277"/>
      <c r="J227" s="277" t="s">
        <v>595</v>
      </c>
      <c r="K227" s="283"/>
    </row>
    <row r="228" spans="1:11" s="282" customFormat="1" ht="31.5" x14ac:dyDescent="0.25">
      <c r="A228" s="279"/>
      <c r="B228" s="280" t="s">
        <v>617</v>
      </c>
      <c r="C228" s="281">
        <v>41000</v>
      </c>
      <c r="D228" s="278"/>
      <c r="E228" s="274">
        <f t="shared" si="22"/>
        <v>41000</v>
      </c>
      <c r="F228" s="281"/>
      <c r="G228" s="278">
        <v>41000</v>
      </c>
      <c r="H228" s="529"/>
      <c r="I228" s="277"/>
      <c r="J228" s="277" t="s">
        <v>595</v>
      </c>
      <c r="K228" s="283"/>
    </row>
    <row r="229" spans="1:11" s="282" customFormat="1" ht="31.5" x14ac:dyDescent="0.25">
      <c r="A229" s="279"/>
      <c r="B229" s="280" t="s">
        <v>618</v>
      </c>
      <c r="C229" s="281">
        <v>4000</v>
      </c>
      <c r="D229" s="278"/>
      <c r="E229" s="274">
        <f t="shared" si="22"/>
        <v>4000</v>
      </c>
      <c r="F229" s="281"/>
      <c r="G229" s="278">
        <v>4000</v>
      </c>
      <c r="H229" s="529"/>
      <c r="I229" s="277"/>
      <c r="J229" s="277" t="s">
        <v>595</v>
      </c>
      <c r="K229" s="283"/>
    </row>
    <row r="230" spans="1:11" s="282" customFormat="1" ht="31.5" x14ac:dyDescent="0.25">
      <c r="A230" s="279"/>
      <c r="B230" s="280" t="s">
        <v>328</v>
      </c>
      <c r="C230" s="281">
        <v>1000</v>
      </c>
      <c r="D230" s="278"/>
      <c r="E230" s="274">
        <f t="shared" si="22"/>
        <v>1000</v>
      </c>
      <c r="F230" s="281"/>
      <c r="G230" s="278">
        <v>1000</v>
      </c>
      <c r="H230" s="529"/>
      <c r="I230" s="277"/>
      <c r="J230" s="277" t="s">
        <v>595</v>
      </c>
      <c r="K230" s="283"/>
    </row>
    <row r="231" spans="1:11" s="282" customFormat="1" x14ac:dyDescent="0.25">
      <c r="A231" s="279"/>
      <c r="B231" s="280" t="s">
        <v>619</v>
      </c>
      <c r="C231" s="281">
        <v>1500</v>
      </c>
      <c r="D231" s="278"/>
      <c r="E231" s="274">
        <f t="shared" si="22"/>
        <v>1500</v>
      </c>
      <c r="F231" s="281"/>
      <c r="G231" s="278">
        <v>1500</v>
      </c>
      <c r="H231" s="529"/>
      <c r="I231" s="277"/>
      <c r="J231" s="277" t="s">
        <v>595</v>
      </c>
      <c r="K231" s="283"/>
    </row>
    <row r="232" spans="1:11" s="282" customFormat="1" x14ac:dyDescent="0.25">
      <c r="A232" s="279"/>
      <c r="B232" s="280" t="s">
        <v>620</v>
      </c>
      <c r="C232" s="281">
        <v>20000</v>
      </c>
      <c r="D232" s="278"/>
      <c r="E232" s="274">
        <f t="shared" si="22"/>
        <v>20000</v>
      </c>
      <c r="F232" s="281"/>
      <c r="G232" s="278">
        <f>10000+10000</f>
        <v>20000</v>
      </c>
      <c r="H232" s="529"/>
      <c r="I232" s="277"/>
      <c r="J232" s="277" t="s">
        <v>595</v>
      </c>
      <c r="K232" s="283"/>
    </row>
    <row r="233" spans="1:11" s="282" customFormat="1" x14ac:dyDescent="0.25">
      <c r="A233" s="279"/>
      <c r="B233" s="280" t="s">
        <v>512</v>
      </c>
      <c r="C233" s="281">
        <v>25000</v>
      </c>
      <c r="D233" s="278"/>
      <c r="E233" s="274">
        <f t="shared" si="22"/>
        <v>25000</v>
      </c>
      <c r="F233" s="281"/>
      <c r="G233" s="278">
        <f>15000+10000</f>
        <v>25000</v>
      </c>
      <c r="H233" s="529"/>
      <c r="I233" s="277"/>
      <c r="J233" s="277" t="s">
        <v>595</v>
      </c>
      <c r="K233" s="283"/>
    </row>
    <row r="234" spans="1:11" s="282" customFormat="1" x14ac:dyDescent="0.25">
      <c r="A234" s="279" t="s">
        <v>839</v>
      </c>
      <c r="B234" s="280" t="s">
        <v>840</v>
      </c>
      <c r="C234" s="281">
        <v>3000</v>
      </c>
      <c r="D234" s="278"/>
      <c r="E234" s="274">
        <f t="shared" ref="E234:E235" si="28">SUM(C234:D234)</f>
        <v>3000</v>
      </c>
      <c r="F234" s="281"/>
      <c r="G234" s="278">
        <v>3000</v>
      </c>
      <c r="H234" s="529"/>
      <c r="I234" s="277"/>
      <c r="J234" s="277" t="s">
        <v>595</v>
      </c>
      <c r="K234" s="283"/>
    </row>
    <row r="235" spans="1:11" s="282" customFormat="1" x14ac:dyDescent="0.25">
      <c r="A235" s="279"/>
      <c r="B235" s="280" t="s">
        <v>898</v>
      </c>
      <c r="C235" s="281">
        <v>470</v>
      </c>
      <c r="D235" s="278"/>
      <c r="E235" s="274">
        <f t="shared" si="28"/>
        <v>470</v>
      </c>
      <c r="F235" s="281"/>
      <c r="G235" s="278">
        <v>470</v>
      </c>
      <c r="H235" s="529"/>
      <c r="I235" s="277"/>
      <c r="J235" s="277" t="s">
        <v>595</v>
      </c>
      <c r="K235" s="283"/>
    </row>
    <row r="236" spans="1:11" s="282" customFormat="1" x14ac:dyDescent="0.25">
      <c r="A236" s="279"/>
      <c r="B236" s="280" t="s">
        <v>841</v>
      </c>
      <c r="C236" s="281">
        <v>1000</v>
      </c>
      <c r="D236" s="278"/>
      <c r="E236" s="274">
        <f t="shared" ref="E236" si="29">SUM(C236:D236)</f>
        <v>1000</v>
      </c>
      <c r="F236" s="281"/>
      <c r="G236" s="278">
        <v>1000</v>
      </c>
      <c r="H236" s="529"/>
      <c r="I236" s="277"/>
      <c r="J236" s="277" t="s">
        <v>595</v>
      </c>
      <c r="K236" s="283"/>
    </row>
    <row r="237" spans="1:11" s="282" customFormat="1" ht="31.5" x14ac:dyDescent="0.25">
      <c r="A237" s="279"/>
      <c r="B237" s="280" t="s">
        <v>866</v>
      </c>
      <c r="C237" s="281">
        <v>1270</v>
      </c>
      <c r="D237" s="278"/>
      <c r="E237" s="274">
        <f t="shared" ref="E237:E238" si="30">SUM(C237:D237)</f>
        <v>1270</v>
      </c>
      <c r="F237" s="281"/>
      <c r="G237" s="278">
        <v>1270</v>
      </c>
      <c r="H237" s="529"/>
      <c r="I237" s="277"/>
      <c r="J237" s="277" t="s">
        <v>595</v>
      </c>
      <c r="K237" s="283"/>
    </row>
    <row r="238" spans="1:11" s="282" customFormat="1" x14ac:dyDescent="0.25">
      <c r="A238" s="279"/>
      <c r="B238" s="280" t="s">
        <v>899</v>
      </c>
      <c r="C238" s="281">
        <v>0</v>
      </c>
      <c r="D238" s="278"/>
      <c r="E238" s="274">
        <f t="shared" si="30"/>
        <v>0</v>
      </c>
      <c r="F238" s="281"/>
      <c r="G238" s="278">
        <f>500-500</f>
        <v>0</v>
      </c>
      <c r="H238" s="529"/>
      <c r="I238" s="277"/>
      <c r="J238" s="277" t="s">
        <v>595</v>
      </c>
      <c r="K238" s="283"/>
    </row>
    <row r="239" spans="1:11" s="282" customFormat="1" x14ac:dyDescent="0.25">
      <c r="A239" s="279"/>
      <c r="B239" s="280" t="s">
        <v>513</v>
      </c>
      <c r="C239" s="281">
        <v>1000</v>
      </c>
      <c r="D239" s="278"/>
      <c r="E239" s="274">
        <f t="shared" si="22"/>
        <v>1000</v>
      </c>
      <c r="F239" s="281"/>
      <c r="G239" s="278">
        <v>1000</v>
      </c>
      <c r="H239" s="529"/>
      <c r="I239" s="277"/>
      <c r="J239" s="277" t="s">
        <v>595</v>
      </c>
      <c r="K239" s="283"/>
    </row>
    <row r="240" spans="1:11" s="282" customFormat="1" x14ac:dyDescent="0.25">
      <c r="A240" s="279"/>
      <c r="B240" s="280" t="s">
        <v>746</v>
      </c>
      <c r="C240" s="281">
        <v>10000</v>
      </c>
      <c r="D240" s="278"/>
      <c r="E240" s="274">
        <f t="shared" si="22"/>
        <v>10000</v>
      </c>
      <c r="F240" s="281"/>
      <c r="G240" s="278">
        <v>10000</v>
      </c>
      <c r="H240" s="529"/>
      <c r="I240" s="277"/>
      <c r="J240" s="277" t="s">
        <v>595</v>
      </c>
      <c r="K240" s="283"/>
    </row>
    <row r="241" spans="1:11" s="282" customFormat="1" x14ac:dyDescent="0.25">
      <c r="A241" s="279"/>
      <c r="B241" s="280" t="s">
        <v>747</v>
      </c>
      <c r="C241" s="281">
        <v>1000</v>
      </c>
      <c r="D241" s="278"/>
      <c r="E241" s="274">
        <f t="shared" si="22"/>
        <v>1000</v>
      </c>
      <c r="F241" s="281"/>
      <c r="G241" s="278">
        <v>1000</v>
      </c>
      <c r="H241" s="529"/>
      <c r="I241" s="277"/>
      <c r="J241" s="277" t="s">
        <v>595</v>
      </c>
      <c r="K241" s="283"/>
    </row>
    <row r="242" spans="1:11" s="282" customFormat="1" x14ac:dyDescent="0.25">
      <c r="A242" s="279"/>
      <c r="B242" s="280" t="s">
        <v>916</v>
      </c>
      <c r="C242" s="281">
        <v>2000</v>
      </c>
      <c r="D242" s="278"/>
      <c r="E242" s="274">
        <f t="shared" ref="E242:E243" si="31">SUM(C242:D242)</f>
        <v>2000</v>
      </c>
      <c r="F242" s="281"/>
      <c r="G242" s="278">
        <v>2000</v>
      </c>
      <c r="H242" s="529"/>
      <c r="I242" s="277"/>
      <c r="J242" s="277" t="s">
        <v>595</v>
      </c>
      <c r="K242" s="283"/>
    </row>
    <row r="243" spans="1:11" s="282" customFormat="1" x14ac:dyDescent="0.25">
      <c r="A243" s="279"/>
      <c r="B243" s="280" t="s">
        <v>938</v>
      </c>
      <c r="C243" s="281">
        <v>1000</v>
      </c>
      <c r="D243" s="278"/>
      <c r="E243" s="274">
        <f t="shared" si="31"/>
        <v>1000</v>
      </c>
      <c r="F243" s="281"/>
      <c r="G243" s="278">
        <v>1000</v>
      </c>
      <c r="H243" s="529"/>
      <c r="I243" s="277"/>
      <c r="J243" s="277" t="s">
        <v>595</v>
      </c>
      <c r="K243" s="283"/>
    </row>
    <row r="244" spans="1:11" s="282" customFormat="1" x14ac:dyDescent="0.25">
      <c r="A244" s="279"/>
      <c r="B244" s="280" t="s">
        <v>748</v>
      </c>
      <c r="C244" s="281">
        <v>15000</v>
      </c>
      <c r="D244" s="278"/>
      <c r="E244" s="274">
        <f t="shared" si="22"/>
        <v>15000</v>
      </c>
      <c r="F244" s="281"/>
      <c r="G244" s="278">
        <f>10000+5000</f>
        <v>15000</v>
      </c>
      <c r="H244" s="529"/>
      <c r="I244" s="277"/>
      <c r="J244" s="277" t="s">
        <v>595</v>
      </c>
      <c r="K244" s="283"/>
    </row>
    <row r="245" spans="1:11" s="282" customFormat="1" ht="31.5" x14ac:dyDescent="0.25">
      <c r="A245" s="279"/>
      <c r="B245" s="280" t="s">
        <v>939</v>
      </c>
      <c r="C245" s="281">
        <v>3312</v>
      </c>
      <c r="D245" s="278"/>
      <c r="E245" s="274">
        <f t="shared" si="22"/>
        <v>3312</v>
      </c>
      <c r="F245" s="281"/>
      <c r="G245" s="278">
        <v>3312</v>
      </c>
      <c r="H245" s="529"/>
      <c r="I245" s="277"/>
      <c r="J245" s="277" t="s">
        <v>595</v>
      </c>
      <c r="K245" s="283"/>
    </row>
    <row r="246" spans="1:11" s="282" customFormat="1" x14ac:dyDescent="0.25">
      <c r="A246" s="279"/>
      <c r="B246" s="280" t="s">
        <v>749</v>
      </c>
      <c r="C246" s="281">
        <v>24151</v>
      </c>
      <c r="D246" s="278"/>
      <c r="E246" s="274">
        <f t="shared" ref="E246" si="32">SUM(C246:D246)</f>
        <v>24151</v>
      </c>
      <c r="F246" s="281"/>
      <c r="G246" s="278">
        <f>7500+1+16650</f>
        <v>24151</v>
      </c>
      <c r="H246" s="529"/>
      <c r="I246" s="277"/>
      <c r="J246" s="277" t="s">
        <v>595</v>
      </c>
      <c r="K246" s="283"/>
    </row>
    <row r="247" spans="1:11" s="282" customFormat="1" x14ac:dyDescent="0.25">
      <c r="A247" s="279"/>
      <c r="B247" s="280" t="s">
        <v>923</v>
      </c>
      <c r="C247" s="281">
        <v>2850</v>
      </c>
      <c r="D247" s="278"/>
      <c r="E247" s="274">
        <f t="shared" si="22"/>
        <v>2850</v>
      </c>
      <c r="F247" s="281"/>
      <c r="G247" s="278">
        <v>2850</v>
      </c>
      <c r="H247" s="529"/>
      <c r="I247" s="277"/>
      <c r="J247" s="277" t="s">
        <v>595</v>
      </c>
      <c r="K247" s="283"/>
    </row>
    <row r="248" spans="1:11" s="282" customFormat="1" x14ac:dyDescent="0.25">
      <c r="A248" s="279"/>
      <c r="B248" s="280" t="s">
        <v>750</v>
      </c>
      <c r="C248" s="281">
        <v>1000</v>
      </c>
      <c r="D248" s="278"/>
      <c r="E248" s="274">
        <f t="shared" si="22"/>
        <v>1000</v>
      </c>
      <c r="F248" s="281"/>
      <c r="G248" s="278">
        <v>1000</v>
      </c>
      <c r="H248" s="529"/>
      <c r="I248" s="277"/>
      <c r="J248" s="277" t="s">
        <v>595</v>
      </c>
      <c r="K248" s="283"/>
    </row>
    <row r="249" spans="1:11" s="282" customFormat="1" ht="31.5" x14ac:dyDescent="0.25">
      <c r="A249" s="279"/>
      <c r="B249" s="280" t="s">
        <v>751</v>
      </c>
      <c r="C249" s="281">
        <v>45000</v>
      </c>
      <c r="D249" s="278"/>
      <c r="E249" s="274">
        <f t="shared" ref="E249" si="33">SUM(C249:D249)</f>
        <v>45000</v>
      </c>
      <c r="F249" s="281"/>
      <c r="G249" s="278">
        <v>45000</v>
      </c>
      <c r="H249" s="529"/>
      <c r="I249" s="277"/>
      <c r="J249" s="277" t="s">
        <v>595</v>
      </c>
      <c r="K249" s="283"/>
    </row>
    <row r="250" spans="1:11" s="282" customFormat="1" x14ac:dyDescent="0.25">
      <c r="A250" s="279"/>
      <c r="B250" s="280" t="s">
        <v>946</v>
      </c>
      <c r="C250" s="281">
        <v>800</v>
      </c>
      <c r="D250" s="278"/>
      <c r="E250" s="274">
        <f t="shared" si="22"/>
        <v>800</v>
      </c>
      <c r="F250" s="281"/>
      <c r="G250" s="278">
        <v>800</v>
      </c>
      <c r="H250" s="529"/>
      <c r="I250" s="277"/>
      <c r="J250" s="277" t="s">
        <v>595</v>
      </c>
      <c r="K250" s="283"/>
    </row>
    <row r="251" spans="1:11" x14ac:dyDescent="0.25">
      <c r="A251" s="186" t="s">
        <v>96</v>
      </c>
      <c r="B251" s="183" t="s">
        <v>67</v>
      </c>
      <c r="C251" s="173">
        <v>6000</v>
      </c>
      <c r="D251" s="173"/>
      <c r="E251" s="173">
        <f t="shared" si="22"/>
        <v>6000</v>
      </c>
      <c r="F251" s="173"/>
      <c r="G251" s="173">
        <v>6000</v>
      </c>
      <c r="H251" s="177"/>
      <c r="I251" s="174" t="s">
        <v>595</v>
      </c>
      <c r="J251" s="174"/>
      <c r="K251" s="174"/>
    </row>
    <row r="252" spans="1:11" x14ac:dyDescent="0.25">
      <c r="A252" s="186" t="s">
        <v>97</v>
      </c>
      <c r="B252" s="183" t="s">
        <v>514</v>
      </c>
      <c r="C252" s="177">
        <f>SUM(C253:C257,C258,C259,C260,C261)</f>
        <v>254209</v>
      </c>
      <c r="D252" s="177">
        <f>SUM(D253:D257,D258,D259,D260,D261)</f>
        <v>1816</v>
      </c>
      <c r="E252" s="177">
        <f t="shared" si="22"/>
        <v>256025</v>
      </c>
      <c r="F252" s="177">
        <f>SUM(F253:F257,F258,F259,F260,F261)</f>
        <v>11071</v>
      </c>
      <c r="G252" s="177">
        <f>SUM(G253:G257,G258,G259,G260,G261)</f>
        <v>253146</v>
      </c>
      <c r="H252" s="177">
        <f>SUM(H253:H257,H258,H259,H260,H261)</f>
        <v>-8192</v>
      </c>
      <c r="I252" s="174" t="s">
        <v>595</v>
      </c>
      <c r="J252" s="174" t="s">
        <v>595</v>
      </c>
      <c r="K252" s="174"/>
    </row>
    <row r="253" spans="1:11" x14ac:dyDescent="0.25">
      <c r="A253" s="186"/>
      <c r="B253" s="183" t="s">
        <v>752</v>
      </c>
      <c r="C253" s="173">
        <v>5600</v>
      </c>
      <c r="D253" s="173"/>
      <c r="E253" s="173">
        <f t="shared" si="22"/>
        <v>5600</v>
      </c>
      <c r="F253" s="173">
        <v>50</v>
      </c>
      <c r="G253" s="173">
        <v>5600</v>
      </c>
      <c r="H253" s="177">
        <v>-50</v>
      </c>
      <c r="I253" s="174"/>
      <c r="J253" s="174" t="s">
        <v>595</v>
      </c>
      <c r="K253" s="174"/>
    </row>
    <row r="254" spans="1:11" x14ac:dyDescent="0.25">
      <c r="A254" s="186"/>
      <c r="B254" s="183" t="s">
        <v>753</v>
      </c>
      <c r="C254" s="173">
        <v>11000</v>
      </c>
      <c r="D254" s="173"/>
      <c r="E254" s="173">
        <f t="shared" si="22"/>
        <v>11000</v>
      </c>
      <c r="F254" s="173"/>
      <c r="G254" s="173">
        <v>11000</v>
      </c>
      <c r="H254" s="177"/>
      <c r="I254" s="174"/>
      <c r="J254" s="174" t="s">
        <v>595</v>
      </c>
      <c r="K254" s="174"/>
    </row>
    <row r="255" spans="1:11" x14ac:dyDescent="0.25">
      <c r="A255" s="186"/>
      <c r="B255" s="183" t="s">
        <v>754</v>
      </c>
      <c r="C255" s="173">
        <v>65062</v>
      </c>
      <c r="D255" s="173"/>
      <c r="E255" s="173">
        <f t="shared" si="22"/>
        <v>65062</v>
      </c>
      <c r="F255" s="173">
        <v>10053</v>
      </c>
      <c r="G255" s="173">
        <v>55009</v>
      </c>
      <c r="H255" s="177"/>
      <c r="I255" s="174" t="s">
        <v>595</v>
      </c>
      <c r="J255" s="174" t="s">
        <v>595</v>
      </c>
      <c r="K255" s="174"/>
    </row>
    <row r="256" spans="1:11" x14ac:dyDescent="0.25">
      <c r="A256" s="186"/>
      <c r="B256" s="183" t="s">
        <v>755</v>
      </c>
      <c r="C256" s="173">
        <v>1098</v>
      </c>
      <c r="D256" s="173">
        <v>1</v>
      </c>
      <c r="E256" s="173">
        <f t="shared" si="22"/>
        <v>1099</v>
      </c>
      <c r="F256" s="173"/>
      <c r="G256" s="173">
        <f>1500-402+1</f>
        <v>1099</v>
      </c>
      <c r="H256" s="177"/>
      <c r="I256" s="174"/>
      <c r="J256" s="174" t="s">
        <v>595</v>
      </c>
      <c r="K256" s="174"/>
    </row>
    <row r="257" spans="1:11" x14ac:dyDescent="0.25">
      <c r="A257" s="186"/>
      <c r="B257" s="183" t="s">
        <v>756</v>
      </c>
      <c r="C257" s="173">
        <v>4500</v>
      </c>
      <c r="D257" s="173"/>
      <c r="E257" s="173">
        <f t="shared" si="22"/>
        <v>4500</v>
      </c>
      <c r="F257" s="173"/>
      <c r="G257" s="173">
        <v>4500</v>
      </c>
      <c r="H257" s="177"/>
      <c r="I257" s="174"/>
      <c r="J257" s="174" t="s">
        <v>595</v>
      </c>
      <c r="K257" s="174"/>
    </row>
    <row r="258" spans="1:11" x14ac:dyDescent="0.25">
      <c r="A258" s="186"/>
      <c r="B258" s="183" t="s">
        <v>113</v>
      </c>
      <c r="C258" s="173">
        <v>68144</v>
      </c>
      <c r="D258" s="173">
        <f>1094+3+1151+52</f>
        <v>2300</v>
      </c>
      <c r="E258" s="173">
        <f t="shared" si="22"/>
        <v>70444</v>
      </c>
      <c r="F258" s="173"/>
      <c r="G258" s="173">
        <f>62238+5906+1094+3+1151+52</f>
        <v>70444</v>
      </c>
      <c r="H258" s="177"/>
      <c r="I258" s="174" t="s">
        <v>595</v>
      </c>
      <c r="J258" s="174"/>
      <c r="K258" s="174"/>
    </row>
    <row r="259" spans="1:11" x14ac:dyDescent="0.25">
      <c r="A259" s="186"/>
      <c r="B259" s="183" t="s">
        <v>98</v>
      </c>
      <c r="C259" s="173">
        <v>31378</v>
      </c>
      <c r="D259" s="173"/>
      <c r="E259" s="173">
        <f t="shared" si="22"/>
        <v>31378</v>
      </c>
      <c r="F259" s="173">
        <f>967-249</f>
        <v>718</v>
      </c>
      <c r="G259" s="173">
        <v>31442</v>
      </c>
      <c r="H259" s="177">
        <f>-190-40-60-100-60-102-150-80</f>
        <v>-782</v>
      </c>
      <c r="I259" s="174"/>
      <c r="J259" s="174" t="s">
        <v>595</v>
      </c>
      <c r="K259" s="174"/>
    </row>
    <row r="260" spans="1:11" x14ac:dyDescent="0.25">
      <c r="A260" s="186"/>
      <c r="B260" s="183" t="s">
        <v>99</v>
      </c>
      <c r="C260" s="173">
        <v>42427</v>
      </c>
      <c r="D260" s="173">
        <v>-485</v>
      </c>
      <c r="E260" s="173">
        <f t="shared" si="22"/>
        <v>41942</v>
      </c>
      <c r="F260" s="173">
        <v>250</v>
      </c>
      <c r="G260" s="173">
        <f>45902+3150</f>
        <v>49052</v>
      </c>
      <c r="H260" s="177">
        <f>-100-150-4570-2055-485</f>
        <v>-7360</v>
      </c>
      <c r="I260" s="174"/>
      <c r="J260" s="174" t="s">
        <v>595</v>
      </c>
      <c r="K260" s="174"/>
    </row>
    <row r="261" spans="1:11" ht="16.5" thickBot="1" x14ac:dyDescent="0.3">
      <c r="A261" s="186"/>
      <c r="B261" s="183" t="s">
        <v>68</v>
      </c>
      <c r="C261" s="173">
        <v>25000</v>
      </c>
      <c r="D261" s="173"/>
      <c r="E261" s="173">
        <f t="shared" si="22"/>
        <v>25000</v>
      </c>
      <c r="F261" s="173"/>
      <c r="G261" s="173">
        <v>25000</v>
      </c>
      <c r="H261" s="177"/>
      <c r="I261" s="174" t="s">
        <v>595</v>
      </c>
      <c r="J261" s="174"/>
      <c r="K261" s="174"/>
    </row>
    <row r="262" spans="1:11" ht="16.5" thickBot="1" x14ac:dyDescent="0.3">
      <c r="A262" s="506"/>
      <c r="B262" s="507" t="s">
        <v>75</v>
      </c>
      <c r="C262" s="187">
        <f>SUM(C4,C89,C93,C98,C105,C115,C251,C252)</f>
        <v>52355319</v>
      </c>
      <c r="D262" s="187">
        <f>SUM(D4,D89,D93,D98,D105,D115,D251,D252)</f>
        <v>1099522</v>
      </c>
      <c r="E262" s="187">
        <f t="shared" si="22"/>
        <v>53454841</v>
      </c>
      <c r="F262" s="187">
        <f>SUM(F4,F89,F93,F98,F105,F115,F251,F252)</f>
        <v>373586</v>
      </c>
      <c r="G262" s="187">
        <f>SUM(G4,G89,G93,G98,G105,G115,G251,G252)</f>
        <v>53158859</v>
      </c>
      <c r="H262" s="187">
        <f>SUM(H4,H89,H93,H98,H105,H115,H251,H252)</f>
        <v>-77604</v>
      </c>
      <c r="I262" s="188" t="s">
        <v>134</v>
      </c>
      <c r="J262" s="188" t="s">
        <v>134</v>
      </c>
      <c r="K262" s="188" t="s">
        <v>134</v>
      </c>
    </row>
    <row r="263" spans="1:11" x14ac:dyDescent="0.25">
      <c r="A263" s="506"/>
      <c r="B263" s="882" t="s">
        <v>74</v>
      </c>
      <c r="C263" s="251">
        <v>255418</v>
      </c>
      <c r="D263" s="251">
        <f>126195-19416-3031-3122+85972+33638+5033+140782+9302+11381+1-1-1-1-1-1-1+5-1-1-1-14-1-1-188-1-90005+18+2494+320+35314+193-80926+582545-109+6484-22568+1232+3774+720-1052-3000+160+63+4+945+457+293621-280462+25374+500+19869+13+572+9812+256+2650+25476+19578+1+10258+9886+1+2556-52-722+1124+2466+839-126195-358106-365000-170000-12103-2650-51565-9812-25374-3951+2785+1</f>
        <v>-154765</v>
      </c>
      <c r="E263" s="251">
        <f t="shared" si="22"/>
        <v>100653</v>
      </c>
      <c r="F263" s="251">
        <v>0</v>
      </c>
      <c r="G263" s="251">
        <f>325000-1+277008-1464-42380+2000+5516-2400-1755-16510-3540-5000+2200-1000-360-400-8000-5000-10000-1800-800-4000-3000-3000-470-10000-10000-1000-2000-11152-40000-11243-31398-10000-12700-1000-5542-45000-26445-1270-15066-21831-1270-500-500-500+7642-1000-400-1000-750-300-508-1000-1000-2000-700-1494-1646-4000-2000-2000-1000-5000-16650-3312-1000+105000-100-1905-5965-56000-3273-7665-101600-16422-3600-2000+624+6000+26299+7000-3000-64400-4900+30433+42000-19584+45000+1800+123+118392-1000-1100-1500-7987-800-800-19000+11176-28450+19135-51497+82465-579-5000-3150+57000+7405+126195-19416-3031-3122+85972+33638+5033+9302+140782+11381+1-1-1-1-1-1-1+5-1-1-1-14-1-1-188-1-90005+18+2494+320+35314+193-80926+582545-109+6484-22568+1232+3774+720-1052-3000+160+63+4+945+457+293621-280462+25374+500+19869+13+572+9812+256+2650+25476+19578+1+10258+9886+1+2556-52-126195-358106-365000-170000+-12103-2650-51565-9812-25374-3951+2785+1</f>
        <v>193412</v>
      </c>
      <c r="H263" s="883">
        <f>-6017-5080-19760-11016-2280-5152-6061-5204-233-35663-722+1124+2466+839</f>
        <v>-92759</v>
      </c>
      <c r="I263" s="508"/>
      <c r="J263" s="508" t="s">
        <v>595</v>
      </c>
      <c r="K263" s="508"/>
    </row>
    <row r="264" spans="1:11" x14ac:dyDescent="0.25">
      <c r="A264" s="506"/>
      <c r="B264" s="884" t="s">
        <v>69</v>
      </c>
      <c r="C264" s="189">
        <v>1957992</v>
      </c>
      <c r="D264" s="189">
        <f>4000-9989-40350</f>
        <v>-46339</v>
      </c>
      <c r="E264" s="189">
        <f t="shared" si="22"/>
        <v>1911653</v>
      </c>
      <c r="F264" s="189">
        <f>SUM(F265:F278)</f>
        <v>0</v>
      </c>
      <c r="G264" s="189">
        <f>SUM(G265:G278)</f>
        <v>2746727</v>
      </c>
      <c r="H264" s="189">
        <f>SUM(H265:H278)</f>
        <v>-835074</v>
      </c>
      <c r="I264" s="176" t="s">
        <v>595</v>
      </c>
      <c r="J264" s="176" t="s">
        <v>595</v>
      </c>
      <c r="K264" s="176"/>
    </row>
    <row r="265" spans="1:11" x14ac:dyDescent="0.25">
      <c r="A265" s="509"/>
      <c r="B265" s="93" t="s">
        <v>124</v>
      </c>
      <c r="C265" s="190">
        <v>9989</v>
      </c>
      <c r="D265" s="190">
        <v>-9989</v>
      </c>
      <c r="E265" s="190">
        <f t="shared" si="22"/>
        <v>0</v>
      </c>
      <c r="F265" s="190"/>
      <c r="G265" s="190">
        <f>41000-18945-9989</f>
        <v>12066</v>
      </c>
      <c r="H265" s="531">
        <f>-447-699-10337-583</f>
        <v>-12066</v>
      </c>
      <c r="I265" s="510" t="s">
        <v>595</v>
      </c>
      <c r="J265" s="510"/>
      <c r="K265" s="510"/>
    </row>
    <row r="266" spans="1:11" ht="31.5" x14ac:dyDescent="0.25">
      <c r="A266" s="509"/>
      <c r="B266" s="93" t="s">
        <v>757</v>
      </c>
      <c r="C266" s="190">
        <v>0</v>
      </c>
      <c r="D266" s="190">
        <f>9989+3361-13350</f>
        <v>0</v>
      </c>
      <c r="E266" s="190">
        <f t="shared" si="22"/>
        <v>0</v>
      </c>
      <c r="F266" s="190"/>
      <c r="G266" s="190">
        <f>86000+18945+9989+3361</f>
        <v>118295</v>
      </c>
      <c r="H266" s="531">
        <f>-16644-60696-27605-13350</f>
        <v>-118295</v>
      </c>
      <c r="I266" s="510" t="s">
        <v>595</v>
      </c>
      <c r="J266" s="510" t="s">
        <v>595</v>
      </c>
      <c r="K266" s="510"/>
    </row>
    <row r="267" spans="1:11" x14ac:dyDescent="0.25">
      <c r="A267" s="509" t="s">
        <v>1191</v>
      </c>
      <c r="B267" s="93" t="s">
        <v>758</v>
      </c>
      <c r="C267" s="190">
        <v>55584</v>
      </c>
      <c r="D267" s="190">
        <f>-3361-36989</f>
        <v>-40350</v>
      </c>
      <c r="E267" s="190">
        <f t="shared" ref="E267:E279" si="34">SUM(C267:D267)</f>
        <v>15234</v>
      </c>
      <c r="F267" s="190"/>
      <c r="G267" s="190">
        <f>241000-3361</f>
        <v>237639</v>
      </c>
      <c r="H267" s="531">
        <f>-55468-74028-55920-36989</f>
        <v>-222405</v>
      </c>
      <c r="I267" s="510"/>
      <c r="J267" s="510" t="s">
        <v>595</v>
      </c>
      <c r="K267" s="510"/>
    </row>
    <row r="268" spans="1:11" ht="47.25" x14ac:dyDescent="0.25">
      <c r="A268" s="509"/>
      <c r="B268" s="93" t="s">
        <v>759</v>
      </c>
      <c r="C268" s="190">
        <v>70</v>
      </c>
      <c r="D268" s="190"/>
      <c r="E268" s="190">
        <f t="shared" si="34"/>
        <v>70</v>
      </c>
      <c r="F268" s="190"/>
      <c r="G268" s="190">
        <f>100000+2360-750</f>
        <v>101610</v>
      </c>
      <c r="H268" s="531">
        <f>-762-876-4597-2757-2247-29702-3088-3400-9900-1925-8844-1200-200-1621-13500-1330-2360-13231</f>
        <v>-101540</v>
      </c>
      <c r="I268" s="510" t="s">
        <v>595</v>
      </c>
      <c r="J268" s="510"/>
      <c r="K268" s="510"/>
    </row>
    <row r="269" spans="1:11" ht="31.5" x14ac:dyDescent="0.25">
      <c r="A269" s="509"/>
      <c r="B269" s="93" t="s">
        <v>760</v>
      </c>
      <c r="C269" s="190">
        <v>0</v>
      </c>
      <c r="D269" s="190"/>
      <c r="E269" s="190">
        <f t="shared" si="34"/>
        <v>0</v>
      </c>
      <c r="F269" s="190"/>
      <c r="G269" s="190">
        <v>71047</v>
      </c>
      <c r="H269" s="531">
        <f>-7133-63914</f>
        <v>-71047</v>
      </c>
      <c r="I269" s="510" t="s">
        <v>595</v>
      </c>
      <c r="J269" s="510"/>
      <c r="K269" s="510"/>
    </row>
    <row r="270" spans="1:11" ht="31.5" x14ac:dyDescent="0.25">
      <c r="A270" s="509"/>
      <c r="B270" s="93" t="s">
        <v>680</v>
      </c>
      <c r="C270" s="190">
        <v>586</v>
      </c>
      <c r="D270" s="190"/>
      <c r="E270" s="190">
        <f t="shared" si="34"/>
        <v>586</v>
      </c>
      <c r="F270" s="190"/>
      <c r="G270" s="190">
        <v>586</v>
      </c>
      <c r="H270" s="531"/>
      <c r="I270" s="510" t="s">
        <v>595</v>
      </c>
      <c r="J270" s="510"/>
      <c r="K270" s="510"/>
    </row>
    <row r="271" spans="1:11" x14ac:dyDescent="0.25">
      <c r="A271" s="509"/>
      <c r="B271" s="93" t="s">
        <v>761</v>
      </c>
      <c r="C271" s="190">
        <v>35000</v>
      </c>
      <c r="D271" s="190"/>
      <c r="E271" s="190">
        <f t="shared" si="34"/>
        <v>35000</v>
      </c>
      <c r="F271" s="190"/>
      <c r="G271" s="190">
        <v>35000</v>
      </c>
      <c r="H271" s="531"/>
      <c r="I271" s="510" t="s">
        <v>595</v>
      </c>
      <c r="J271" s="510"/>
      <c r="K271" s="510"/>
    </row>
    <row r="272" spans="1:11" x14ac:dyDescent="0.25">
      <c r="A272" s="509" t="s">
        <v>762</v>
      </c>
      <c r="B272" s="93" t="s">
        <v>763</v>
      </c>
      <c r="C272" s="190">
        <v>0</v>
      </c>
      <c r="D272" s="190">
        <v>4000</v>
      </c>
      <c r="E272" s="190">
        <f t="shared" si="34"/>
        <v>4000</v>
      </c>
      <c r="F272" s="190"/>
      <c r="G272" s="190">
        <f>3500+4000</f>
        <v>7500</v>
      </c>
      <c r="H272" s="531">
        <v>-3500</v>
      </c>
      <c r="I272" s="510" t="s">
        <v>595</v>
      </c>
      <c r="J272" s="510"/>
      <c r="K272" s="510"/>
    </row>
    <row r="273" spans="1:11" x14ac:dyDescent="0.25">
      <c r="A273" s="509"/>
      <c r="B273" s="93" t="s">
        <v>764</v>
      </c>
      <c r="C273" s="190">
        <v>90000</v>
      </c>
      <c r="D273" s="190"/>
      <c r="E273" s="190">
        <f t="shared" si="34"/>
        <v>90000</v>
      </c>
      <c r="F273" s="190"/>
      <c r="G273" s="190">
        <v>90000</v>
      </c>
      <c r="H273" s="531"/>
      <c r="I273" s="510" t="s">
        <v>595</v>
      </c>
      <c r="J273" s="510"/>
      <c r="K273" s="510"/>
    </row>
    <row r="274" spans="1:11" x14ac:dyDescent="0.25">
      <c r="A274" s="509"/>
      <c r="B274" s="93" t="s">
        <v>889</v>
      </c>
      <c r="C274" s="190"/>
      <c r="D274" s="190">
        <f>15334-15334</f>
        <v>0</v>
      </c>
      <c r="E274" s="190">
        <f t="shared" ref="E274:E277" si="35">SUM(C274:D274)</f>
        <v>0</v>
      </c>
      <c r="F274" s="190"/>
      <c r="G274" s="190">
        <f>46868+75617+44200+15334</f>
        <v>182019</v>
      </c>
      <c r="H274" s="531">
        <f>-46868-75617-44200-15334</f>
        <v>-182019</v>
      </c>
      <c r="I274" s="510" t="s">
        <v>595</v>
      </c>
      <c r="J274" s="510"/>
      <c r="K274" s="510"/>
    </row>
    <row r="275" spans="1:11" ht="31.5" x14ac:dyDescent="0.25">
      <c r="A275" s="509"/>
      <c r="B275" s="93" t="s">
        <v>890</v>
      </c>
      <c r="C275" s="190"/>
      <c r="D275" s="190">
        <f>1157-1157</f>
        <v>0</v>
      </c>
      <c r="E275" s="190">
        <f t="shared" si="35"/>
        <v>0</v>
      </c>
      <c r="F275" s="190"/>
      <c r="G275" s="190">
        <f>1811+3146+1706+1157</f>
        <v>7820</v>
      </c>
      <c r="H275" s="531">
        <f>-1811-3146-1706-1157</f>
        <v>-7820</v>
      </c>
      <c r="I275" s="510" t="s">
        <v>595</v>
      </c>
      <c r="J275" s="510"/>
      <c r="K275" s="510"/>
    </row>
    <row r="276" spans="1:11" x14ac:dyDescent="0.25">
      <c r="A276" s="509"/>
      <c r="B276" s="93" t="s">
        <v>891</v>
      </c>
      <c r="C276" s="190"/>
      <c r="D276" s="190">
        <f>8293-8293</f>
        <v>0</v>
      </c>
      <c r="E276" s="190">
        <f t="shared" si="35"/>
        <v>0</v>
      </c>
      <c r="F276" s="190"/>
      <c r="G276" s="190">
        <f>13877+9881+40371+24367+8293</f>
        <v>96789</v>
      </c>
      <c r="H276" s="531">
        <f>-13877-9881-40371-24367-8293</f>
        <v>-96789</v>
      </c>
      <c r="I276" s="510" t="s">
        <v>595</v>
      </c>
      <c r="J276" s="510"/>
      <c r="K276" s="510"/>
    </row>
    <row r="277" spans="1:11" x14ac:dyDescent="0.25">
      <c r="A277" s="509"/>
      <c r="B277" s="93" t="s">
        <v>892</v>
      </c>
      <c r="C277" s="190"/>
      <c r="D277" s="190">
        <f>2947-2947</f>
        <v>0</v>
      </c>
      <c r="E277" s="190">
        <f t="shared" si="35"/>
        <v>0</v>
      </c>
      <c r="F277" s="190"/>
      <c r="G277" s="190">
        <f>5890+6142+4614+2947</f>
        <v>19593</v>
      </c>
      <c r="H277" s="531">
        <f>-5890-6142-4614-2947</f>
        <v>-19593</v>
      </c>
      <c r="I277" s="510" t="s">
        <v>595</v>
      </c>
      <c r="J277" s="510"/>
      <c r="K277" s="510"/>
    </row>
    <row r="278" spans="1:11" ht="16.5" thickBot="1" x14ac:dyDescent="0.3">
      <c r="A278" s="509"/>
      <c r="B278" s="93" t="s">
        <v>893</v>
      </c>
      <c r="C278" s="190">
        <v>1766763</v>
      </c>
      <c r="D278" s="190"/>
      <c r="E278" s="190">
        <f t="shared" si="34"/>
        <v>1766763</v>
      </c>
      <c r="F278" s="190"/>
      <c r="G278" s="190">
        <f>2300000-57856-43000-10040-1824-330000-201586-23961+374030-50000-189000</f>
        <v>1766763</v>
      </c>
      <c r="H278" s="531"/>
      <c r="I278" s="510" t="s">
        <v>595</v>
      </c>
      <c r="J278" s="510"/>
      <c r="K278" s="510"/>
    </row>
    <row r="279" spans="1:11" ht="16.5" thickBot="1" x14ac:dyDescent="0.3">
      <c r="A279" s="511"/>
      <c r="B279" s="507" t="s">
        <v>70</v>
      </c>
      <c r="C279" s="191">
        <f>SUM(C262:C264)</f>
        <v>54568729</v>
      </c>
      <c r="D279" s="191">
        <f>SUM(D262:D264)</f>
        <v>898418</v>
      </c>
      <c r="E279" s="191">
        <f t="shared" si="34"/>
        <v>55467147</v>
      </c>
      <c r="F279" s="191">
        <f>SUM(F262:F264)</f>
        <v>373586</v>
      </c>
      <c r="G279" s="191">
        <f>SUM(G262:G264)</f>
        <v>56098998</v>
      </c>
      <c r="H279" s="191">
        <f>SUM(H262:H264)</f>
        <v>-1005437</v>
      </c>
      <c r="I279" s="192" t="s">
        <v>134</v>
      </c>
      <c r="J279" s="192" t="s">
        <v>134</v>
      </c>
      <c r="K279" s="192" t="s">
        <v>134</v>
      </c>
    </row>
    <row r="280" spans="1:11" hidden="1" x14ac:dyDescent="0.25"/>
    <row r="281" spans="1:11" hidden="1" x14ac:dyDescent="0.25">
      <c r="G281" s="248" t="s">
        <v>932</v>
      </c>
      <c r="H281" s="248">
        <v>-299299</v>
      </c>
    </row>
    <row r="282" spans="1:11" hidden="1" x14ac:dyDescent="0.25">
      <c r="E282" s="512"/>
      <c r="H282" s="512">
        <f>+H279-H281</f>
        <v>-706138</v>
      </c>
      <c r="I282" s="513">
        <v>294959</v>
      </c>
      <c r="J282" s="513" t="s">
        <v>933</v>
      </c>
      <c r="K282" s="513"/>
    </row>
    <row r="283" spans="1:11" hidden="1" x14ac:dyDescent="0.25"/>
    <row r="284" spans="1:11" hidden="1" x14ac:dyDescent="0.25">
      <c r="H284" s="512">
        <f>+H282+I282</f>
        <v>-411179</v>
      </c>
      <c r="I284" s="497" t="s">
        <v>888</v>
      </c>
    </row>
    <row r="286" spans="1:11" x14ac:dyDescent="0.25">
      <c r="D286" s="512"/>
      <c r="E286" s="512"/>
      <c r="G286" s="512"/>
      <c r="H286" s="512"/>
      <c r="I286" s="513"/>
      <c r="J286" s="513"/>
      <c r="K286" s="513"/>
    </row>
  </sheetData>
  <mergeCells count="1">
    <mergeCell ref="A1:K1"/>
  </mergeCells>
  <printOptions horizontalCentered="1"/>
  <pageMargins left="0.19685039370078741" right="0.27559055118110237" top="0.9055118110236221" bottom="0.39370078740157483" header="0.15748031496062992" footer="0.15748031496062992"/>
  <pageSetup paperSize="9" scale="51" fitToHeight="0" orientation="portrait" r:id="rId1"/>
  <headerFooter alignWithMargins="0">
    <oddHeader>&amp;R&amp;"Times New Roman CE,Félkövér" 10. melléklet a 6/2020.(II.24.) önkormányzati rendelethez
&amp;"Times New Roman CE,Dőlt" 11. melléklet
  az 5/2019.(II.15.) önkormányzati rendelethez</oddHeader>
  </headerFooter>
  <rowBreaks count="2" manualBreakCount="2">
    <brk id="73" max="10" man="1"/>
    <brk id="217" max="10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F136"/>
  <sheetViews>
    <sheetView view="pageBreakPreview" zoomScale="90" zoomScaleNormal="90" zoomScaleSheetLayoutView="90" workbookViewId="0">
      <pane xSplit="1" ySplit="4" topLeftCell="B58" activePane="bottomRight" state="frozen"/>
      <selection pane="topRight" activeCell="B1" sqref="B1"/>
      <selection pane="bottomLeft" activeCell="A5" sqref="A5"/>
      <selection pane="bottomRight" activeCell="B72" sqref="B72"/>
    </sheetView>
  </sheetViews>
  <sheetFormatPr defaultRowHeight="15.75" x14ac:dyDescent="0.25"/>
  <cols>
    <col min="1" max="1" width="68.875" style="193" customWidth="1"/>
    <col min="2" max="2" width="19.375" style="194" customWidth="1"/>
    <col min="3" max="3" width="15.625" style="194" customWidth="1"/>
    <col min="4" max="4" width="17.5" style="194" customWidth="1"/>
    <col min="5" max="5" width="21.75" style="193" hidden="1" customWidth="1"/>
    <col min="6" max="254" width="9" style="193"/>
    <col min="255" max="255" width="56" style="193" bestFit="1" customWidth="1"/>
    <col min="256" max="256" width="25.5" style="193" customWidth="1"/>
    <col min="257" max="257" width="13.25" style="193" customWidth="1"/>
    <col min="258" max="258" width="49.75" style="193" customWidth="1"/>
    <col min="259" max="510" width="9" style="193"/>
    <col min="511" max="511" width="56" style="193" bestFit="1" customWidth="1"/>
    <col min="512" max="512" width="25.5" style="193" customWidth="1"/>
    <col min="513" max="513" width="13.25" style="193" customWidth="1"/>
    <col min="514" max="514" width="49.75" style="193" customWidth="1"/>
    <col min="515" max="766" width="9" style="193"/>
    <col min="767" max="767" width="56" style="193" bestFit="1" customWidth="1"/>
    <col min="768" max="768" width="25.5" style="193" customWidth="1"/>
    <col min="769" max="769" width="13.25" style="193" customWidth="1"/>
    <col min="770" max="770" width="49.75" style="193" customWidth="1"/>
    <col min="771" max="1022" width="9" style="193"/>
    <col min="1023" max="1023" width="56" style="193" bestFit="1" customWidth="1"/>
    <col min="1024" max="1024" width="25.5" style="193" customWidth="1"/>
    <col min="1025" max="1025" width="13.25" style="193" customWidth="1"/>
    <col min="1026" max="1026" width="49.75" style="193" customWidth="1"/>
    <col min="1027" max="1278" width="9" style="193"/>
    <col min="1279" max="1279" width="56" style="193" bestFit="1" customWidth="1"/>
    <col min="1280" max="1280" width="25.5" style="193" customWidth="1"/>
    <col min="1281" max="1281" width="13.25" style="193" customWidth="1"/>
    <col min="1282" max="1282" width="49.75" style="193" customWidth="1"/>
    <col min="1283" max="1534" width="9" style="193"/>
    <col min="1535" max="1535" width="56" style="193" bestFit="1" customWidth="1"/>
    <col min="1536" max="1536" width="25.5" style="193" customWidth="1"/>
    <col min="1537" max="1537" width="13.25" style="193" customWidth="1"/>
    <col min="1538" max="1538" width="49.75" style="193" customWidth="1"/>
    <col min="1539" max="1790" width="9" style="193"/>
    <col min="1791" max="1791" width="56" style="193" bestFit="1" customWidth="1"/>
    <col min="1792" max="1792" width="25.5" style="193" customWidth="1"/>
    <col min="1793" max="1793" width="13.25" style="193" customWidth="1"/>
    <col min="1794" max="1794" width="49.75" style="193" customWidth="1"/>
    <col min="1795" max="2046" width="9" style="193"/>
    <col min="2047" max="2047" width="56" style="193" bestFit="1" customWidth="1"/>
    <col min="2048" max="2048" width="25.5" style="193" customWidth="1"/>
    <col min="2049" max="2049" width="13.25" style="193" customWidth="1"/>
    <col min="2050" max="2050" width="49.75" style="193" customWidth="1"/>
    <col min="2051" max="2302" width="9" style="193"/>
    <col min="2303" max="2303" width="56" style="193" bestFit="1" customWidth="1"/>
    <col min="2304" max="2304" width="25.5" style="193" customWidth="1"/>
    <col min="2305" max="2305" width="13.25" style="193" customWidth="1"/>
    <col min="2306" max="2306" width="49.75" style="193" customWidth="1"/>
    <col min="2307" max="2558" width="9" style="193"/>
    <col min="2559" max="2559" width="56" style="193" bestFit="1" customWidth="1"/>
    <col min="2560" max="2560" width="25.5" style="193" customWidth="1"/>
    <col min="2561" max="2561" width="13.25" style="193" customWidth="1"/>
    <col min="2562" max="2562" width="49.75" style="193" customWidth="1"/>
    <col min="2563" max="2814" width="9" style="193"/>
    <col min="2815" max="2815" width="56" style="193" bestFit="1" customWidth="1"/>
    <col min="2816" max="2816" width="25.5" style="193" customWidth="1"/>
    <col min="2817" max="2817" width="13.25" style="193" customWidth="1"/>
    <col min="2818" max="2818" width="49.75" style="193" customWidth="1"/>
    <col min="2819" max="3070" width="9" style="193"/>
    <col min="3071" max="3071" width="56" style="193" bestFit="1" customWidth="1"/>
    <col min="3072" max="3072" width="25.5" style="193" customWidth="1"/>
    <col min="3073" max="3073" width="13.25" style="193" customWidth="1"/>
    <col min="3074" max="3074" width="49.75" style="193" customWidth="1"/>
    <col min="3075" max="3326" width="9" style="193"/>
    <col min="3327" max="3327" width="56" style="193" bestFit="1" customWidth="1"/>
    <col min="3328" max="3328" width="25.5" style="193" customWidth="1"/>
    <col min="3329" max="3329" width="13.25" style="193" customWidth="1"/>
    <col min="3330" max="3330" width="49.75" style="193" customWidth="1"/>
    <col min="3331" max="3582" width="9" style="193"/>
    <col min="3583" max="3583" width="56" style="193" bestFit="1" customWidth="1"/>
    <col min="3584" max="3584" width="25.5" style="193" customWidth="1"/>
    <col min="3585" max="3585" width="13.25" style="193" customWidth="1"/>
    <col min="3586" max="3586" width="49.75" style="193" customWidth="1"/>
    <col min="3587" max="3838" width="9" style="193"/>
    <col min="3839" max="3839" width="56" style="193" bestFit="1" customWidth="1"/>
    <col min="3840" max="3840" width="25.5" style="193" customWidth="1"/>
    <col min="3841" max="3841" width="13.25" style="193" customWidth="1"/>
    <col min="3842" max="3842" width="49.75" style="193" customWidth="1"/>
    <col min="3843" max="4094" width="9" style="193"/>
    <col min="4095" max="4095" width="56" style="193" bestFit="1" customWidth="1"/>
    <col min="4096" max="4096" width="25.5" style="193" customWidth="1"/>
    <col min="4097" max="4097" width="13.25" style="193" customWidth="1"/>
    <col min="4098" max="4098" width="49.75" style="193" customWidth="1"/>
    <col min="4099" max="4350" width="9" style="193"/>
    <col min="4351" max="4351" width="56" style="193" bestFit="1" customWidth="1"/>
    <col min="4352" max="4352" width="25.5" style="193" customWidth="1"/>
    <col min="4353" max="4353" width="13.25" style="193" customWidth="1"/>
    <col min="4354" max="4354" width="49.75" style="193" customWidth="1"/>
    <col min="4355" max="4606" width="9" style="193"/>
    <col min="4607" max="4607" width="56" style="193" bestFit="1" customWidth="1"/>
    <col min="4608" max="4608" width="25.5" style="193" customWidth="1"/>
    <col min="4609" max="4609" width="13.25" style="193" customWidth="1"/>
    <col min="4610" max="4610" width="49.75" style="193" customWidth="1"/>
    <col min="4611" max="4862" width="9" style="193"/>
    <col min="4863" max="4863" width="56" style="193" bestFit="1" customWidth="1"/>
    <col min="4864" max="4864" width="25.5" style="193" customWidth="1"/>
    <col min="4865" max="4865" width="13.25" style="193" customWidth="1"/>
    <col min="4866" max="4866" width="49.75" style="193" customWidth="1"/>
    <col min="4867" max="5118" width="9" style="193"/>
    <col min="5119" max="5119" width="56" style="193" bestFit="1" customWidth="1"/>
    <col min="5120" max="5120" width="25.5" style="193" customWidth="1"/>
    <col min="5121" max="5121" width="13.25" style="193" customWidth="1"/>
    <col min="5122" max="5122" width="49.75" style="193" customWidth="1"/>
    <col min="5123" max="5374" width="9" style="193"/>
    <col min="5375" max="5375" width="56" style="193" bestFit="1" customWidth="1"/>
    <col min="5376" max="5376" width="25.5" style="193" customWidth="1"/>
    <col min="5377" max="5377" width="13.25" style="193" customWidth="1"/>
    <col min="5378" max="5378" width="49.75" style="193" customWidth="1"/>
    <col min="5379" max="5630" width="9" style="193"/>
    <col min="5631" max="5631" width="56" style="193" bestFit="1" customWidth="1"/>
    <col min="5632" max="5632" width="25.5" style="193" customWidth="1"/>
    <col min="5633" max="5633" width="13.25" style="193" customWidth="1"/>
    <col min="5634" max="5634" width="49.75" style="193" customWidth="1"/>
    <col min="5635" max="5886" width="9" style="193"/>
    <col min="5887" max="5887" width="56" style="193" bestFit="1" customWidth="1"/>
    <col min="5888" max="5888" width="25.5" style="193" customWidth="1"/>
    <col min="5889" max="5889" width="13.25" style="193" customWidth="1"/>
    <col min="5890" max="5890" width="49.75" style="193" customWidth="1"/>
    <col min="5891" max="6142" width="9" style="193"/>
    <col min="6143" max="6143" width="56" style="193" bestFit="1" customWidth="1"/>
    <col min="6144" max="6144" width="25.5" style="193" customWidth="1"/>
    <col min="6145" max="6145" width="13.25" style="193" customWidth="1"/>
    <col min="6146" max="6146" width="49.75" style="193" customWidth="1"/>
    <col min="6147" max="6398" width="9" style="193"/>
    <col min="6399" max="6399" width="56" style="193" bestFit="1" customWidth="1"/>
    <col min="6400" max="6400" width="25.5" style="193" customWidth="1"/>
    <col min="6401" max="6401" width="13.25" style="193" customWidth="1"/>
    <col min="6402" max="6402" width="49.75" style="193" customWidth="1"/>
    <col min="6403" max="6654" width="9" style="193"/>
    <col min="6655" max="6655" width="56" style="193" bestFit="1" customWidth="1"/>
    <col min="6656" max="6656" width="25.5" style="193" customWidth="1"/>
    <col min="6657" max="6657" width="13.25" style="193" customWidth="1"/>
    <col min="6658" max="6658" width="49.75" style="193" customWidth="1"/>
    <col min="6659" max="6910" width="9" style="193"/>
    <col min="6911" max="6911" width="56" style="193" bestFit="1" customWidth="1"/>
    <col min="6912" max="6912" width="25.5" style="193" customWidth="1"/>
    <col min="6913" max="6913" width="13.25" style="193" customWidth="1"/>
    <col min="6914" max="6914" width="49.75" style="193" customWidth="1"/>
    <col min="6915" max="7166" width="9" style="193"/>
    <col min="7167" max="7167" width="56" style="193" bestFit="1" customWidth="1"/>
    <col min="7168" max="7168" width="25.5" style="193" customWidth="1"/>
    <col min="7169" max="7169" width="13.25" style="193" customWidth="1"/>
    <col min="7170" max="7170" width="49.75" style="193" customWidth="1"/>
    <col min="7171" max="7422" width="9" style="193"/>
    <col min="7423" max="7423" width="56" style="193" bestFit="1" customWidth="1"/>
    <col min="7424" max="7424" width="25.5" style="193" customWidth="1"/>
    <col min="7425" max="7425" width="13.25" style="193" customWidth="1"/>
    <col min="7426" max="7426" width="49.75" style="193" customWidth="1"/>
    <col min="7427" max="7678" width="9" style="193"/>
    <col min="7679" max="7679" width="56" style="193" bestFit="1" customWidth="1"/>
    <col min="7680" max="7680" width="25.5" style="193" customWidth="1"/>
    <col min="7681" max="7681" width="13.25" style="193" customWidth="1"/>
    <col min="7682" max="7682" width="49.75" style="193" customWidth="1"/>
    <col min="7683" max="7934" width="9" style="193"/>
    <col min="7935" max="7935" width="56" style="193" bestFit="1" customWidth="1"/>
    <col min="7936" max="7936" width="25.5" style="193" customWidth="1"/>
    <col min="7937" max="7937" width="13.25" style="193" customWidth="1"/>
    <col min="7938" max="7938" width="49.75" style="193" customWidth="1"/>
    <col min="7939" max="8190" width="9" style="193"/>
    <col min="8191" max="8191" width="56" style="193" bestFit="1" customWidth="1"/>
    <col min="8192" max="8192" width="25.5" style="193" customWidth="1"/>
    <col min="8193" max="8193" width="13.25" style="193" customWidth="1"/>
    <col min="8194" max="8194" width="49.75" style="193" customWidth="1"/>
    <col min="8195" max="8446" width="9" style="193"/>
    <col min="8447" max="8447" width="56" style="193" bestFit="1" customWidth="1"/>
    <col min="8448" max="8448" width="25.5" style="193" customWidth="1"/>
    <col min="8449" max="8449" width="13.25" style="193" customWidth="1"/>
    <col min="8450" max="8450" width="49.75" style="193" customWidth="1"/>
    <col min="8451" max="8702" width="9" style="193"/>
    <col min="8703" max="8703" width="56" style="193" bestFit="1" customWidth="1"/>
    <col min="8704" max="8704" width="25.5" style="193" customWidth="1"/>
    <col min="8705" max="8705" width="13.25" style="193" customWidth="1"/>
    <col min="8706" max="8706" width="49.75" style="193" customWidth="1"/>
    <col min="8707" max="8958" width="9" style="193"/>
    <col min="8959" max="8959" width="56" style="193" bestFit="1" customWidth="1"/>
    <col min="8960" max="8960" width="25.5" style="193" customWidth="1"/>
    <col min="8961" max="8961" width="13.25" style="193" customWidth="1"/>
    <col min="8962" max="8962" width="49.75" style="193" customWidth="1"/>
    <col min="8963" max="9214" width="9" style="193"/>
    <col min="9215" max="9215" width="56" style="193" bestFit="1" customWidth="1"/>
    <col min="9216" max="9216" width="25.5" style="193" customWidth="1"/>
    <col min="9217" max="9217" width="13.25" style="193" customWidth="1"/>
    <col min="9218" max="9218" width="49.75" style="193" customWidth="1"/>
    <col min="9219" max="9470" width="9" style="193"/>
    <col min="9471" max="9471" width="56" style="193" bestFit="1" customWidth="1"/>
    <col min="9472" max="9472" width="25.5" style="193" customWidth="1"/>
    <col min="9473" max="9473" width="13.25" style="193" customWidth="1"/>
    <col min="9474" max="9474" width="49.75" style="193" customWidth="1"/>
    <col min="9475" max="9726" width="9" style="193"/>
    <col min="9727" max="9727" width="56" style="193" bestFit="1" customWidth="1"/>
    <col min="9728" max="9728" width="25.5" style="193" customWidth="1"/>
    <col min="9729" max="9729" width="13.25" style="193" customWidth="1"/>
    <col min="9730" max="9730" width="49.75" style="193" customWidth="1"/>
    <col min="9731" max="9982" width="9" style="193"/>
    <col min="9983" max="9983" width="56" style="193" bestFit="1" customWidth="1"/>
    <col min="9984" max="9984" width="25.5" style="193" customWidth="1"/>
    <col min="9985" max="9985" width="13.25" style="193" customWidth="1"/>
    <col min="9986" max="9986" width="49.75" style="193" customWidth="1"/>
    <col min="9987" max="10238" width="9" style="193"/>
    <col min="10239" max="10239" width="56" style="193" bestFit="1" customWidth="1"/>
    <col min="10240" max="10240" width="25.5" style="193" customWidth="1"/>
    <col min="10241" max="10241" width="13.25" style="193" customWidth="1"/>
    <col min="10242" max="10242" width="49.75" style="193" customWidth="1"/>
    <col min="10243" max="10494" width="9" style="193"/>
    <col min="10495" max="10495" width="56" style="193" bestFit="1" customWidth="1"/>
    <col min="10496" max="10496" width="25.5" style="193" customWidth="1"/>
    <col min="10497" max="10497" width="13.25" style="193" customWidth="1"/>
    <col min="10498" max="10498" width="49.75" style="193" customWidth="1"/>
    <col min="10499" max="10750" width="9" style="193"/>
    <col min="10751" max="10751" width="56" style="193" bestFit="1" customWidth="1"/>
    <col min="10752" max="10752" width="25.5" style="193" customWidth="1"/>
    <col min="10753" max="10753" width="13.25" style="193" customWidth="1"/>
    <col min="10754" max="10754" width="49.75" style="193" customWidth="1"/>
    <col min="10755" max="11006" width="9" style="193"/>
    <col min="11007" max="11007" width="56" style="193" bestFit="1" customWidth="1"/>
    <col min="11008" max="11008" width="25.5" style="193" customWidth="1"/>
    <col min="11009" max="11009" width="13.25" style="193" customWidth="1"/>
    <col min="11010" max="11010" width="49.75" style="193" customWidth="1"/>
    <col min="11011" max="11262" width="9" style="193"/>
    <col min="11263" max="11263" width="56" style="193" bestFit="1" customWidth="1"/>
    <col min="11264" max="11264" width="25.5" style="193" customWidth="1"/>
    <col min="11265" max="11265" width="13.25" style="193" customWidth="1"/>
    <col min="11266" max="11266" width="49.75" style="193" customWidth="1"/>
    <col min="11267" max="11518" width="9" style="193"/>
    <col min="11519" max="11519" width="56" style="193" bestFit="1" customWidth="1"/>
    <col min="11520" max="11520" width="25.5" style="193" customWidth="1"/>
    <col min="11521" max="11521" width="13.25" style="193" customWidth="1"/>
    <col min="11522" max="11522" width="49.75" style="193" customWidth="1"/>
    <col min="11523" max="11774" width="9" style="193"/>
    <col min="11775" max="11775" width="56" style="193" bestFit="1" customWidth="1"/>
    <col min="11776" max="11776" width="25.5" style="193" customWidth="1"/>
    <col min="11777" max="11777" width="13.25" style="193" customWidth="1"/>
    <col min="11778" max="11778" width="49.75" style="193" customWidth="1"/>
    <col min="11779" max="12030" width="9" style="193"/>
    <col min="12031" max="12031" width="56" style="193" bestFit="1" customWidth="1"/>
    <col min="12032" max="12032" width="25.5" style="193" customWidth="1"/>
    <col min="12033" max="12033" width="13.25" style="193" customWidth="1"/>
    <col min="12034" max="12034" width="49.75" style="193" customWidth="1"/>
    <col min="12035" max="12286" width="9" style="193"/>
    <col min="12287" max="12287" width="56" style="193" bestFit="1" customWidth="1"/>
    <col min="12288" max="12288" width="25.5" style="193" customWidth="1"/>
    <col min="12289" max="12289" width="13.25" style="193" customWidth="1"/>
    <col min="12290" max="12290" width="49.75" style="193" customWidth="1"/>
    <col min="12291" max="12542" width="9" style="193"/>
    <col min="12543" max="12543" width="56" style="193" bestFit="1" customWidth="1"/>
    <col min="12544" max="12544" width="25.5" style="193" customWidth="1"/>
    <col min="12545" max="12545" width="13.25" style="193" customWidth="1"/>
    <col min="12546" max="12546" width="49.75" style="193" customWidth="1"/>
    <col min="12547" max="12798" width="9" style="193"/>
    <col min="12799" max="12799" width="56" style="193" bestFit="1" customWidth="1"/>
    <col min="12800" max="12800" width="25.5" style="193" customWidth="1"/>
    <col min="12801" max="12801" width="13.25" style="193" customWidth="1"/>
    <col min="12802" max="12802" width="49.75" style="193" customWidth="1"/>
    <col min="12803" max="13054" width="9" style="193"/>
    <col min="13055" max="13055" width="56" style="193" bestFit="1" customWidth="1"/>
    <col min="13056" max="13056" width="25.5" style="193" customWidth="1"/>
    <col min="13057" max="13057" width="13.25" style="193" customWidth="1"/>
    <col min="13058" max="13058" width="49.75" style="193" customWidth="1"/>
    <col min="13059" max="13310" width="9" style="193"/>
    <col min="13311" max="13311" width="56" style="193" bestFit="1" customWidth="1"/>
    <col min="13312" max="13312" width="25.5" style="193" customWidth="1"/>
    <col min="13313" max="13313" width="13.25" style="193" customWidth="1"/>
    <col min="13314" max="13314" width="49.75" style="193" customWidth="1"/>
    <col min="13315" max="13566" width="9" style="193"/>
    <col min="13567" max="13567" width="56" style="193" bestFit="1" customWidth="1"/>
    <col min="13568" max="13568" width="25.5" style="193" customWidth="1"/>
    <col min="13569" max="13569" width="13.25" style="193" customWidth="1"/>
    <col min="13570" max="13570" width="49.75" style="193" customWidth="1"/>
    <col min="13571" max="13822" width="9" style="193"/>
    <col min="13823" max="13823" width="56" style="193" bestFit="1" customWidth="1"/>
    <col min="13824" max="13824" width="25.5" style="193" customWidth="1"/>
    <col min="13825" max="13825" width="13.25" style="193" customWidth="1"/>
    <col min="13826" max="13826" width="49.75" style="193" customWidth="1"/>
    <col min="13827" max="14078" width="9" style="193"/>
    <col min="14079" max="14079" width="56" style="193" bestFit="1" customWidth="1"/>
    <col min="14080" max="14080" width="25.5" style="193" customWidth="1"/>
    <col min="14081" max="14081" width="13.25" style="193" customWidth="1"/>
    <col min="14082" max="14082" width="49.75" style="193" customWidth="1"/>
    <col min="14083" max="14334" width="9" style="193"/>
    <col min="14335" max="14335" width="56" style="193" bestFit="1" customWidth="1"/>
    <col min="14336" max="14336" width="25.5" style="193" customWidth="1"/>
    <col min="14337" max="14337" width="13.25" style="193" customWidth="1"/>
    <col min="14338" max="14338" width="49.75" style="193" customWidth="1"/>
    <col min="14339" max="14590" width="9" style="193"/>
    <col min="14591" max="14591" width="56" style="193" bestFit="1" customWidth="1"/>
    <col min="14592" max="14592" width="25.5" style="193" customWidth="1"/>
    <col min="14593" max="14593" width="13.25" style="193" customWidth="1"/>
    <col min="14594" max="14594" width="49.75" style="193" customWidth="1"/>
    <col min="14595" max="14846" width="9" style="193"/>
    <col min="14847" max="14847" width="56" style="193" bestFit="1" customWidth="1"/>
    <col min="14848" max="14848" width="25.5" style="193" customWidth="1"/>
    <col min="14849" max="14849" width="13.25" style="193" customWidth="1"/>
    <col min="14850" max="14850" width="49.75" style="193" customWidth="1"/>
    <col min="14851" max="15102" width="9" style="193"/>
    <col min="15103" max="15103" width="56" style="193" bestFit="1" customWidth="1"/>
    <col min="15104" max="15104" width="25.5" style="193" customWidth="1"/>
    <col min="15105" max="15105" width="13.25" style="193" customWidth="1"/>
    <col min="15106" max="15106" width="49.75" style="193" customWidth="1"/>
    <col min="15107" max="15358" width="9" style="193"/>
    <col min="15359" max="15359" width="56" style="193" bestFit="1" customWidth="1"/>
    <col min="15360" max="15360" width="25.5" style="193" customWidth="1"/>
    <col min="15361" max="15361" width="13.25" style="193" customWidth="1"/>
    <col min="15362" max="15362" width="49.75" style="193" customWidth="1"/>
    <col min="15363" max="15614" width="9" style="193"/>
    <col min="15615" max="15615" width="56" style="193" bestFit="1" customWidth="1"/>
    <col min="15616" max="15616" width="25.5" style="193" customWidth="1"/>
    <col min="15617" max="15617" width="13.25" style="193" customWidth="1"/>
    <col min="15618" max="15618" width="49.75" style="193" customWidth="1"/>
    <col min="15619" max="15870" width="9" style="193"/>
    <col min="15871" max="15871" width="56" style="193" bestFit="1" customWidth="1"/>
    <col min="15872" max="15872" width="25.5" style="193" customWidth="1"/>
    <col min="15873" max="15873" width="13.25" style="193" customWidth="1"/>
    <col min="15874" max="15874" width="49.75" style="193" customWidth="1"/>
    <col min="15875" max="16126" width="9" style="193"/>
    <col min="16127" max="16127" width="56" style="193" bestFit="1" customWidth="1"/>
    <col min="16128" max="16128" width="25.5" style="193" customWidth="1"/>
    <col min="16129" max="16129" width="13.25" style="193" customWidth="1"/>
    <col min="16130" max="16130" width="49.75" style="193" customWidth="1"/>
    <col min="16131" max="16384" width="9" style="193"/>
  </cols>
  <sheetData>
    <row r="1" spans="1:4" ht="31.5" customHeight="1" x14ac:dyDescent="0.25">
      <c r="A1" s="1034" t="s">
        <v>769</v>
      </c>
      <c r="B1" s="1034"/>
      <c r="C1" s="1034"/>
      <c r="D1" s="1034"/>
    </row>
    <row r="2" spans="1:4" x14ac:dyDescent="0.25">
      <c r="A2" s="1034" t="s">
        <v>983</v>
      </c>
      <c r="B2" s="1034"/>
      <c r="C2" s="1034"/>
      <c r="D2" s="1034"/>
    </row>
    <row r="3" spans="1:4" ht="16.5" thickBot="1" x14ac:dyDescent="0.3"/>
    <row r="4" spans="1:4" s="196" customFormat="1" ht="72" customHeight="1" thickTop="1" thickBot="1" x14ac:dyDescent="0.3">
      <c r="A4" s="195" t="s">
        <v>331</v>
      </c>
      <c r="B4" s="286" t="s">
        <v>363</v>
      </c>
      <c r="C4" s="286" t="s">
        <v>364</v>
      </c>
      <c r="D4" s="286" t="s">
        <v>900</v>
      </c>
    </row>
    <row r="5" spans="1:4" s="198" customFormat="1" ht="16.5" thickTop="1" x14ac:dyDescent="0.25">
      <c r="A5" s="197"/>
      <c r="B5" s="287"/>
      <c r="C5" s="287"/>
      <c r="D5" s="287"/>
    </row>
    <row r="6" spans="1:4" s="198" customFormat="1" x14ac:dyDescent="0.25">
      <c r="A6" s="197" t="s">
        <v>175</v>
      </c>
      <c r="B6" s="287"/>
      <c r="C6" s="287"/>
      <c r="D6" s="287"/>
    </row>
    <row r="7" spans="1:4" x14ac:dyDescent="0.25">
      <c r="A7" s="199" t="s">
        <v>176</v>
      </c>
      <c r="B7" s="288">
        <v>3315</v>
      </c>
      <c r="C7" s="288"/>
      <c r="D7" s="288">
        <f>SUM(B7:C7)</f>
        <v>3315</v>
      </c>
    </row>
    <row r="8" spans="1:4" ht="31.5" x14ac:dyDescent="0.25">
      <c r="A8" s="199" t="s">
        <v>770</v>
      </c>
      <c r="B8" s="288">
        <v>4500</v>
      </c>
      <c r="C8" s="288"/>
      <c r="D8" s="288">
        <f t="shared" ref="D8:D77" si="0">SUM(B8:C8)</f>
        <v>4500</v>
      </c>
    </row>
    <row r="9" spans="1:4" x14ac:dyDescent="0.25">
      <c r="A9" s="200" t="s">
        <v>332</v>
      </c>
      <c r="B9" s="289">
        <f>SUM(B7:B8)</f>
        <v>7815</v>
      </c>
      <c r="C9" s="289">
        <f>SUM(C7:C8)</f>
        <v>0</v>
      </c>
      <c r="D9" s="289">
        <f t="shared" si="0"/>
        <v>7815</v>
      </c>
    </row>
    <row r="10" spans="1:4" x14ac:dyDescent="0.25">
      <c r="A10" s="199"/>
      <c r="B10" s="288"/>
      <c r="C10" s="288"/>
      <c r="D10" s="288"/>
    </row>
    <row r="11" spans="1:4" x14ac:dyDescent="0.25">
      <c r="A11" s="201" t="s">
        <v>333</v>
      </c>
      <c r="B11" s="290"/>
      <c r="C11" s="290"/>
      <c r="D11" s="290"/>
    </row>
    <row r="12" spans="1:4" x14ac:dyDescent="0.25">
      <c r="A12" s="202" t="s">
        <v>621</v>
      </c>
      <c r="B12" s="203">
        <f>SUM(B13:B30)</f>
        <v>1976677</v>
      </c>
      <c r="C12" s="203">
        <f>SUM(C13:C30)</f>
        <v>1</v>
      </c>
      <c r="D12" s="203">
        <f t="shared" si="0"/>
        <v>1976678</v>
      </c>
    </row>
    <row r="13" spans="1:4" x14ac:dyDescent="0.25">
      <c r="A13" s="204" t="s">
        <v>771</v>
      </c>
      <c r="B13" s="291">
        <v>54851</v>
      </c>
      <c r="C13" s="291"/>
      <c r="D13" s="291">
        <f t="shared" si="0"/>
        <v>54851</v>
      </c>
    </row>
    <row r="14" spans="1:4" x14ac:dyDescent="0.25">
      <c r="A14" s="204" t="s">
        <v>515</v>
      </c>
      <c r="B14" s="291">
        <v>762</v>
      </c>
      <c r="C14" s="291"/>
      <c r="D14" s="291">
        <f t="shared" si="0"/>
        <v>762</v>
      </c>
    </row>
    <row r="15" spans="1:4" x14ac:dyDescent="0.25">
      <c r="A15" s="204" t="s">
        <v>334</v>
      </c>
      <c r="B15" s="291">
        <v>38587</v>
      </c>
      <c r="C15" s="291"/>
      <c r="D15" s="291">
        <f t="shared" si="0"/>
        <v>38587</v>
      </c>
    </row>
    <row r="16" spans="1:4" x14ac:dyDescent="0.25">
      <c r="A16" s="204" t="s">
        <v>622</v>
      </c>
      <c r="B16" s="291">
        <v>76846</v>
      </c>
      <c r="C16" s="291"/>
      <c r="D16" s="291">
        <f t="shared" si="0"/>
        <v>76846</v>
      </c>
    </row>
    <row r="17" spans="1:4" x14ac:dyDescent="0.25">
      <c r="A17" s="204" t="s">
        <v>335</v>
      </c>
      <c r="B17" s="291">
        <v>10000</v>
      </c>
      <c r="C17" s="291"/>
      <c r="D17" s="291">
        <f t="shared" si="0"/>
        <v>10000</v>
      </c>
    </row>
    <row r="18" spans="1:4" x14ac:dyDescent="0.25">
      <c r="A18" s="204" t="s">
        <v>623</v>
      </c>
      <c r="B18" s="291">
        <v>65034</v>
      </c>
      <c r="C18" s="291"/>
      <c r="D18" s="291">
        <f t="shared" si="0"/>
        <v>65034</v>
      </c>
    </row>
    <row r="19" spans="1:4" x14ac:dyDescent="0.25">
      <c r="A19" s="204" t="s">
        <v>624</v>
      </c>
      <c r="B19" s="291">
        <v>10000</v>
      </c>
      <c r="C19" s="291"/>
      <c r="D19" s="291">
        <f t="shared" si="0"/>
        <v>10000</v>
      </c>
    </row>
    <row r="20" spans="1:4" ht="31.5" x14ac:dyDescent="0.25">
      <c r="A20" s="204" t="s">
        <v>625</v>
      </c>
      <c r="B20" s="291">
        <v>57404</v>
      </c>
      <c r="C20" s="291"/>
      <c r="D20" s="291">
        <f t="shared" si="0"/>
        <v>57404</v>
      </c>
    </row>
    <row r="21" spans="1:4" x14ac:dyDescent="0.25">
      <c r="A21" s="204" t="s">
        <v>626</v>
      </c>
      <c r="B21" s="291">
        <v>43388</v>
      </c>
      <c r="C21" s="291"/>
      <c r="D21" s="291">
        <f t="shared" si="0"/>
        <v>43388</v>
      </c>
    </row>
    <row r="22" spans="1:4" x14ac:dyDescent="0.25">
      <c r="A22" s="204" t="s">
        <v>627</v>
      </c>
      <c r="B22" s="291">
        <v>79303</v>
      </c>
      <c r="C22" s="291">
        <v>1</v>
      </c>
      <c r="D22" s="291">
        <f t="shared" si="0"/>
        <v>79304</v>
      </c>
    </row>
    <row r="23" spans="1:4" x14ac:dyDescent="0.25">
      <c r="A23" s="204" t="s">
        <v>772</v>
      </c>
      <c r="B23" s="291">
        <v>148383</v>
      </c>
      <c r="C23" s="291"/>
      <c r="D23" s="291">
        <f t="shared" si="0"/>
        <v>148383</v>
      </c>
    </row>
    <row r="24" spans="1:4" x14ac:dyDescent="0.25">
      <c r="A24" s="204" t="s">
        <v>773</v>
      </c>
      <c r="B24" s="291">
        <v>178350</v>
      </c>
      <c r="C24" s="291"/>
      <c r="D24" s="291">
        <f t="shared" si="0"/>
        <v>178350</v>
      </c>
    </row>
    <row r="25" spans="1:4" x14ac:dyDescent="0.25">
      <c r="A25" s="204" t="s">
        <v>860</v>
      </c>
      <c r="B25" s="291">
        <v>207015</v>
      </c>
      <c r="C25" s="291"/>
      <c r="D25" s="291">
        <f t="shared" si="0"/>
        <v>207015</v>
      </c>
    </row>
    <row r="26" spans="1:4" x14ac:dyDescent="0.25">
      <c r="A26" s="204" t="s">
        <v>774</v>
      </c>
      <c r="B26" s="291">
        <v>29210</v>
      </c>
      <c r="C26" s="291"/>
      <c r="D26" s="291">
        <f t="shared" si="0"/>
        <v>29210</v>
      </c>
    </row>
    <row r="27" spans="1:4" x14ac:dyDescent="0.25">
      <c r="A27" s="204" t="s">
        <v>775</v>
      </c>
      <c r="B27" s="291">
        <v>866089</v>
      </c>
      <c r="C27" s="291"/>
      <c r="D27" s="291">
        <f t="shared" si="0"/>
        <v>866089</v>
      </c>
    </row>
    <row r="28" spans="1:4" x14ac:dyDescent="0.25">
      <c r="A28" s="204" t="s">
        <v>776</v>
      </c>
      <c r="B28" s="291">
        <v>41455</v>
      </c>
      <c r="C28" s="291"/>
      <c r="D28" s="291">
        <f t="shared" si="0"/>
        <v>41455</v>
      </c>
    </row>
    <row r="29" spans="1:4" x14ac:dyDescent="0.25">
      <c r="A29" s="204" t="s">
        <v>777</v>
      </c>
      <c r="B29" s="291">
        <v>40000</v>
      </c>
      <c r="C29" s="291"/>
      <c r="D29" s="291">
        <f t="shared" si="0"/>
        <v>40000</v>
      </c>
    </row>
    <row r="30" spans="1:4" x14ac:dyDescent="0.25">
      <c r="A30" s="204" t="s">
        <v>778</v>
      </c>
      <c r="B30" s="291">
        <v>30000</v>
      </c>
      <c r="C30" s="291"/>
      <c r="D30" s="291">
        <f t="shared" si="0"/>
        <v>30000</v>
      </c>
    </row>
    <row r="31" spans="1:4" x14ac:dyDescent="0.25">
      <c r="A31" s="204"/>
      <c r="B31" s="291"/>
      <c r="C31" s="291"/>
      <c r="D31" s="291"/>
    </row>
    <row r="32" spans="1:4" x14ac:dyDescent="0.25">
      <c r="A32" s="202" t="s">
        <v>336</v>
      </c>
      <c r="B32" s="203"/>
      <c r="C32" s="203"/>
      <c r="D32" s="203"/>
    </row>
    <row r="33" spans="1:4" x14ac:dyDescent="0.25">
      <c r="A33" s="205" t="s">
        <v>516</v>
      </c>
      <c r="B33" s="292"/>
      <c r="C33" s="292"/>
      <c r="D33" s="292"/>
    </row>
    <row r="34" spans="1:4" x14ac:dyDescent="0.25">
      <c r="A34" s="204" t="s">
        <v>517</v>
      </c>
      <c r="B34" s="291">
        <v>635</v>
      </c>
      <c r="C34" s="291"/>
      <c r="D34" s="291">
        <f t="shared" si="0"/>
        <v>635</v>
      </c>
    </row>
    <row r="35" spans="1:4" x14ac:dyDescent="0.25">
      <c r="A35" s="204"/>
      <c r="B35" s="291"/>
      <c r="C35" s="291"/>
      <c r="D35" s="291"/>
    </row>
    <row r="36" spans="1:4" x14ac:dyDescent="0.25">
      <c r="A36" s="204" t="s">
        <v>779</v>
      </c>
      <c r="B36" s="291">
        <v>48793</v>
      </c>
      <c r="C36" s="291"/>
      <c r="D36" s="291">
        <f t="shared" si="0"/>
        <v>48793</v>
      </c>
    </row>
    <row r="37" spans="1:4" x14ac:dyDescent="0.25">
      <c r="A37" s="206" t="s">
        <v>337</v>
      </c>
      <c r="B37" s="293">
        <f>SUM(B12,B33:B36)</f>
        <v>2026105</v>
      </c>
      <c r="C37" s="293">
        <f>SUM(C12,C33:C36)</f>
        <v>1</v>
      </c>
      <c r="D37" s="293">
        <f t="shared" si="0"/>
        <v>2026106</v>
      </c>
    </row>
    <row r="38" spans="1:4" x14ac:dyDescent="0.25">
      <c r="A38" s="206"/>
      <c r="B38" s="293"/>
      <c r="C38" s="293"/>
      <c r="D38" s="293"/>
    </row>
    <row r="39" spans="1:4" x14ac:dyDescent="0.25">
      <c r="A39" s="201" t="s">
        <v>338</v>
      </c>
      <c r="B39" s="290"/>
      <c r="C39" s="290"/>
      <c r="D39" s="290"/>
    </row>
    <row r="40" spans="1:4" x14ac:dyDescent="0.25">
      <c r="A40" s="204" t="s">
        <v>339</v>
      </c>
      <c r="B40" s="291">
        <v>50749</v>
      </c>
      <c r="C40" s="291"/>
      <c r="D40" s="291">
        <f t="shared" si="0"/>
        <v>50749</v>
      </c>
    </row>
    <row r="41" spans="1:4" x14ac:dyDescent="0.25">
      <c r="A41" s="204" t="s">
        <v>628</v>
      </c>
      <c r="B41" s="291">
        <v>86272</v>
      </c>
      <c r="C41" s="291"/>
      <c r="D41" s="291">
        <f t="shared" si="0"/>
        <v>86272</v>
      </c>
    </row>
    <row r="42" spans="1:4" x14ac:dyDescent="0.25">
      <c r="A42" s="204" t="s">
        <v>629</v>
      </c>
      <c r="B42" s="291">
        <v>16052</v>
      </c>
      <c r="C42" s="291"/>
      <c r="D42" s="291">
        <f t="shared" si="0"/>
        <v>16052</v>
      </c>
    </row>
    <row r="43" spans="1:4" x14ac:dyDescent="0.25">
      <c r="A43" s="204" t="s">
        <v>630</v>
      </c>
      <c r="B43" s="291">
        <v>36349</v>
      </c>
      <c r="C43" s="291"/>
      <c r="D43" s="291">
        <f t="shared" si="0"/>
        <v>36349</v>
      </c>
    </row>
    <row r="44" spans="1:4" x14ac:dyDescent="0.25">
      <c r="A44" s="204" t="s">
        <v>780</v>
      </c>
      <c r="B44" s="291">
        <v>7000</v>
      </c>
      <c r="C44" s="291"/>
      <c r="D44" s="291">
        <f t="shared" si="0"/>
        <v>7000</v>
      </c>
    </row>
    <row r="45" spans="1:4" x14ac:dyDescent="0.25">
      <c r="A45" s="204" t="s">
        <v>781</v>
      </c>
      <c r="B45" s="291">
        <v>32000</v>
      </c>
      <c r="C45" s="291"/>
      <c r="D45" s="291">
        <f t="shared" si="0"/>
        <v>32000</v>
      </c>
    </row>
    <row r="46" spans="1:4" ht="31.5" x14ac:dyDescent="0.25">
      <c r="A46" s="204" t="s">
        <v>864</v>
      </c>
      <c r="B46" s="291">
        <v>15066</v>
      </c>
      <c r="C46" s="291"/>
      <c r="D46" s="291">
        <f t="shared" ref="D46" si="1">SUM(B46:C46)</f>
        <v>15066</v>
      </c>
    </row>
    <row r="47" spans="1:4" x14ac:dyDescent="0.25">
      <c r="A47" s="202" t="s">
        <v>340</v>
      </c>
      <c r="B47" s="203">
        <f>SUM(B40:B46)</f>
        <v>243488</v>
      </c>
      <c r="C47" s="203">
        <f>SUM(C40:C46)</f>
        <v>0</v>
      </c>
      <c r="D47" s="203">
        <f>SUM(D40:D46)</f>
        <v>243488</v>
      </c>
    </row>
    <row r="48" spans="1:4" x14ac:dyDescent="0.25">
      <c r="A48" s="204"/>
      <c r="B48" s="291"/>
      <c r="C48" s="291"/>
      <c r="D48" s="291"/>
    </row>
    <row r="49" spans="1:4" x14ac:dyDescent="0.25">
      <c r="A49" s="202" t="s">
        <v>177</v>
      </c>
      <c r="B49" s="203"/>
      <c r="C49" s="203"/>
      <c r="D49" s="203"/>
    </row>
    <row r="50" spans="1:4" x14ac:dyDescent="0.25">
      <c r="A50" s="204" t="s">
        <v>178</v>
      </c>
      <c r="B50" s="291">
        <v>27749</v>
      </c>
      <c r="C50" s="291"/>
      <c r="D50" s="291">
        <f t="shared" si="0"/>
        <v>27749</v>
      </c>
    </row>
    <row r="51" spans="1:4" x14ac:dyDescent="0.25">
      <c r="A51" s="204" t="s">
        <v>631</v>
      </c>
      <c r="B51" s="291">
        <v>20905</v>
      </c>
      <c r="C51" s="291"/>
      <c r="D51" s="291">
        <f t="shared" si="0"/>
        <v>20905</v>
      </c>
    </row>
    <row r="52" spans="1:4" ht="31.5" x14ac:dyDescent="0.25">
      <c r="A52" s="204" t="s">
        <v>961</v>
      </c>
      <c r="B52" s="291">
        <v>12700</v>
      </c>
      <c r="C52" s="291"/>
      <c r="D52" s="291">
        <f t="shared" ref="D52:D55" si="2">SUM(B52:C52)</f>
        <v>12700</v>
      </c>
    </row>
    <row r="53" spans="1:4" x14ac:dyDescent="0.25">
      <c r="A53" s="204" t="s">
        <v>952</v>
      </c>
      <c r="B53" s="291">
        <v>2667</v>
      </c>
      <c r="C53" s="291"/>
      <c r="D53" s="291">
        <f t="shared" si="2"/>
        <v>2667</v>
      </c>
    </row>
    <row r="54" spans="1:4" x14ac:dyDescent="0.25">
      <c r="A54" s="204" t="s">
        <v>962</v>
      </c>
      <c r="B54" s="291">
        <v>699</v>
      </c>
      <c r="C54" s="291"/>
      <c r="D54" s="291">
        <f t="shared" si="2"/>
        <v>699</v>
      </c>
    </row>
    <row r="55" spans="1:4" ht="31.5" x14ac:dyDescent="0.25">
      <c r="A55" s="204" t="s">
        <v>963</v>
      </c>
      <c r="B55" s="291">
        <v>1029</v>
      </c>
      <c r="C55" s="291"/>
      <c r="D55" s="291">
        <f t="shared" si="2"/>
        <v>1029</v>
      </c>
    </row>
    <row r="56" spans="1:4" x14ac:dyDescent="0.25">
      <c r="A56" s="204" t="s">
        <v>179</v>
      </c>
      <c r="B56" s="291">
        <v>24410</v>
      </c>
      <c r="C56" s="291"/>
      <c r="D56" s="291">
        <f t="shared" si="0"/>
        <v>24410</v>
      </c>
    </row>
    <row r="57" spans="1:4" x14ac:dyDescent="0.25">
      <c r="A57" s="204" t="s">
        <v>341</v>
      </c>
      <c r="B57" s="291">
        <v>100442</v>
      </c>
      <c r="C57" s="291"/>
      <c r="D57" s="291">
        <f t="shared" si="0"/>
        <v>100442</v>
      </c>
    </row>
    <row r="58" spans="1:4" x14ac:dyDescent="0.25">
      <c r="A58" s="204" t="s">
        <v>632</v>
      </c>
      <c r="B58" s="291">
        <v>22225</v>
      </c>
      <c r="C58" s="291"/>
      <c r="D58" s="291">
        <f t="shared" si="0"/>
        <v>22225</v>
      </c>
    </row>
    <row r="59" spans="1:4" x14ac:dyDescent="0.25">
      <c r="A59" s="204" t="s">
        <v>633</v>
      </c>
      <c r="B59" s="291">
        <v>54387</v>
      </c>
      <c r="C59" s="291"/>
      <c r="D59" s="291">
        <f t="shared" si="0"/>
        <v>54387</v>
      </c>
    </row>
    <row r="60" spans="1:4" x14ac:dyDescent="0.25">
      <c r="A60" s="204" t="s">
        <v>342</v>
      </c>
      <c r="B60" s="291">
        <v>6175</v>
      </c>
      <c r="C60" s="291"/>
      <c r="D60" s="291">
        <f t="shared" si="0"/>
        <v>6175</v>
      </c>
    </row>
    <row r="61" spans="1:4" x14ac:dyDescent="0.25">
      <c r="A61" s="204" t="s">
        <v>677</v>
      </c>
      <c r="B61" s="291">
        <v>9144</v>
      </c>
      <c r="C61" s="291"/>
      <c r="D61" s="291">
        <f t="shared" si="0"/>
        <v>9144</v>
      </c>
    </row>
    <row r="62" spans="1:4" x14ac:dyDescent="0.25">
      <c r="A62" s="204" t="s">
        <v>869</v>
      </c>
      <c r="B62" s="291">
        <v>173785</v>
      </c>
      <c r="C62" s="291"/>
      <c r="D62" s="291">
        <f t="shared" si="0"/>
        <v>173785</v>
      </c>
    </row>
    <row r="63" spans="1:4" x14ac:dyDescent="0.25">
      <c r="A63" s="204" t="s">
        <v>226</v>
      </c>
      <c r="B63" s="291">
        <v>51651</v>
      </c>
      <c r="C63" s="291"/>
      <c r="D63" s="291">
        <f t="shared" si="0"/>
        <v>51651</v>
      </c>
    </row>
    <row r="64" spans="1:4" x14ac:dyDescent="0.25">
      <c r="A64" s="204" t="s">
        <v>636</v>
      </c>
      <c r="B64" s="291">
        <v>30594</v>
      </c>
      <c r="C64" s="291"/>
      <c r="D64" s="291">
        <f t="shared" si="0"/>
        <v>30594</v>
      </c>
    </row>
    <row r="65" spans="1:6" x14ac:dyDescent="0.25">
      <c r="A65" s="204" t="s">
        <v>347</v>
      </c>
      <c r="B65" s="291">
        <v>65</v>
      </c>
      <c r="C65" s="291"/>
      <c r="D65" s="291">
        <f t="shared" si="0"/>
        <v>65</v>
      </c>
    </row>
    <row r="66" spans="1:6" ht="16.5" thickBot="1" x14ac:dyDescent="0.3">
      <c r="A66" s="556" t="s">
        <v>343</v>
      </c>
      <c r="B66" s="557">
        <v>13820</v>
      </c>
      <c r="C66" s="557"/>
      <c r="D66" s="557">
        <f t="shared" si="0"/>
        <v>13820</v>
      </c>
      <c r="E66" s="193" t="s">
        <v>828</v>
      </c>
    </row>
    <row r="67" spans="1:6" ht="32.25" thickBot="1" x14ac:dyDescent="0.3">
      <c r="A67" s="558" t="s">
        <v>180</v>
      </c>
      <c r="B67" s="559">
        <v>32053</v>
      </c>
      <c r="C67" s="559"/>
      <c r="D67" s="559">
        <f t="shared" si="0"/>
        <v>32053</v>
      </c>
      <c r="E67" s="193" t="s">
        <v>828</v>
      </c>
    </row>
    <row r="68" spans="1:6" x14ac:dyDescent="0.25">
      <c r="A68" s="199" t="s">
        <v>519</v>
      </c>
      <c r="B68" s="288">
        <v>10496</v>
      </c>
      <c r="C68" s="288"/>
      <c r="D68" s="288">
        <f t="shared" si="0"/>
        <v>10496</v>
      </c>
    </row>
    <row r="69" spans="1:6" x14ac:dyDescent="0.25">
      <c r="A69" s="204" t="s">
        <v>348</v>
      </c>
      <c r="B69" s="291">
        <v>28766</v>
      </c>
      <c r="C69" s="291"/>
      <c r="D69" s="291">
        <f t="shared" si="0"/>
        <v>28766</v>
      </c>
    </row>
    <row r="70" spans="1:6" x14ac:dyDescent="0.25">
      <c r="A70" s="199" t="s">
        <v>344</v>
      </c>
      <c r="B70" s="288">
        <v>0</v>
      </c>
      <c r="C70" s="288"/>
      <c r="D70" s="288">
        <f t="shared" si="0"/>
        <v>0</v>
      </c>
    </row>
    <row r="71" spans="1:6" ht="31.5" x14ac:dyDescent="0.25">
      <c r="A71" s="199" t="s">
        <v>868</v>
      </c>
      <c r="B71" s="288">
        <v>132826</v>
      </c>
      <c r="C71" s="288"/>
      <c r="D71" s="288">
        <f t="shared" si="0"/>
        <v>132826</v>
      </c>
      <c r="E71" s="193" t="s">
        <v>828</v>
      </c>
    </row>
    <row r="72" spans="1:6" ht="31.5" x14ac:dyDescent="0.25">
      <c r="A72" s="199" t="s">
        <v>950</v>
      </c>
      <c r="B72" s="288">
        <v>325970</v>
      </c>
      <c r="C72" s="288"/>
      <c r="D72" s="288">
        <f t="shared" si="0"/>
        <v>325970</v>
      </c>
      <c r="F72" s="194"/>
    </row>
    <row r="73" spans="1:6" x14ac:dyDescent="0.25">
      <c r="A73" s="199" t="s">
        <v>537</v>
      </c>
      <c r="B73" s="288">
        <v>40000</v>
      </c>
      <c r="C73" s="288"/>
      <c r="D73" s="288">
        <f t="shared" si="0"/>
        <v>40000</v>
      </c>
    </row>
    <row r="74" spans="1:6" x14ac:dyDescent="0.25">
      <c r="A74" s="199" t="s">
        <v>867</v>
      </c>
      <c r="B74" s="288">
        <v>93345</v>
      </c>
      <c r="C74" s="288"/>
      <c r="D74" s="288">
        <f t="shared" ref="D74" si="3">SUM(B74:C74)</f>
        <v>93345</v>
      </c>
      <c r="E74" s="193" t="s">
        <v>828</v>
      </c>
    </row>
    <row r="75" spans="1:6" x14ac:dyDescent="0.25">
      <c r="A75" s="253" t="s">
        <v>637</v>
      </c>
      <c r="B75" s="288">
        <v>5398</v>
      </c>
      <c r="C75" s="288"/>
      <c r="D75" s="288">
        <f t="shared" si="0"/>
        <v>5398</v>
      </c>
    </row>
    <row r="76" spans="1:6" ht="31.5" x14ac:dyDescent="0.25">
      <c r="A76" s="199" t="s">
        <v>678</v>
      </c>
      <c r="B76" s="288">
        <v>20000</v>
      </c>
      <c r="C76" s="288"/>
      <c r="D76" s="288">
        <f t="shared" si="0"/>
        <v>20000</v>
      </c>
    </row>
    <row r="77" spans="1:6" x14ac:dyDescent="0.25">
      <c r="A77" s="199" t="s">
        <v>782</v>
      </c>
      <c r="B77" s="288">
        <v>4459</v>
      </c>
      <c r="C77" s="288"/>
      <c r="D77" s="288">
        <f t="shared" si="0"/>
        <v>4459</v>
      </c>
    </row>
    <row r="78" spans="1:6" ht="31.5" x14ac:dyDescent="0.25">
      <c r="A78" s="199" t="s">
        <v>783</v>
      </c>
      <c r="B78" s="288">
        <v>0</v>
      </c>
      <c r="C78" s="288"/>
      <c r="D78" s="288">
        <f t="shared" ref="D78:D135" si="4">SUM(B78:C78)</f>
        <v>0</v>
      </c>
    </row>
    <row r="79" spans="1:6" x14ac:dyDescent="0.25">
      <c r="A79" s="199" t="s">
        <v>784</v>
      </c>
      <c r="B79" s="288">
        <v>11176</v>
      </c>
      <c r="C79" s="288"/>
      <c r="D79" s="288">
        <f t="shared" si="4"/>
        <v>11176</v>
      </c>
    </row>
    <row r="80" spans="1:6" x14ac:dyDescent="0.25">
      <c r="A80" s="199" t="s">
        <v>785</v>
      </c>
      <c r="B80" s="288">
        <v>15869</v>
      </c>
      <c r="C80" s="288"/>
      <c r="D80" s="288">
        <f t="shared" si="4"/>
        <v>15869</v>
      </c>
    </row>
    <row r="81" spans="1:4" x14ac:dyDescent="0.25">
      <c r="A81" s="199" t="s">
        <v>786</v>
      </c>
      <c r="B81" s="288">
        <v>10000</v>
      </c>
      <c r="C81" s="288"/>
      <c r="D81" s="288">
        <f t="shared" si="4"/>
        <v>10000</v>
      </c>
    </row>
    <row r="82" spans="1:4" x14ac:dyDescent="0.25">
      <c r="A82" s="199" t="s">
        <v>787</v>
      </c>
      <c r="B82" s="288">
        <v>20542</v>
      </c>
      <c r="C82" s="288"/>
      <c r="D82" s="288">
        <f t="shared" si="4"/>
        <v>20542</v>
      </c>
    </row>
    <row r="83" spans="1:4" ht="31.5" x14ac:dyDescent="0.25">
      <c r="A83" s="199" t="s">
        <v>788</v>
      </c>
      <c r="B83" s="288">
        <v>1120</v>
      </c>
      <c r="C83" s="288"/>
      <c r="D83" s="288">
        <f t="shared" si="4"/>
        <v>1120</v>
      </c>
    </row>
    <row r="84" spans="1:4" ht="31.5" x14ac:dyDescent="0.25">
      <c r="A84" s="199" t="s">
        <v>789</v>
      </c>
      <c r="B84" s="288">
        <v>28350</v>
      </c>
      <c r="C84" s="288"/>
      <c r="D84" s="288">
        <f t="shared" si="4"/>
        <v>28350</v>
      </c>
    </row>
    <row r="85" spans="1:4" ht="31.5" x14ac:dyDescent="0.25">
      <c r="A85" s="199" t="s">
        <v>790</v>
      </c>
      <c r="B85" s="288">
        <v>126195</v>
      </c>
      <c r="C85" s="288">
        <f>-126195+126195</f>
        <v>0</v>
      </c>
      <c r="D85" s="288">
        <f t="shared" ref="D85:D88" si="5">SUM(B85:C85)</f>
        <v>126195</v>
      </c>
    </row>
    <row r="86" spans="1:4" x14ac:dyDescent="0.25">
      <c r="A86" s="199" t="s">
        <v>921</v>
      </c>
      <c r="B86" s="288">
        <v>56000</v>
      </c>
      <c r="C86" s="288"/>
      <c r="D86" s="288">
        <f t="shared" si="5"/>
        <v>56000</v>
      </c>
    </row>
    <row r="87" spans="1:4" x14ac:dyDescent="0.25">
      <c r="A87" s="199" t="s">
        <v>925</v>
      </c>
      <c r="B87" s="288">
        <v>30000</v>
      </c>
      <c r="C87" s="288"/>
      <c r="D87" s="288">
        <f t="shared" si="5"/>
        <v>30000</v>
      </c>
    </row>
    <row r="88" spans="1:4" x14ac:dyDescent="0.25">
      <c r="A88" s="199" t="s">
        <v>949</v>
      </c>
      <c r="B88" s="288">
        <v>23961</v>
      </c>
      <c r="C88" s="288"/>
      <c r="D88" s="288">
        <f t="shared" si="5"/>
        <v>23961</v>
      </c>
    </row>
    <row r="89" spans="1:4" ht="31.5" x14ac:dyDescent="0.25">
      <c r="A89" s="199" t="s">
        <v>1001</v>
      </c>
      <c r="B89" s="288"/>
      <c r="C89" s="288">
        <v>28639</v>
      </c>
      <c r="D89" s="288">
        <f t="shared" si="4"/>
        <v>28639</v>
      </c>
    </row>
    <row r="90" spans="1:4" x14ac:dyDescent="0.25">
      <c r="A90" s="200" t="s">
        <v>345</v>
      </c>
      <c r="B90" s="289">
        <f>SUM(B50:B89)</f>
        <v>1568973</v>
      </c>
      <c r="C90" s="289">
        <f>SUM(C50:C89)</f>
        <v>28639</v>
      </c>
      <c r="D90" s="289">
        <f t="shared" si="4"/>
        <v>1597612</v>
      </c>
    </row>
    <row r="91" spans="1:4" x14ac:dyDescent="0.25">
      <c r="A91" s="199"/>
      <c r="B91" s="288"/>
      <c r="C91" s="288"/>
      <c r="D91" s="288"/>
    </row>
    <row r="92" spans="1:4" x14ac:dyDescent="0.25">
      <c r="A92" s="200" t="s">
        <v>791</v>
      </c>
      <c r="B92" s="289">
        <f>SUM(B90,B47,B37,B9)</f>
        <v>3846381</v>
      </c>
      <c r="C92" s="289">
        <f>SUM(C90,C47,C37,C9)</f>
        <v>28640</v>
      </c>
      <c r="D92" s="289">
        <f t="shared" si="4"/>
        <v>3875021</v>
      </c>
    </row>
    <row r="93" spans="1:4" x14ac:dyDescent="0.25">
      <c r="A93" s="254"/>
      <c r="B93" s="294"/>
      <c r="C93" s="294"/>
      <c r="D93" s="294"/>
    </row>
    <row r="94" spans="1:4" x14ac:dyDescent="0.25">
      <c r="A94" s="201" t="s">
        <v>792</v>
      </c>
      <c r="B94" s="290"/>
      <c r="C94" s="290"/>
      <c r="D94" s="290"/>
    </row>
    <row r="95" spans="1:4" ht="31.5" x14ac:dyDescent="0.25">
      <c r="A95" s="204" t="s">
        <v>907</v>
      </c>
      <c r="B95" s="291">
        <v>2839259</v>
      </c>
      <c r="C95" s="291"/>
      <c r="D95" s="291">
        <f t="shared" si="4"/>
        <v>2839259</v>
      </c>
    </row>
    <row r="96" spans="1:4" ht="47.25" x14ac:dyDescent="0.25">
      <c r="A96" s="204" t="s">
        <v>535</v>
      </c>
      <c r="B96" s="291">
        <v>1093000</v>
      </c>
      <c r="C96" s="291"/>
      <c r="D96" s="291">
        <f t="shared" si="4"/>
        <v>1093000</v>
      </c>
    </row>
    <row r="97" spans="1:4" x14ac:dyDescent="0.25">
      <c r="A97" s="204" t="s">
        <v>634</v>
      </c>
      <c r="B97" s="291">
        <v>124103</v>
      </c>
      <c r="C97" s="291"/>
      <c r="D97" s="291">
        <f t="shared" si="4"/>
        <v>124103</v>
      </c>
    </row>
    <row r="98" spans="1:4" ht="31.5" x14ac:dyDescent="0.25">
      <c r="A98" s="204" t="s">
        <v>518</v>
      </c>
      <c r="B98" s="291">
        <v>18102</v>
      </c>
      <c r="C98" s="291"/>
      <c r="D98" s="291">
        <f t="shared" si="4"/>
        <v>18102</v>
      </c>
    </row>
    <row r="99" spans="1:4" x14ac:dyDescent="0.25">
      <c r="A99" s="252" t="s">
        <v>924</v>
      </c>
      <c r="B99" s="291">
        <v>357990</v>
      </c>
      <c r="C99" s="291"/>
      <c r="D99" s="291">
        <f t="shared" ref="D99" si="6">SUM(B99:C99)</f>
        <v>357990</v>
      </c>
    </row>
    <row r="100" spans="1:4" x14ac:dyDescent="0.25">
      <c r="A100" s="252" t="s">
        <v>956</v>
      </c>
      <c r="B100" s="291">
        <v>189000</v>
      </c>
      <c r="C100" s="291"/>
      <c r="D100" s="291">
        <f t="shared" si="4"/>
        <v>189000</v>
      </c>
    </row>
    <row r="101" spans="1:4" ht="47.25" x14ac:dyDescent="0.25">
      <c r="A101" s="199" t="s">
        <v>1138</v>
      </c>
      <c r="B101" s="288">
        <v>2462775</v>
      </c>
      <c r="C101" s="288"/>
      <c r="D101" s="288">
        <f t="shared" si="4"/>
        <v>2462775</v>
      </c>
    </row>
    <row r="102" spans="1:4" ht="47.25" x14ac:dyDescent="0.25">
      <c r="A102" s="199" t="s">
        <v>1137</v>
      </c>
      <c r="B102" s="288">
        <v>59971</v>
      </c>
      <c r="C102" s="288"/>
      <c r="D102" s="288">
        <f t="shared" si="4"/>
        <v>59971</v>
      </c>
    </row>
    <row r="103" spans="1:4" x14ac:dyDescent="0.25">
      <c r="A103" s="204" t="s">
        <v>1139</v>
      </c>
      <c r="B103" s="291">
        <v>14874212</v>
      </c>
      <c r="C103" s="291"/>
      <c r="D103" s="291">
        <f t="shared" si="4"/>
        <v>14874212</v>
      </c>
    </row>
    <row r="104" spans="1:4" ht="31.5" x14ac:dyDescent="0.25">
      <c r="A104" s="199" t="s">
        <v>639</v>
      </c>
      <c r="B104" s="288">
        <v>88509</v>
      </c>
      <c r="C104" s="288"/>
      <c r="D104" s="288">
        <f t="shared" si="4"/>
        <v>88509</v>
      </c>
    </row>
    <row r="105" spans="1:4" x14ac:dyDescent="0.25">
      <c r="A105" s="252" t="s">
        <v>638</v>
      </c>
      <c r="B105" s="288">
        <v>62174</v>
      </c>
      <c r="C105" s="288"/>
      <c r="D105" s="288">
        <f t="shared" si="4"/>
        <v>62174</v>
      </c>
    </row>
    <row r="106" spans="1:4" ht="31.5" x14ac:dyDescent="0.25">
      <c r="A106" s="199" t="s">
        <v>641</v>
      </c>
      <c r="B106" s="288">
        <v>211595</v>
      </c>
      <c r="C106" s="288"/>
      <c r="D106" s="288">
        <f t="shared" si="4"/>
        <v>211595</v>
      </c>
    </row>
    <row r="107" spans="1:4" x14ac:dyDescent="0.25">
      <c r="A107" s="199" t="s">
        <v>642</v>
      </c>
      <c r="B107" s="288">
        <v>800000</v>
      </c>
      <c r="C107" s="288"/>
      <c r="D107" s="288">
        <f t="shared" si="4"/>
        <v>800000</v>
      </c>
    </row>
    <row r="108" spans="1:4" x14ac:dyDescent="0.25">
      <c r="A108" s="199" t="s">
        <v>643</v>
      </c>
      <c r="B108" s="288">
        <v>399693</v>
      </c>
      <c r="C108" s="288"/>
      <c r="D108" s="288">
        <f t="shared" si="4"/>
        <v>399693</v>
      </c>
    </row>
    <row r="109" spans="1:4" x14ac:dyDescent="0.25">
      <c r="A109" s="202" t="s">
        <v>793</v>
      </c>
      <c r="B109" s="203">
        <f>SUM(B95:B108)</f>
        <v>23580383</v>
      </c>
      <c r="C109" s="203">
        <f>SUM(C95:C108)</f>
        <v>0</v>
      </c>
      <c r="D109" s="203">
        <f t="shared" si="4"/>
        <v>23580383</v>
      </c>
    </row>
    <row r="110" spans="1:4" x14ac:dyDescent="0.25">
      <c r="A110" s="202"/>
      <c r="B110" s="203"/>
      <c r="C110" s="203"/>
      <c r="D110" s="203"/>
    </row>
    <row r="111" spans="1:4" x14ac:dyDescent="0.25">
      <c r="A111" s="202" t="s">
        <v>644</v>
      </c>
      <c r="B111" s="203"/>
      <c r="C111" s="203"/>
      <c r="D111" s="203"/>
    </row>
    <row r="112" spans="1:4" ht="31.5" x14ac:dyDescent="0.25">
      <c r="A112" s="199" t="s">
        <v>346</v>
      </c>
      <c r="B112" s="288">
        <v>14263</v>
      </c>
      <c r="C112" s="288"/>
      <c r="D112" s="288">
        <f t="shared" si="4"/>
        <v>14263</v>
      </c>
    </row>
    <row r="113" spans="1:5" x14ac:dyDescent="0.25">
      <c r="A113" s="199" t="s">
        <v>645</v>
      </c>
      <c r="B113" s="288">
        <v>512795</v>
      </c>
      <c r="C113" s="288"/>
      <c r="D113" s="288">
        <f t="shared" si="4"/>
        <v>512795</v>
      </c>
    </row>
    <row r="114" spans="1:5" x14ac:dyDescent="0.25">
      <c r="A114" s="204" t="s">
        <v>1063</v>
      </c>
      <c r="B114" s="291">
        <v>268552</v>
      </c>
      <c r="C114" s="291"/>
      <c r="D114" s="291">
        <f t="shared" si="4"/>
        <v>268552</v>
      </c>
    </row>
    <row r="115" spans="1:5" ht="31.5" x14ac:dyDescent="0.25">
      <c r="A115" s="204" t="s">
        <v>646</v>
      </c>
      <c r="B115" s="291">
        <v>2086</v>
      </c>
      <c r="C115" s="291">
        <v>1</v>
      </c>
      <c r="D115" s="291">
        <f t="shared" si="4"/>
        <v>2087</v>
      </c>
    </row>
    <row r="116" spans="1:5" x14ac:dyDescent="0.25">
      <c r="A116" s="204" t="s">
        <v>1140</v>
      </c>
      <c r="B116" s="288">
        <v>200000</v>
      </c>
      <c r="C116" s="288"/>
      <c r="D116" s="288">
        <f t="shared" si="4"/>
        <v>200000</v>
      </c>
    </row>
    <row r="117" spans="1:5" x14ac:dyDescent="0.25">
      <c r="A117" s="199" t="s">
        <v>523</v>
      </c>
      <c r="B117" s="288">
        <v>303353</v>
      </c>
      <c r="C117" s="288"/>
      <c r="D117" s="288">
        <f t="shared" si="4"/>
        <v>303353</v>
      </c>
    </row>
    <row r="118" spans="1:5" x14ac:dyDescent="0.25">
      <c r="A118" s="199" t="s">
        <v>647</v>
      </c>
      <c r="B118" s="288">
        <v>135282</v>
      </c>
      <c r="C118" s="288"/>
      <c r="D118" s="288">
        <f t="shared" si="4"/>
        <v>135282</v>
      </c>
    </row>
    <row r="119" spans="1:5" x14ac:dyDescent="0.25">
      <c r="A119" s="199" t="s">
        <v>648</v>
      </c>
      <c r="B119" s="288">
        <v>114294</v>
      </c>
      <c r="C119" s="288"/>
      <c r="D119" s="288">
        <f t="shared" si="4"/>
        <v>114294</v>
      </c>
    </row>
    <row r="120" spans="1:5" x14ac:dyDescent="0.25">
      <c r="A120" s="199" t="s">
        <v>521</v>
      </c>
      <c r="B120" s="288">
        <v>34631</v>
      </c>
      <c r="C120" s="288">
        <v>1</v>
      </c>
      <c r="D120" s="288">
        <f t="shared" si="4"/>
        <v>34632</v>
      </c>
      <c r="E120" s="193" t="s">
        <v>873</v>
      </c>
    </row>
    <row r="121" spans="1:5" x14ac:dyDescent="0.25">
      <c r="A121" s="199" t="s">
        <v>522</v>
      </c>
      <c r="B121" s="288">
        <v>522639</v>
      </c>
      <c r="C121" s="288">
        <v>792498</v>
      </c>
      <c r="D121" s="288">
        <f t="shared" si="4"/>
        <v>1315137</v>
      </c>
    </row>
    <row r="122" spans="1:5" x14ac:dyDescent="0.25">
      <c r="A122" s="199" t="s">
        <v>649</v>
      </c>
      <c r="B122" s="288">
        <v>9552</v>
      </c>
      <c r="C122" s="288"/>
      <c r="D122" s="288">
        <f t="shared" si="4"/>
        <v>9552</v>
      </c>
    </row>
    <row r="123" spans="1:5" x14ac:dyDescent="0.25">
      <c r="A123" s="199" t="s">
        <v>650</v>
      </c>
      <c r="B123" s="288">
        <v>184348</v>
      </c>
      <c r="C123" s="288"/>
      <c r="D123" s="288">
        <f t="shared" si="4"/>
        <v>184348</v>
      </c>
    </row>
    <row r="124" spans="1:5" x14ac:dyDescent="0.25">
      <c r="A124" s="199" t="s">
        <v>651</v>
      </c>
      <c r="B124" s="288">
        <v>145924</v>
      </c>
      <c r="C124" s="288"/>
      <c r="D124" s="288">
        <f t="shared" si="4"/>
        <v>145924</v>
      </c>
    </row>
    <row r="125" spans="1:5" x14ac:dyDescent="0.25">
      <c r="A125" s="199" t="s">
        <v>794</v>
      </c>
      <c r="B125" s="288">
        <v>5882</v>
      </c>
      <c r="C125" s="288"/>
      <c r="D125" s="288">
        <f t="shared" si="4"/>
        <v>5882</v>
      </c>
    </row>
    <row r="126" spans="1:5" x14ac:dyDescent="0.25">
      <c r="A126" s="199" t="s">
        <v>652</v>
      </c>
      <c r="B126" s="288">
        <v>19432</v>
      </c>
      <c r="C126" s="288"/>
      <c r="D126" s="288">
        <f t="shared" si="4"/>
        <v>19432</v>
      </c>
    </row>
    <row r="127" spans="1:5" x14ac:dyDescent="0.25">
      <c r="A127" s="199" t="s">
        <v>1059</v>
      </c>
      <c r="B127" s="288"/>
      <c r="C127" s="288">
        <v>90005</v>
      </c>
      <c r="D127" s="288">
        <f t="shared" ref="D127" si="7">SUM(B127:C127)</f>
        <v>90005</v>
      </c>
    </row>
    <row r="128" spans="1:5" x14ac:dyDescent="0.25">
      <c r="A128" s="199" t="s">
        <v>640</v>
      </c>
      <c r="B128" s="288">
        <v>201602</v>
      </c>
      <c r="C128" s="288"/>
      <c r="D128" s="288">
        <f t="shared" si="4"/>
        <v>201602</v>
      </c>
    </row>
    <row r="129" spans="1:4" x14ac:dyDescent="0.25">
      <c r="A129" s="199" t="s">
        <v>653</v>
      </c>
      <c r="B129" s="288">
        <v>308450</v>
      </c>
      <c r="C129" s="288"/>
      <c r="D129" s="288">
        <f t="shared" ref="D129" si="8">SUM(B129:C129)</f>
        <v>308450</v>
      </c>
    </row>
    <row r="130" spans="1:4" x14ac:dyDescent="0.25">
      <c r="A130" s="199" t="s">
        <v>520</v>
      </c>
      <c r="B130" s="288">
        <v>6</v>
      </c>
      <c r="C130" s="288"/>
      <c r="D130" s="288">
        <f t="shared" si="4"/>
        <v>6</v>
      </c>
    </row>
    <row r="131" spans="1:4" x14ac:dyDescent="0.25">
      <c r="A131" s="200" t="s">
        <v>644</v>
      </c>
      <c r="B131" s="289">
        <f>SUM(B112:B130)</f>
        <v>2983091</v>
      </c>
      <c r="C131" s="289">
        <f>SUM(C112:C130)</f>
        <v>882505</v>
      </c>
      <c r="D131" s="289">
        <f t="shared" si="4"/>
        <v>3865596</v>
      </c>
    </row>
    <row r="132" spans="1:4" x14ac:dyDescent="0.25">
      <c r="A132" s="199"/>
      <c r="B132" s="288"/>
      <c r="C132" s="288"/>
      <c r="D132" s="288"/>
    </row>
    <row r="133" spans="1:4" x14ac:dyDescent="0.25">
      <c r="A133" s="200" t="s">
        <v>795</v>
      </c>
      <c r="B133" s="289">
        <f>SUM(B109,B131)</f>
        <v>26563474</v>
      </c>
      <c r="C133" s="289">
        <f>SUM(C109,C131)</f>
        <v>882505</v>
      </c>
      <c r="D133" s="289">
        <f t="shared" si="4"/>
        <v>27445979</v>
      </c>
    </row>
    <row r="134" spans="1:4" x14ac:dyDescent="0.25">
      <c r="A134" s="199"/>
      <c r="B134" s="288"/>
      <c r="C134" s="288"/>
      <c r="D134" s="288"/>
    </row>
    <row r="135" spans="1:4" ht="16.5" thickBot="1" x14ac:dyDescent="0.3">
      <c r="A135" s="207" t="s">
        <v>396</v>
      </c>
      <c r="B135" s="295">
        <f>SUM(B92,B133)</f>
        <v>30409855</v>
      </c>
      <c r="C135" s="295">
        <f>SUM(C92,C133)</f>
        <v>911145</v>
      </c>
      <c r="D135" s="295">
        <f t="shared" si="4"/>
        <v>31321000</v>
      </c>
    </row>
    <row r="136" spans="1:4" ht="16.5" thickTop="1" x14ac:dyDescent="0.25"/>
  </sheetData>
  <mergeCells count="2">
    <mergeCell ref="A1:D1"/>
    <mergeCell ref="A2:D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7" orientation="portrait" r:id="rId1"/>
  <headerFooter>
    <oddHeader>&amp;R&amp;"Times New Roman CE,Félkövér" 11. melléklet a 6/2020.(II.24.) önkormányzati rendelethez
&amp;"Times New Roman CE,Dőlt" 12. melléklet
  az 5/2019.(II.15.) önkormányzati rendelethez</oddHeader>
  </headerFooter>
  <rowBreaks count="1" manualBreakCount="1">
    <brk id="62" max="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A1:E126"/>
  <sheetViews>
    <sheetView view="pageBreakPreview" topLeftCell="A88" zoomScale="90" zoomScaleNormal="90" zoomScaleSheetLayoutView="90" workbookViewId="0">
      <selection activeCell="A100" sqref="A1:XFD1048576"/>
    </sheetView>
  </sheetViews>
  <sheetFormatPr defaultRowHeight="15.75" x14ac:dyDescent="0.25"/>
  <cols>
    <col min="1" max="1" width="36" style="886" customWidth="1"/>
    <col min="2" max="2" width="51.125" style="885" customWidth="1"/>
    <col min="3" max="5" width="16.125" style="887" customWidth="1"/>
    <col min="6" max="254" width="9" style="885"/>
    <col min="255" max="255" width="43.5" style="885" customWidth="1"/>
    <col min="256" max="256" width="19.5" style="885" customWidth="1"/>
    <col min="257" max="257" width="17.375" style="885" customWidth="1"/>
    <col min="258" max="258" width="50.375" style="885" customWidth="1"/>
    <col min="259" max="510" width="9" style="885"/>
    <col min="511" max="511" width="43.5" style="885" customWidth="1"/>
    <col min="512" max="512" width="19.5" style="885" customWidth="1"/>
    <col min="513" max="513" width="17.375" style="885" customWidth="1"/>
    <col min="514" max="514" width="50.375" style="885" customWidth="1"/>
    <col min="515" max="766" width="9" style="885"/>
    <col min="767" max="767" width="43.5" style="885" customWidth="1"/>
    <col min="768" max="768" width="19.5" style="885" customWidth="1"/>
    <col min="769" max="769" width="17.375" style="885" customWidth="1"/>
    <col min="770" max="770" width="50.375" style="885" customWidth="1"/>
    <col min="771" max="1022" width="9" style="885"/>
    <col min="1023" max="1023" width="43.5" style="885" customWidth="1"/>
    <col min="1024" max="1024" width="19.5" style="885" customWidth="1"/>
    <col min="1025" max="1025" width="17.375" style="885" customWidth="1"/>
    <col min="1026" max="1026" width="50.375" style="885" customWidth="1"/>
    <col min="1027" max="1278" width="9" style="885"/>
    <col min="1279" max="1279" width="43.5" style="885" customWidth="1"/>
    <col min="1280" max="1280" width="19.5" style="885" customWidth="1"/>
    <col min="1281" max="1281" width="17.375" style="885" customWidth="1"/>
    <col min="1282" max="1282" width="50.375" style="885" customWidth="1"/>
    <col min="1283" max="1534" width="9" style="885"/>
    <col min="1535" max="1535" width="43.5" style="885" customWidth="1"/>
    <col min="1536" max="1536" width="19.5" style="885" customWidth="1"/>
    <col min="1537" max="1537" width="17.375" style="885" customWidth="1"/>
    <col min="1538" max="1538" width="50.375" style="885" customWidth="1"/>
    <col min="1539" max="1790" width="9" style="885"/>
    <col min="1791" max="1791" width="43.5" style="885" customWidth="1"/>
    <col min="1792" max="1792" width="19.5" style="885" customWidth="1"/>
    <col min="1793" max="1793" width="17.375" style="885" customWidth="1"/>
    <col min="1794" max="1794" width="50.375" style="885" customWidth="1"/>
    <col min="1795" max="2046" width="9" style="885"/>
    <col min="2047" max="2047" width="43.5" style="885" customWidth="1"/>
    <col min="2048" max="2048" width="19.5" style="885" customWidth="1"/>
    <col min="2049" max="2049" width="17.375" style="885" customWidth="1"/>
    <col min="2050" max="2050" width="50.375" style="885" customWidth="1"/>
    <col min="2051" max="2302" width="9" style="885"/>
    <col min="2303" max="2303" width="43.5" style="885" customWidth="1"/>
    <col min="2304" max="2304" width="19.5" style="885" customWidth="1"/>
    <col min="2305" max="2305" width="17.375" style="885" customWidth="1"/>
    <col min="2306" max="2306" width="50.375" style="885" customWidth="1"/>
    <col min="2307" max="2558" width="9" style="885"/>
    <col min="2559" max="2559" width="43.5" style="885" customWidth="1"/>
    <col min="2560" max="2560" width="19.5" style="885" customWidth="1"/>
    <col min="2561" max="2561" width="17.375" style="885" customWidth="1"/>
    <col min="2562" max="2562" width="50.375" style="885" customWidth="1"/>
    <col min="2563" max="2814" width="9" style="885"/>
    <col min="2815" max="2815" width="43.5" style="885" customWidth="1"/>
    <col min="2816" max="2816" width="19.5" style="885" customWidth="1"/>
    <col min="2817" max="2817" width="17.375" style="885" customWidth="1"/>
    <col min="2818" max="2818" width="50.375" style="885" customWidth="1"/>
    <col min="2819" max="3070" width="9" style="885"/>
    <col min="3071" max="3071" width="43.5" style="885" customWidth="1"/>
    <col min="3072" max="3072" width="19.5" style="885" customWidth="1"/>
    <col min="3073" max="3073" width="17.375" style="885" customWidth="1"/>
    <col min="3074" max="3074" width="50.375" style="885" customWidth="1"/>
    <col min="3075" max="3326" width="9" style="885"/>
    <col min="3327" max="3327" width="43.5" style="885" customWidth="1"/>
    <col min="3328" max="3328" width="19.5" style="885" customWidth="1"/>
    <col min="3329" max="3329" width="17.375" style="885" customWidth="1"/>
    <col min="3330" max="3330" width="50.375" style="885" customWidth="1"/>
    <col min="3331" max="3582" width="9" style="885"/>
    <col min="3583" max="3583" width="43.5" style="885" customWidth="1"/>
    <col min="3584" max="3584" width="19.5" style="885" customWidth="1"/>
    <col min="3585" max="3585" width="17.375" style="885" customWidth="1"/>
    <col min="3586" max="3586" width="50.375" style="885" customWidth="1"/>
    <col min="3587" max="3838" width="9" style="885"/>
    <col min="3839" max="3839" width="43.5" style="885" customWidth="1"/>
    <col min="3840" max="3840" width="19.5" style="885" customWidth="1"/>
    <col min="3841" max="3841" width="17.375" style="885" customWidth="1"/>
    <col min="3842" max="3842" width="50.375" style="885" customWidth="1"/>
    <col min="3843" max="4094" width="9" style="885"/>
    <col min="4095" max="4095" width="43.5" style="885" customWidth="1"/>
    <col min="4096" max="4096" width="19.5" style="885" customWidth="1"/>
    <col min="4097" max="4097" width="17.375" style="885" customWidth="1"/>
    <col min="4098" max="4098" width="50.375" style="885" customWidth="1"/>
    <col min="4099" max="4350" width="9" style="885"/>
    <col min="4351" max="4351" width="43.5" style="885" customWidth="1"/>
    <col min="4352" max="4352" width="19.5" style="885" customWidth="1"/>
    <col min="4353" max="4353" width="17.375" style="885" customWidth="1"/>
    <col min="4354" max="4354" width="50.375" style="885" customWidth="1"/>
    <col min="4355" max="4606" width="9" style="885"/>
    <col min="4607" max="4607" width="43.5" style="885" customWidth="1"/>
    <col min="4608" max="4608" width="19.5" style="885" customWidth="1"/>
    <col min="4609" max="4609" width="17.375" style="885" customWidth="1"/>
    <col min="4610" max="4610" width="50.375" style="885" customWidth="1"/>
    <col min="4611" max="4862" width="9" style="885"/>
    <col min="4863" max="4863" width="43.5" style="885" customWidth="1"/>
    <col min="4864" max="4864" width="19.5" style="885" customWidth="1"/>
    <col min="4865" max="4865" width="17.375" style="885" customWidth="1"/>
    <col min="4866" max="4866" width="50.375" style="885" customWidth="1"/>
    <col min="4867" max="5118" width="9" style="885"/>
    <col min="5119" max="5119" width="43.5" style="885" customWidth="1"/>
    <col min="5120" max="5120" width="19.5" style="885" customWidth="1"/>
    <col min="5121" max="5121" width="17.375" style="885" customWidth="1"/>
    <col min="5122" max="5122" width="50.375" style="885" customWidth="1"/>
    <col min="5123" max="5374" width="9" style="885"/>
    <col min="5375" max="5375" width="43.5" style="885" customWidth="1"/>
    <col min="5376" max="5376" width="19.5" style="885" customWidth="1"/>
    <col min="5377" max="5377" width="17.375" style="885" customWidth="1"/>
    <col min="5378" max="5378" width="50.375" style="885" customWidth="1"/>
    <col min="5379" max="5630" width="9" style="885"/>
    <col min="5631" max="5631" width="43.5" style="885" customWidth="1"/>
    <col min="5632" max="5632" width="19.5" style="885" customWidth="1"/>
    <col min="5633" max="5633" width="17.375" style="885" customWidth="1"/>
    <col min="5634" max="5634" width="50.375" style="885" customWidth="1"/>
    <col min="5635" max="5886" width="9" style="885"/>
    <col min="5887" max="5887" width="43.5" style="885" customWidth="1"/>
    <col min="5888" max="5888" width="19.5" style="885" customWidth="1"/>
    <col min="5889" max="5889" width="17.375" style="885" customWidth="1"/>
    <col min="5890" max="5890" width="50.375" style="885" customWidth="1"/>
    <col min="5891" max="6142" width="9" style="885"/>
    <col min="6143" max="6143" width="43.5" style="885" customWidth="1"/>
    <col min="6144" max="6144" width="19.5" style="885" customWidth="1"/>
    <col min="6145" max="6145" width="17.375" style="885" customWidth="1"/>
    <col min="6146" max="6146" width="50.375" style="885" customWidth="1"/>
    <col min="6147" max="6398" width="9" style="885"/>
    <col min="6399" max="6399" width="43.5" style="885" customWidth="1"/>
    <col min="6400" max="6400" width="19.5" style="885" customWidth="1"/>
    <col min="6401" max="6401" width="17.375" style="885" customWidth="1"/>
    <col min="6402" max="6402" width="50.375" style="885" customWidth="1"/>
    <col min="6403" max="6654" width="9" style="885"/>
    <col min="6655" max="6655" width="43.5" style="885" customWidth="1"/>
    <col min="6656" max="6656" width="19.5" style="885" customWidth="1"/>
    <col min="6657" max="6657" width="17.375" style="885" customWidth="1"/>
    <col min="6658" max="6658" width="50.375" style="885" customWidth="1"/>
    <col min="6659" max="6910" width="9" style="885"/>
    <col min="6911" max="6911" width="43.5" style="885" customWidth="1"/>
    <col min="6912" max="6912" width="19.5" style="885" customWidth="1"/>
    <col min="6913" max="6913" width="17.375" style="885" customWidth="1"/>
    <col min="6914" max="6914" width="50.375" style="885" customWidth="1"/>
    <col min="6915" max="7166" width="9" style="885"/>
    <col min="7167" max="7167" width="43.5" style="885" customWidth="1"/>
    <col min="7168" max="7168" width="19.5" style="885" customWidth="1"/>
    <col min="7169" max="7169" width="17.375" style="885" customWidth="1"/>
    <col min="7170" max="7170" width="50.375" style="885" customWidth="1"/>
    <col min="7171" max="7422" width="9" style="885"/>
    <col min="7423" max="7423" width="43.5" style="885" customWidth="1"/>
    <col min="7424" max="7424" width="19.5" style="885" customWidth="1"/>
    <col min="7425" max="7425" width="17.375" style="885" customWidth="1"/>
    <col min="7426" max="7426" width="50.375" style="885" customWidth="1"/>
    <col min="7427" max="7678" width="9" style="885"/>
    <col min="7679" max="7679" width="43.5" style="885" customWidth="1"/>
    <col min="7680" max="7680" width="19.5" style="885" customWidth="1"/>
    <col min="7681" max="7681" width="17.375" style="885" customWidth="1"/>
    <col min="7682" max="7682" width="50.375" style="885" customWidth="1"/>
    <col min="7683" max="7934" width="9" style="885"/>
    <col min="7935" max="7935" width="43.5" style="885" customWidth="1"/>
    <col min="7936" max="7936" width="19.5" style="885" customWidth="1"/>
    <col min="7937" max="7937" width="17.375" style="885" customWidth="1"/>
    <col min="7938" max="7938" width="50.375" style="885" customWidth="1"/>
    <col min="7939" max="8190" width="9" style="885"/>
    <col min="8191" max="8191" width="43.5" style="885" customWidth="1"/>
    <col min="8192" max="8192" width="19.5" style="885" customWidth="1"/>
    <col min="8193" max="8193" width="17.375" style="885" customWidth="1"/>
    <col min="8194" max="8194" width="50.375" style="885" customWidth="1"/>
    <col min="8195" max="8446" width="9" style="885"/>
    <col min="8447" max="8447" width="43.5" style="885" customWidth="1"/>
    <col min="8448" max="8448" width="19.5" style="885" customWidth="1"/>
    <col min="8449" max="8449" width="17.375" style="885" customWidth="1"/>
    <col min="8450" max="8450" width="50.375" style="885" customWidth="1"/>
    <col min="8451" max="8702" width="9" style="885"/>
    <col min="8703" max="8703" width="43.5" style="885" customWidth="1"/>
    <col min="8704" max="8704" width="19.5" style="885" customWidth="1"/>
    <col min="8705" max="8705" width="17.375" style="885" customWidth="1"/>
    <col min="8706" max="8706" width="50.375" style="885" customWidth="1"/>
    <col min="8707" max="8958" width="9" style="885"/>
    <col min="8959" max="8959" width="43.5" style="885" customWidth="1"/>
    <col min="8960" max="8960" width="19.5" style="885" customWidth="1"/>
    <col min="8961" max="8961" width="17.375" style="885" customWidth="1"/>
    <col min="8962" max="8962" width="50.375" style="885" customWidth="1"/>
    <col min="8963" max="9214" width="9" style="885"/>
    <col min="9215" max="9215" width="43.5" style="885" customWidth="1"/>
    <col min="9216" max="9216" width="19.5" style="885" customWidth="1"/>
    <col min="9217" max="9217" width="17.375" style="885" customWidth="1"/>
    <col min="9218" max="9218" width="50.375" style="885" customWidth="1"/>
    <col min="9219" max="9470" width="9" style="885"/>
    <col min="9471" max="9471" width="43.5" style="885" customWidth="1"/>
    <col min="9472" max="9472" width="19.5" style="885" customWidth="1"/>
    <col min="9473" max="9473" width="17.375" style="885" customWidth="1"/>
    <col min="9474" max="9474" width="50.375" style="885" customWidth="1"/>
    <col min="9475" max="9726" width="9" style="885"/>
    <col min="9727" max="9727" width="43.5" style="885" customWidth="1"/>
    <col min="9728" max="9728" width="19.5" style="885" customWidth="1"/>
    <col min="9729" max="9729" width="17.375" style="885" customWidth="1"/>
    <col min="9730" max="9730" width="50.375" style="885" customWidth="1"/>
    <col min="9731" max="9982" width="9" style="885"/>
    <col min="9983" max="9983" width="43.5" style="885" customWidth="1"/>
    <col min="9984" max="9984" width="19.5" style="885" customWidth="1"/>
    <col min="9985" max="9985" width="17.375" style="885" customWidth="1"/>
    <col min="9986" max="9986" width="50.375" style="885" customWidth="1"/>
    <col min="9987" max="10238" width="9" style="885"/>
    <col min="10239" max="10239" width="43.5" style="885" customWidth="1"/>
    <col min="10240" max="10240" width="19.5" style="885" customWidth="1"/>
    <col min="10241" max="10241" width="17.375" style="885" customWidth="1"/>
    <col min="10242" max="10242" width="50.375" style="885" customWidth="1"/>
    <col min="10243" max="10494" width="9" style="885"/>
    <col min="10495" max="10495" width="43.5" style="885" customWidth="1"/>
    <col min="10496" max="10496" width="19.5" style="885" customWidth="1"/>
    <col min="10497" max="10497" width="17.375" style="885" customWidth="1"/>
    <col min="10498" max="10498" width="50.375" style="885" customWidth="1"/>
    <col min="10499" max="10750" width="9" style="885"/>
    <col min="10751" max="10751" width="43.5" style="885" customWidth="1"/>
    <col min="10752" max="10752" width="19.5" style="885" customWidth="1"/>
    <col min="10753" max="10753" width="17.375" style="885" customWidth="1"/>
    <col min="10754" max="10754" width="50.375" style="885" customWidth="1"/>
    <col min="10755" max="11006" width="9" style="885"/>
    <col min="11007" max="11007" width="43.5" style="885" customWidth="1"/>
    <col min="11008" max="11008" width="19.5" style="885" customWidth="1"/>
    <col min="11009" max="11009" width="17.375" style="885" customWidth="1"/>
    <col min="11010" max="11010" width="50.375" style="885" customWidth="1"/>
    <col min="11011" max="11262" width="9" style="885"/>
    <col min="11263" max="11263" width="43.5" style="885" customWidth="1"/>
    <col min="11264" max="11264" width="19.5" style="885" customWidth="1"/>
    <col min="11265" max="11265" width="17.375" style="885" customWidth="1"/>
    <col min="11266" max="11266" width="50.375" style="885" customWidth="1"/>
    <col min="11267" max="11518" width="9" style="885"/>
    <col min="11519" max="11519" width="43.5" style="885" customWidth="1"/>
    <col min="11520" max="11520" width="19.5" style="885" customWidth="1"/>
    <col min="11521" max="11521" width="17.375" style="885" customWidth="1"/>
    <col min="11522" max="11522" width="50.375" style="885" customWidth="1"/>
    <col min="11523" max="11774" width="9" style="885"/>
    <col min="11775" max="11775" width="43.5" style="885" customWidth="1"/>
    <col min="11776" max="11776" width="19.5" style="885" customWidth="1"/>
    <col min="11777" max="11777" width="17.375" style="885" customWidth="1"/>
    <col min="11778" max="11778" width="50.375" style="885" customWidth="1"/>
    <col min="11779" max="12030" width="9" style="885"/>
    <col min="12031" max="12031" width="43.5" style="885" customWidth="1"/>
    <col min="12032" max="12032" width="19.5" style="885" customWidth="1"/>
    <col min="12033" max="12033" width="17.375" style="885" customWidth="1"/>
    <col min="12034" max="12034" width="50.375" style="885" customWidth="1"/>
    <col min="12035" max="12286" width="9" style="885"/>
    <col min="12287" max="12287" width="43.5" style="885" customWidth="1"/>
    <col min="12288" max="12288" width="19.5" style="885" customWidth="1"/>
    <col min="12289" max="12289" width="17.375" style="885" customWidth="1"/>
    <col min="12290" max="12290" width="50.375" style="885" customWidth="1"/>
    <col min="12291" max="12542" width="9" style="885"/>
    <col min="12543" max="12543" width="43.5" style="885" customWidth="1"/>
    <col min="12544" max="12544" width="19.5" style="885" customWidth="1"/>
    <col min="12545" max="12545" width="17.375" style="885" customWidth="1"/>
    <col min="12546" max="12546" width="50.375" style="885" customWidth="1"/>
    <col min="12547" max="12798" width="9" style="885"/>
    <col min="12799" max="12799" width="43.5" style="885" customWidth="1"/>
    <col min="12800" max="12800" width="19.5" style="885" customWidth="1"/>
    <col min="12801" max="12801" width="17.375" style="885" customWidth="1"/>
    <col min="12802" max="12802" width="50.375" style="885" customWidth="1"/>
    <col min="12803" max="13054" width="9" style="885"/>
    <col min="13055" max="13055" width="43.5" style="885" customWidth="1"/>
    <col min="13056" max="13056" width="19.5" style="885" customWidth="1"/>
    <col min="13057" max="13057" width="17.375" style="885" customWidth="1"/>
    <col min="13058" max="13058" width="50.375" style="885" customWidth="1"/>
    <col min="13059" max="13310" width="9" style="885"/>
    <col min="13311" max="13311" width="43.5" style="885" customWidth="1"/>
    <col min="13312" max="13312" width="19.5" style="885" customWidth="1"/>
    <col min="13313" max="13313" width="17.375" style="885" customWidth="1"/>
    <col min="13314" max="13314" width="50.375" style="885" customWidth="1"/>
    <col min="13315" max="13566" width="9" style="885"/>
    <col min="13567" max="13567" width="43.5" style="885" customWidth="1"/>
    <col min="13568" max="13568" width="19.5" style="885" customWidth="1"/>
    <col min="13569" max="13569" width="17.375" style="885" customWidth="1"/>
    <col min="13570" max="13570" width="50.375" style="885" customWidth="1"/>
    <col min="13571" max="13822" width="9" style="885"/>
    <col min="13823" max="13823" width="43.5" style="885" customWidth="1"/>
    <col min="13824" max="13824" width="19.5" style="885" customWidth="1"/>
    <col min="13825" max="13825" width="17.375" style="885" customWidth="1"/>
    <col min="13826" max="13826" width="50.375" style="885" customWidth="1"/>
    <col min="13827" max="14078" width="9" style="885"/>
    <col min="14079" max="14079" width="43.5" style="885" customWidth="1"/>
    <col min="14080" max="14080" width="19.5" style="885" customWidth="1"/>
    <col min="14081" max="14081" width="17.375" style="885" customWidth="1"/>
    <col min="14082" max="14082" width="50.375" style="885" customWidth="1"/>
    <col min="14083" max="14334" width="9" style="885"/>
    <col min="14335" max="14335" width="43.5" style="885" customWidth="1"/>
    <col min="14336" max="14336" width="19.5" style="885" customWidth="1"/>
    <col min="14337" max="14337" width="17.375" style="885" customWidth="1"/>
    <col min="14338" max="14338" width="50.375" style="885" customWidth="1"/>
    <col min="14339" max="14590" width="9" style="885"/>
    <col min="14591" max="14591" width="43.5" style="885" customWidth="1"/>
    <col min="14592" max="14592" width="19.5" style="885" customWidth="1"/>
    <col min="14593" max="14593" width="17.375" style="885" customWidth="1"/>
    <col min="14594" max="14594" width="50.375" style="885" customWidth="1"/>
    <col min="14595" max="14846" width="9" style="885"/>
    <col min="14847" max="14847" width="43.5" style="885" customWidth="1"/>
    <col min="14848" max="14848" width="19.5" style="885" customWidth="1"/>
    <col min="14849" max="14849" width="17.375" style="885" customWidth="1"/>
    <col min="14850" max="14850" width="50.375" style="885" customWidth="1"/>
    <col min="14851" max="15102" width="9" style="885"/>
    <col min="15103" max="15103" width="43.5" style="885" customWidth="1"/>
    <col min="15104" max="15104" width="19.5" style="885" customWidth="1"/>
    <col min="15105" max="15105" width="17.375" style="885" customWidth="1"/>
    <col min="15106" max="15106" width="50.375" style="885" customWidth="1"/>
    <col min="15107" max="15358" width="9" style="885"/>
    <col min="15359" max="15359" width="43.5" style="885" customWidth="1"/>
    <col min="15360" max="15360" width="19.5" style="885" customWidth="1"/>
    <col min="15361" max="15361" width="17.375" style="885" customWidth="1"/>
    <col min="15362" max="15362" width="50.375" style="885" customWidth="1"/>
    <col min="15363" max="15614" width="9" style="885"/>
    <col min="15615" max="15615" width="43.5" style="885" customWidth="1"/>
    <col min="15616" max="15616" width="19.5" style="885" customWidth="1"/>
    <col min="15617" max="15617" width="17.375" style="885" customWidth="1"/>
    <col min="15618" max="15618" width="50.375" style="885" customWidth="1"/>
    <col min="15619" max="15870" width="9" style="885"/>
    <col min="15871" max="15871" width="43.5" style="885" customWidth="1"/>
    <col min="15872" max="15872" width="19.5" style="885" customWidth="1"/>
    <col min="15873" max="15873" width="17.375" style="885" customWidth="1"/>
    <col min="15874" max="15874" width="50.375" style="885" customWidth="1"/>
    <col min="15875" max="16126" width="9" style="885"/>
    <col min="16127" max="16127" width="43.5" style="885" customWidth="1"/>
    <col min="16128" max="16128" width="19.5" style="885" customWidth="1"/>
    <col min="16129" max="16129" width="17.375" style="885" customWidth="1"/>
    <col min="16130" max="16130" width="50.375" style="885" customWidth="1"/>
    <col min="16131" max="16384" width="9" style="885"/>
  </cols>
  <sheetData>
    <row r="1" spans="1:5" ht="31.5" customHeight="1" x14ac:dyDescent="0.25">
      <c r="A1" s="1041" t="s">
        <v>796</v>
      </c>
      <c r="B1" s="1041"/>
      <c r="C1" s="1041"/>
      <c r="D1" s="1041"/>
      <c r="E1" s="1041"/>
    </row>
    <row r="2" spans="1:5" x14ac:dyDescent="0.25">
      <c r="A2" s="1042" t="s">
        <v>983</v>
      </c>
      <c r="B2" s="1042"/>
      <c r="C2" s="1042"/>
      <c r="D2" s="1042"/>
      <c r="E2" s="1042"/>
    </row>
    <row r="3" spans="1:5" ht="16.5" thickBot="1" x14ac:dyDescent="0.3"/>
    <row r="4" spans="1:5" s="890" customFormat="1" ht="62.25" customHeight="1" thickBot="1" x14ac:dyDescent="0.3">
      <c r="A4" s="888" t="s">
        <v>137</v>
      </c>
      <c r="B4" s="889" t="s">
        <v>386</v>
      </c>
      <c r="C4" s="255" t="s">
        <v>363</v>
      </c>
      <c r="D4" s="255" t="s">
        <v>364</v>
      </c>
      <c r="E4" s="255" t="s">
        <v>900</v>
      </c>
    </row>
    <row r="5" spans="1:5" s="198" customFormat="1" ht="21" customHeight="1" x14ac:dyDescent="0.25">
      <c r="A5" s="1035" t="s">
        <v>387</v>
      </c>
      <c r="B5" s="1036"/>
      <c r="C5" s="1037"/>
      <c r="D5" s="584"/>
      <c r="E5" s="585"/>
    </row>
    <row r="6" spans="1:5" s="193" customFormat="1" ht="31.5" x14ac:dyDescent="0.25">
      <c r="A6" s="147" t="s">
        <v>388</v>
      </c>
      <c r="B6" s="148" t="s">
        <v>654</v>
      </c>
      <c r="C6" s="149">
        <v>3000</v>
      </c>
      <c r="D6" s="149"/>
      <c r="E6" s="149">
        <f>SUM(C6:D6)</f>
        <v>3000</v>
      </c>
    </row>
    <row r="7" spans="1:5" s="193" customFormat="1" ht="31.5" x14ac:dyDescent="0.25">
      <c r="A7" s="148"/>
      <c r="B7" s="148" t="s">
        <v>655</v>
      </c>
      <c r="C7" s="149">
        <v>13000</v>
      </c>
      <c r="D7" s="149"/>
      <c r="E7" s="149">
        <f t="shared" ref="E7:E86" si="0">SUM(C7:D7)</f>
        <v>13000</v>
      </c>
    </row>
    <row r="8" spans="1:5" s="193" customFormat="1" ht="31.5" x14ac:dyDescent="0.25">
      <c r="A8" s="148"/>
      <c r="B8" s="148" t="s">
        <v>656</v>
      </c>
      <c r="C8" s="149">
        <v>3827</v>
      </c>
      <c r="D8" s="149"/>
      <c r="E8" s="149">
        <f t="shared" si="0"/>
        <v>3827</v>
      </c>
    </row>
    <row r="9" spans="1:5" s="193" customFormat="1" ht="63" x14ac:dyDescent="0.25">
      <c r="A9" s="148"/>
      <c r="B9" s="148" t="s">
        <v>657</v>
      </c>
      <c r="C9" s="149">
        <v>0</v>
      </c>
      <c r="D9" s="149">
        <v>0</v>
      </c>
      <c r="E9" s="149">
        <f t="shared" si="0"/>
        <v>0</v>
      </c>
    </row>
    <row r="10" spans="1:5" s="193" customFormat="1" ht="69" customHeight="1" x14ac:dyDescent="0.25">
      <c r="A10" s="148"/>
      <c r="B10" s="891" t="s">
        <v>929</v>
      </c>
      <c r="C10" s="149">
        <v>0</v>
      </c>
      <c r="D10" s="149">
        <v>0</v>
      </c>
      <c r="E10" s="149">
        <f t="shared" ref="E10" si="1">SUM(C10:D10)</f>
        <v>0</v>
      </c>
    </row>
    <row r="11" spans="1:5" s="193" customFormat="1" ht="80.25" customHeight="1" x14ac:dyDescent="0.25">
      <c r="A11" s="148"/>
      <c r="B11" s="148" t="s">
        <v>920</v>
      </c>
      <c r="C11" s="149">
        <v>244626</v>
      </c>
      <c r="D11" s="149"/>
      <c r="E11" s="149">
        <f t="shared" si="0"/>
        <v>244626</v>
      </c>
    </row>
    <row r="12" spans="1:5" s="193" customFormat="1" ht="78.75" x14ac:dyDescent="0.25">
      <c r="A12" s="148"/>
      <c r="B12" s="148" t="s">
        <v>797</v>
      </c>
      <c r="C12" s="149">
        <v>26000</v>
      </c>
      <c r="D12" s="149"/>
      <c r="E12" s="149">
        <f t="shared" si="0"/>
        <v>26000</v>
      </c>
    </row>
    <row r="13" spans="1:5" s="208" customFormat="1" x14ac:dyDescent="0.25">
      <c r="A13" s="147"/>
      <c r="B13" s="147" t="s">
        <v>389</v>
      </c>
      <c r="C13" s="150">
        <f>SUM(C6:C12)</f>
        <v>290453</v>
      </c>
      <c r="D13" s="150">
        <f>SUM(D6:D12)</f>
        <v>0</v>
      </c>
      <c r="E13" s="150">
        <f t="shared" si="0"/>
        <v>290453</v>
      </c>
    </row>
    <row r="14" spans="1:5" s="193" customFormat="1" x14ac:dyDescent="0.25">
      <c r="A14" s="148"/>
      <c r="B14" s="148"/>
      <c r="C14" s="149"/>
      <c r="D14" s="149"/>
      <c r="E14" s="149"/>
    </row>
    <row r="15" spans="1:5" s="193" customFormat="1" ht="31.5" x14ac:dyDescent="0.25">
      <c r="A15" s="147" t="s">
        <v>431</v>
      </c>
      <c r="B15" s="148" t="s">
        <v>798</v>
      </c>
      <c r="C15" s="149">
        <v>5000</v>
      </c>
      <c r="D15" s="149"/>
      <c r="E15" s="149">
        <f t="shared" si="0"/>
        <v>5000</v>
      </c>
    </row>
    <row r="16" spans="1:5" s="193" customFormat="1" x14ac:dyDescent="0.25">
      <c r="A16" s="148"/>
      <c r="B16" s="147" t="s">
        <v>389</v>
      </c>
      <c r="C16" s="150">
        <f t="shared" ref="C16:D16" si="2">SUM(C15)</f>
        <v>5000</v>
      </c>
      <c r="D16" s="150">
        <f t="shared" si="2"/>
        <v>0</v>
      </c>
      <c r="E16" s="150">
        <f t="shared" si="0"/>
        <v>5000</v>
      </c>
    </row>
    <row r="17" spans="1:5" s="193" customFormat="1" x14ac:dyDescent="0.25">
      <c r="A17" s="148"/>
      <c r="B17" s="147"/>
      <c r="C17" s="150"/>
      <c r="D17" s="150"/>
      <c r="E17" s="150"/>
    </row>
    <row r="18" spans="1:5" s="193" customFormat="1" x14ac:dyDescent="0.25">
      <c r="A18" s="147" t="s">
        <v>390</v>
      </c>
      <c r="B18" s="148" t="s">
        <v>391</v>
      </c>
      <c r="C18" s="149">
        <v>52991</v>
      </c>
      <c r="D18" s="149"/>
      <c r="E18" s="149">
        <f t="shared" si="0"/>
        <v>52991</v>
      </c>
    </row>
    <row r="19" spans="1:5" s="193" customFormat="1" x14ac:dyDescent="0.25">
      <c r="A19" s="148"/>
      <c r="B19" s="147" t="s">
        <v>389</v>
      </c>
      <c r="C19" s="150">
        <f t="shared" ref="C19:D19" si="3">SUM(C18)</f>
        <v>52991</v>
      </c>
      <c r="D19" s="150">
        <f t="shared" si="3"/>
        <v>0</v>
      </c>
      <c r="E19" s="150">
        <f t="shared" si="0"/>
        <v>52991</v>
      </c>
    </row>
    <row r="20" spans="1:5" s="193" customFormat="1" x14ac:dyDescent="0.25">
      <c r="A20" s="148"/>
      <c r="B20" s="147"/>
      <c r="C20" s="150"/>
      <c r="D20" s="150"/>
      <c r="E20" s="150"/>
    </row>
    <row r="21" spans="1:5" s="193" customFormat="1" x14ac:dyDescent="0.25">
      <c r="A21" s="147" t="s">
        <v>843</v>
      </c>
      <c r="B21" s="148" t="s">
        <v>844</v>
      </c>
      <c r="C21" s="149">
        <v>10000</v>
      </c>
      <c r="D21" s="149"/>
      <c r="E21" s="149">
        <f t="shared" ref="E21:E22" si="4">SUM(C21:D21)</f>
        <v>10000</v>
      </c>
    </row>
    <row r="22" spans="1:5" s="193" customFormat="1" x14ac:dyDescent="0.25">
      <c r="A22" s="148"/>
      <c r="B22" s="147" t="s">
        <v>389</v>
      </c>
      <c r="C22" s="150">
        <f t="shared" ref="C22:D22" si="5">SUM(C21)</f>
        <v>10000</v>
      </c>
      <c r="D22" s="150">
        <f t="shared" si="5"/>
        <v>0</v>
      </c>
      <c r="E22" s="150">
        <f t="shared" si="4"/>
        <v>10000</v>
      </c>
    </row>
    <row r="23" spans="1:5" s="193" customFormat="1" x14ac:dyDescent="0.25">
      <c r="A23" s="148"/>
      <c r="B23" s="147"/>
      <c r="C23" s="150"/>
      <c r="D23" s="150"/>
      <c r="E23" s="150"/>
    </row>
    <row r="24" spans="1:5" s="193" customFormat="1" ht="31.5" x14ac:dyDescent="0.25">
      <c r="A24" s="147" t="s">
        <v>799</v>
      </c>
      <c r="B24" s="148" t="s">
        <v>800</v>
      </c>
      <c r="C24" s="149">
        <v>12756</v>
      </c>
      <c r="D24" s="149"/>
      <c r="E24" s="149">
        <f t="shared" si="0"/>
        <v>12756</v>
      </c>
    </row>
    <row r="25" spans="1:5" s="193" customFormat="1" x14ac:dyDescent="0.25">
      <c r="A25" s="148"/>
      <c r="B25" s="147" t="s">
        <v>389</v>
      </c>
      <c r="C25" s="150">
        <f>SUM(C24)</f>
        <v>12756</v>
      </c>
      <c r="D25" s="150">
        <f>SUM(D24)</f>
        <v>0</v>
      </c>
      <c r="E25" s="150">
        <f t="shared" si="0"/>
        <v>12756</v>
      </c>
    </row>
    <row r="26" spans="1:5" s="193" customFormat="1" x14ac:dyDescent="0.25">
      <c r="A26" s="148"/>
      <c r="B26" s="147"/>
      <c r="C26" s="150"/>
      <c r="D26" s="150"/>
      <c r="E26" s="150"/>
    </row>
    <row r="27" spans="1:5" s="193" customFormat="1" x14ac:dyDescent="0.25">
      <c r="A27" s="147" t="s">
        <v>801</v>
      </c>
      <c r="B27" s="148" t="s">
        <v>802</v>
      </c>
      <c r="C27" s="149">
        <v>50000</v>
      </c>
      <c r="D27" s="149"/>
      <c r="E27" s="149">
        <f t="shared" si="0"/>
        <v>50000</v>
      </c>
    </row>
    <row r="28" spans="1:5" s="193" customFormat="1" x14ac:dyDescent="0.25">
      <c r="A28" s="148"/>
      <c r="B28" s="147" t="s">
        <v>389</v>
      </c>
      <c r="C28" s="150">
        <f>SUM(C27:C27)</f>
        <v>50000</v>
      </c>
      <c r="D28" s="150">
        <f>SUM(D27:D27)</f>
        <v>0</v>
      </c>
      <c r="E28" s="150">
        <f t="shared" si="0"/>
        <v>50000</v>
      </c>
    </row>
    <row r="29" spans="1:5" s="193" customFormat="1" x14ac:dyDescent="0.25">
      <c r="A29" s="148"/>
      <c r="B29" s="147"/>
      <c r="C29" s="150"/>
      <c r="D29" s="150"/>
      <c r="E29" s="150"/>
    </row>
    <row r="30" spans="1:5" s="193" customFormat="1" x14ac:dyDescent="0.25">
      <c r="A30" s="147" t="s">
        <v>658</v>
      </c>
      <c r="B30" s="148" t="s">
        <v>659</v>
      </c>
      <c r="C30" s="149">
        <v>6123</v>
      </c>
      <c r="D30" s="149">
        <v>1</v>
      </c>
      <c r="E30" s="149">
        <f t="shared" si="0"/>
        <v>6124</v>
      </c>
    </row>
    <row r="31" spans="1:5" s="193" customFormat="1" x14ac:dyDescent="0.25">
      <c r="A31" s="148"/>
      <c r="B31" s="147" t="s">
        <v>389</v>
      </c>
      <c r="C31" s="150">
        <f>SUM(C30:C30)</f>
        <v>6123</v>
      </c>
      <c r="D31" s="150">
        <f>SUM(D30:D30)</f>
        <v>1</v>
      </c>
      <c r="E31" s="150">
        <f t="shared" si="0"/>
        <v>6124</v>
      </c>
    </row>
    <row r="32" spans="1:5" s="193" customFormat="1" x14ac:dyDescent="0.25">
      <c r="A32" s="148"/>
      <c r="B32" s="148"/>
      <c r="C32" s="149"/>
      <c r="D32" s="149"/>
      <c r="E32" s="149"/>
    </row>
    <row r="33" spans="1:5" s="193" customFormat="1" x14ac:dyDescent="0.25">
      <c r="A33" s="147" t="s">
        <v>803</v>
      </c>
      <c r="B33" s="148" t="s">
        <v>804</v>
      </c>
      <c r="C33" s="149">
        <v>12795</v>
      </c>
      <c r="D33" s="149"/>
      <c r="E33" s="149">
        <f t="shared" si="0"/>
        <v>12795</v>
      </c>
    </row>
    <row r="34" spans="1:5" s="193" customFormat="1" x14ac:dyDescent="0.25">
      <c r="A34" s="148"/>
      <c r="B34" s="147" t="s">
        <v>389</v>
      </c>
      <c r="C34" s="150">
        <f t="shared" ref="C34:D34" si="6">SUM(C33)</f>
        <v>12795</v>
      </c>
      <c r="D34" s="150">
        <f t="shared" si="6"/>
        <v>0</v>
      </c>
      <c r="E34" s="150">
        <f t="shared" si="0"/>
        <v>12795</v>
      </c>
    </row>
    <row r="35" spans="1:5" s="193" customFormat="1" x14ac:dyDescent="0.25">
      <c r="A35" s="148"/>
      <c r="B35" s="148"/>
      <c r="C35" s="149"/>
      <c r="D35" s="149"/>
      <c r="E35" s="149"/>
    </row>
    <row r="36" spans="1:5" s="193" customFormat="1" ht="31.5" x14ac:dyDescent="0.25">
      <c r="A36" s="147" t="s">
        <v>660</v>
      </c>
      <c r="B36" s="148" t="s">
        <v>826</v>
      </c>
      <c r="C36" s="149">
        <v>39988</v>
      </c>
      <c r="D36" s="149"/>
      <c r="E36" s="149">
        <f t="shared" si="0"/>
        <v>39988</v>
      </c>
    </row>
    <row r="37" spans="1:5" s="193" customFormat="1" x14ac:dyDescent="0.25">
      <c r="A37" s="147"/>
      <c r="B37" s="148" t="s">
        <v>524</v>
      </c>
      <c r="C37" s="149">
        <v>2680</v>
      </c>
      <c r="D37" s="149">
        <v>1</v>
      </c>
      <c r="E37" s="149">
        <f t="shared" si="0"/>
        <v>2681</v>
      </c>
    </row>
    <row r="38" spans="1:5" s="193" customFormat="1" x14ac:dyDescent="0.25">
      <c r="A38" s="148"/>
      <c r="B38" s="147" t="s">
        <v>389</v>
      </c>
      <c r="C38" s="150">
        <f>SUM(C36:C37)</f>
        <v>42668</v>
      </c>
      <c r="D38" s="150">
        <f>SUM(D36:D37)</f>
        <v>1</v>
      </c>
      <c r="E38" s="150">
        <f t="shared" si="0"/>
        <v>42669</v>
      </c>
    </row>
    <row r="39" spans="1:5" s="193" customFormat="1" x14ac:dyDescent="0.25">
      <c r="A39" s="148"/>
      <c r="B39" s="148"/>
      <c r="C39" s="149"/>
      <c r="D39" s="149"/>
      <c r="E39" s="149"/>
    </row>
    <row r="40" spans="1:5" s="193" customFormat="1" x14ac:dyDescent="0.25">
      <c r="A40" s="147" t="s">
        <v>423</v>
      </c>
      <c r="B40" s="148" t="s">
        <v>805</v>
      </c>
      <c r="C40" s="149">
        <v>10466</v>
      </c>
      <c r="D40" s="149"/>
      <c r="E40" s="149">
        <f t="shared" si="0"/>
        <v>10466</v>
      </c>
    </row>
    <row r="41" spans="1:5" s="193" customFormat="1" x14ac:dyDescent="0.25">
      <c r="A41" s="148"/>
      <c r="B41" s="147" t="s">
        <v>389</v>
      </c>
      <c r="C41" s="150">
        <f t="shared" ref="C41:D41" si="7">SUM(C40)</f>
        <v>10466</v>
      </c>
      <c r="D41" s="150">
        <f t="shared" si="7"/>
        <v>0</v>
      </c>
      <c r="E41" s="150">
        <f t="shared" si="0"/>
        <v>10466</v>
      </c>
    </row>
    <row r="42" spans="1:5" s="193" customFormat="1" x14ac:dyDescent="0.25">
      <c r="A42" s="148"/>
      <c r="B42" s="148"/>
      <c r="C42" s="149"/>
      <c r="D42" s="149"/>
      <c r="E42" s="149"/>
    </row>
    <row r="43" spans="1:5" s="193" customFormat="1" ht="31.5" x14ac:dyDescent="0.25">
      <c r="A43" s="147" t="s">
        <v>806</v>
      </c>
      <c r="B43" s="148" t="s">
        <v>807</v>
      </c>
      <c r="C43" s="149">
        <v>16231</v>
      </c>
      <c r="D43" s="149"/>
      <c r="E43" s="149">
        <f t="shared" si="0"/>
        <v>16231</v>
      </c>
    </row>
    <row r="44" spans="1:5" s="193" customFormat="1" x14ac:dyDescent="0.25">
      <c r="A44" s="147"/>
      <c r="B44" s="148" t="s">
        <v>808</v>
      </c>
      <c r="C44" s="149">
        <v>15380</v>
      </c>
      <c r="D44" s="149"/>
      <c r="E44" s="149">
        <f t="shared" si="0"/>
        <v>15380</v>
      </c>
    </row>
    <row r="45" spans="1:5" s="193" customFormat="1" x14ac:dyDescent="0.25">
      <c r="A45" s="148"/>
      <c r="B45" s="147" t="s">
        <v>389</v>
      </c>
      <c r="C45" s="150">
        <f>SUM(C43:C44)</f>
        <v>31611</v>
      </c>
      <c r="D45" s="150">
        <f>SUM(D43:D44)</f>
        <v>0</v>
      </c>
      <c r="E45" s="150">
        <f t="shared" si="0"/>
        <v>31611</v>
      </c>
    </row>
    <row r="46" spans="1:5" s="193" customFormat="1" x14ac:dyDescent="0.25">
      <c r="A46" s="148"/>
      <c r="B46" s="148"/>
      <c r="C46" s="149"/>
      <c r="D46" s="149"/>
      <c r="E46" s="149"/>
    </row>
    <row r="47" spans="1:5" s="193" customFormat="1" x14ac:dyDescent="0.25">
      <c r="A47" s="147" t="s">
        <v>418</v>
      </c>
      <c r="B47" s="148" t="s">
        <v>659</v>
      </c>
      <c r="C47" s="149">
        <v>5877</v>
      </c>
      <c r="D47" s="149">
        <v>1</v>
      </c>
      <c r="E47" s="149">
        <f t="shared" si="0"/>
        <v>5878</v>
      </c>
    </row>
    <row r="48" spans="1:5" s="193" customFormat="1" x14ac:dyDescent="0.25">
      <c r="A48" s="148"/>
      <c r="B48" s="147" t="s">
        <v>389</v>
      </c>
      <c r="C48" s="150">
        <f>SUM(C47:C47)</f>
        <v>5877</v>
      </c>
      <c r="D48" s="150">
        <f>SUM(D47:D47)</f>
        <v>1</v>
      </c>
      <c r="E48" s="150">
        <f t="shared" si="0"/>
        <v>5878</v>
      </c>
    </row>
    <row r="49" spans="1:5" s="193" customFormat="1" x14ac:dyDescent="0.25">
      <c r="A49" s="148"/>
      <c r="B49" s="148"/>
      <c r="C49" s="149"/>
      <c r="D49" s="149"/>
      <c r="E49" s="149"/>
    </row>
    <row r="50" spans="1:5" s="193" customFormat="1" x14ac:dyDescent="0.25">
      <c r="A50" s="147" t="s">
        <v>420</v>
      </c>
      <c r="B50" s="148" t="s">
        <v>872</v>
      </c>
      <c r="C50" s="149">
        <v>12491</v>
      </c>
      <c r="D50" s="149"/>
      <c r="E50" s="149">
        <f t="shared" ref="E50:E51" si="8">SUM(C50:D50)</f>
        <v>12491</v>
      </c>
    </row>
    <row r="51" spans="1:5" s="193" customFormat="1" x14ac:dyDescent="0.25">
      <c r="A51" s="148"/>
      <c r="B51" s="147" t="s">
        <v>389</v>
      </c>
      <c r="C51" s="150">
        <f t="shared" ref="C51:D51" si="9">SUM(C50)</f>
        <v>12491</v>
      </c>
      <c r="D51" s="150">
        <f t="shared" si="9"/>
        <v>0</v>
      </c>
      <c r="E51" s="150">
        <f t="shared" si="8"/>
        <v>12491</v>
      </c>
    </row>
    <row r="52" spans="1:5" s="193" customFormat="1" x14ac:dyDescent="0.25">
      <c r="A52" s="148"/>
      <c r="B52" s="148"/>
      <c r="C52" s="149"/>
      <c r="D52" s="149"/>
      <c r="E52" s="149"/>
    </row>
    <row r="53" spans="1:5" s="193" customFormat="1" x14ac:dyDescent="0.25">
      <c r="A53" s="147" t="s">
        <v>870</v>
      </c>
      <c r="B53" s="148" t="s">
        <v>872</v>
      </c>
      <c r="C53" s="149">
        <v>10141</v>
      </c>
      <c r="D53" s="149"/>
      <c r="E53" s="149">
        <f t="shared" ref="E53:E54" si="10">SUM(C53:D53)</f>
        <v>10141</v>
      </c>
    </row>
    <row r="54" spans="1:5" s="193" customFormat="1" x14ac:dyDescent="0.25">
      <c r="A54" s="148"/>
      <c r="B54" s="147" t="s">
        <v>389</v>
      </c>
      <c r="C54" s="150">
        <f t="shared" ref="C54:D54" si="11">SUM(C53)</f>
        <v>10141</v>
      </c>
      <c r="D54" s="150">
        <f t="shared" si="11"/>
        <v>0</v>
      </c>
      <c r="E54" s="150">
        <f t="shared" si="10"/>
        <v>10141</v>
      </c>
    </row>
    <row r="55" spans="1:5" s="193" customFormat="1" x14ac:dyDescent="0.25">
      <c r="A55" s="148"/>
      <c r="B55" s="148"/>
      <c r="C55" s="149"/>
      <c r="D55" s="149"/>
      <c r="E55" s="149"/>
    </row>
    <row r="56" spans="1:5" s="193" customFormat="1" ht="31.5" x14ac:dyDescent="0.25">
      <c r="A56" s="147" t="s">
        <v>871</v>
      </c>
      <c r="B56" s="148" t="s">
        <v>872</v>
      </c>
      <c r="C56" s="149">
        <v>11138</v>
      </c>
      <c r="D56" s="149"/>
      <c r="E56" s="149">
        <f t="shared" ref="E56:E57" si="12">SUM(C56:D56)</f>
        <v>11138</v>
      </c>
    </row>
    <row r="57" spans="1:5" s="193" customFormat="1" x14ac:dyDescent="0.25">
      <c r="A57" s="148"/>
      <c r="B57" s="147" t="s">
        <v>389</v>
      </c>
      <c r="C57" s="150">
        <f t="shared" ref="C57:D57" si="13">SUM(C56)</f>
        <v>11138</v>
      </c>
      <c r="D57" s="150">
        <f t="shared" si="13"/>
        <v>0</v>
      </c>
      <c r="E57" s="150">
        <f t="shared" si="12"/>
        <v>11138</v>
      </c>
    </row>
    <row r="58" spans="1:5" s="193" customFormat="1" x14ac:dyDescent="0.25">
      <c r="A58" s="148"/>
      <c r="B58" s="148"/>
      <c r="C58" s="149"/>
      <c r="D58" s="149"/>
      <c r="E58" s="149"/>
    </row>
    <row r="59" spans="1:5" s="193" customFormat="1" x14ac:dyDescent="0.25">
      <c r="A59" s="147" t="s">
        <v>465</v>
      </c>
      <c r="B59" s="148" t="s">
        <v>872</v>
      </c>
      <c r="C59" s="149">
        <v>4441</v>
      </c>
      <c r="D59" s="149"/>
      <c r="E59" s="149">
        <f t="shared" ref="E59:E60" si="14">SUM(C59:D59)</f>
        <v>4441</v>
      </c>
    </row>
    <row r="60" spans="1:5" s="193" customFormat="1" x14ac:dyDescent="0.25">
      <c r="A60" s="148"/>
      <c r="B60" s="147" t="s">
        <v>389</v>
      </c>
      <c r="C60" s="150">
        <f t="shared" ref="C60:D60" si="15">SUM(C59)</f>
        <v>4441</v>
      </c>
      <c r="D60" s="150">
        <f t="shared" si="15"/>
        <v>0</v>
      </c>
      <c r="E60" s="150">
        <f t="shared" si="14"/>
        <v>4441</v>
      </c>
    </row>
    <row r="61" spans="1:5" s="193" customFormat="1" x14ac:dyDescent="0.25">
      <c r="A61" s="148"/>
      <c r="B61" s="148"/>
      <c r="C61" s="149"/>
      <c r="D61" s="149"/>
      <c r="E61" s="149"/>
    </row>
    <row r="62" spans="1:5" s="193" customFormat="1" x14ac:dyDescent="0.25">
      <c r="A62" s="147" t="s">
        <v>422</v>
      </c>
      <c r="B62" s="148" t="s">
        <v>809</v>
      </c>
      <c r="C62" s="149">
        <v>19707</v>
      </c>
      <c r="D62" s="149"/>
      <c r="E62" s="149">
        <f t="shared" si="0"/>
        <v>19707</v>
      </c>
    </row>
    <row r="63" spans="1:5" s="193" customFormat="1" x14ac:dyDescent="0.25">
      <c r="A63" s="148"/>
      <c r="B63" s="147" t="s">
        <v>389</v>
      </c>
      <c r="C63" s="150">
        <f t="shared" ref="C63:D63" si="16">SUM(C62)</f>
        <v>19707</v>
      </c>
      <c r="D63" s="150">
        <f t="shared" si="16"/>
        <v>0</v>
      </c>
      <c r="E63" s="150">
        <f t="shared" si="0"/>
        <v>19707</v>
      </c>
    </row>
    <row r="64" spans="1:5" s="193" customFormat="1" x14ac:dyDescent="0.25">
      <c r="A64" s="148"/>
      <c r="B64" s="148"/>
      <c r="C64" s="149"/>
      <c r="D64" s="149"/>
      <c r="E64" s="149"/>
    </row>
    <row r="65" spans="1:5" s="193" customFormat="1" x14ac:dyDescent="0.25">
      <c r="A65" s="147" t="s">
        <v>810</v>
      </c>
      <c r="B65" s="148" t="s">
        <v>808</v>
      </c>
      <c r="C65" s="149">
        <v>24967</v>
      </c>
      <c r="D65" s="149"/>
      <c r="E65" s="149">
        <f t="shared" si="0"/>
        <v>24967</v>
      </c>
    </row>
    <row r="66" spans="1:5" s="193" customFormat="1" x14ac:dyDescent="0.25">
      <c r="A66" s="148"/>
      <c r="B66" s="147" t="s">
        <v>389</v>
      </c>
      <c r="C66" s="150">
        <f t="shared" ref="C66:D66" si="17">SUM(C65)</f>
        <v>24967</v>
      </c>
      <c r="D66" s="150">
        <f t="shared" si="17"/>
        <v>0</v>
      </c>
      <c r="E66" s="150">
        <f t="shared" si="0"/>
        <v>24967</v>
      </c>
    </row>
    <row r="67" spans="1:5" s="193" customFormat="1" x14ac:dyDescent="0.25">
      <c r="A67" s="148"/>
      <c r="B67" s="148"/>
      <c r="C67" s="149"/>
      <c r="D67" s="149"/>
      <c r="E67" s="149"/>
    </row>
    <row r="68" spans="1:5" s="193" customFormat="1" ht="31.5" x14ac:dyDescent="0.25">
      <c r="A68" s="147" t="s">
        <v>661</v>
      </c>
      <c r="B68" s="148" t="s">
        <v>662</v>
      </c>
      <c r="C68" s="149">
        <v>600000</v>
      </c>
      <c r="D68" s="149"/>
      <c r="E68" s="149">
        <f t="shared" si="0"/>
        <v>600000</v>
      </c>
    </row>
    <row r="69" spans="1:5" s="193" customFormat="1" x14ac:dyDescent="0.25">
      <c r="A69" s="148"/>
      <c r="B69" s="147" t="s">
        <v>389</v>
      </c>
      <c r="C69" s="150">
        <f t="shared" ref="C69:D69" si="18">SUM(C68)</f>
        <v>600000</v>
      </c>
      <c r="D69" s="150">
        <f t="shared" si="18"/>
        <v>0</v>
      </c>
      <c r="E69" s="150">
        <f t="shared" si="0"/>
        <v>600000</v>
      </c>
    </row>
    <row r="70" spans="1:5" s="193" customFormat="1" x14ac:dyDescent="0.25">
      <c r="A70" s="148"/>
      <c r="B70" s="148"/>
      <c r="C70" s="149"/>
      <c r="D70" s="149"/>
      <c r="E70" s="149"/>
    </row>
    <row r="71" spans="1:5" s="193" customFormat="1" x14ac:dyDescent="0.25">
      <c r="A71" s="147" t="s">
        <v>811</v>
      </c>
      <c r="B71" s="148" t="s">
        <v>812</v>
      </c>
      <c r="C71" s="149">
        <v>15000</v>
      </c>
      <c r="D71" s="149"/>
      <c r="E71" s="149">
        <f t="shared" si="0"/>
        <v>15000</v>
      </c>
    </row>
    <row r="72" spans="1:5" s="193" customFormat="1" x14ac:dyDescent="0.25">
      <c r="A72" s="148"/>
      <c r="B72" s="147" t="s">
        <v>389</v>
      </c>
      <c r="C72" s="150">
        <f>SUM(C71:C71)</f>
        <v>15000</v>
      </c>
      <c r="D72" s="150">
        <f>SUM(D71:D71)</f>
        <v>0</v>
      </c>
      <c r="E72" s="150">
        <f t="shared" si="0"/>
        <v>15000</v>
      </c>
    </row>
    <row r="73" spans="1:5" s="193" customFormat="1" x14ac:dyDescent="0.25">
      <c r="A73" s="148"/>
      <c r="B73" s="148"/>
      <c r="C73" s="149"/>
      <c r="D73" s="149"/>
      <c r="E73" s="149"/>
    </row>
    <row r="74" spans="1:5" s="193" customFormat="1" x14ac:dyDescent="0.25">
      <c r="A74" s="147" t="s">
        <v>813</v>
      </c>
      <c r="B74" s="148" t="s">
        <v>814</v>
      </c>
      <c r="C74" s="149">
        <v>17347</v>
      </c>
      <c r="D74" s="149"/>
      <c r="E74" s="149">
        <f t="shared" si="0"/>
        <v>17347</v>
      </c>
    </row>
    <row r="75" spans="1:5" s="193" customFormat="1" x14ac:dyDescent="0.25">
      <c r="A75" s="148"/>
      <c r="B75" s="147" t="s">
        <v>389</v>
      </c>
      <c r="C75" s="150">
        <f>SUM(C74:C74)</f>
        <v>17347</v>
      </c>
      <c r="D75" s="150">
        <f>SUM(D74:D74)</f>
        <v>0</v>
      </c>
      <c r="E75" s="150">
        <f t="shared" si="0"/>
        <v>17347</v>
      </c>
    </row>
    <row r="76" spans="1:5" s="193" customFormat="1" x14ac:dyDescent="0.25">
      <c r="A76" s="148"/>
      <c r="B76" s="148"/>
      <c r="C76" s="149"/>
      <c r="D76" s="149"/>
      <c r="E76" s="149"/>
    </row>
    <row r="77" spans="1:5" s="193" customFormat="1" x14ac:dyDescent="0.25">
      <c r="A77" s="147" t="s">
        <v>412</v>
      </c>
      <c r="B77" s="148" t="s">
        <v>815</v>
      </c>
      <c r="C77" s="149">
        <v>35352</v>
      </c>
      <c r="D77" s="149">
        <v>1</v>
      </c>
      <c r="E77" s="149">
        <f t="shared" si="0"/>
        <v>35353</v>
      </c>
    </row>
    <row r="78" spans="1:5" s="193" customFormat="1" x14ac:dyDescent="0.25">
      <c r="A78" s="147"/>
      <c r="B78" s="148" t="s">
        <v>816</v>
      </c>
      <c r="C78" s="149">
        <v>40000</v>
      </c>
      <c r="D78" s="149"/>
      <c r="E78" s="149">
        <f t="shared" si="0"/>
        <v>40000</v>
      </c>
    </row>
    <row r="79" spans="1:5" s="208" customFormat="1" x14ac:dyDescent="0.25">
      <c r="A79" s="147"/>
      <c r="B79" s="147" t="s">
        <v>389</v>
      </c>
      <c r="C79" s="151">
        <f>SUM(C77:C78)</f>
        <v>75352</v>
      </c>
      <c r="D79" s="151">
        <f>SUM(D77:D78)</f>
        <v>1</v>
      </c>
      <c r="E79" s="151">
        <f t="shared" si="0"/>
        <v>75353</v>
      </c>
    </row>
    <row r="80" spans="1:5" s="193" customFormat="1" x14ac:dyDescent="0.25">
      <c r="A80" s="148"/>
      <c r="B80" s="148"/>
      <c r="C80" s="149"/>
      <c r="D80" s="149"/>
      <c r="E80" s="149"/>
    </row>
    <row r="81" spans="1:5" s="193" customFormat="1" ht="31.5" x14ac:dyDescent="0.25">
      <c r="A81" s="147" t="s">
        <v>663</v>
      </c>
      <c r="B81" s="148" t="s">
        <v>664</v>
      </c>
      <c r="C81" s="149">
        <v>67930</v>
      </c>
      <c r="D81" s="149"/>
      <c r="E81" s="149">
        <f t="shared" si="0"/>
        <v>67930</v>
      </c>
    </row>
    <row r="82" spans="1:5" s="208" customFormat="1" x14ac:dyDescent="0.25">
      <c r="A82" s="147"/>
      <c r="B82" s="147" t="s">
        <v>389</v>
      </c>
      <c r="C82" s="151">
        <f>SUM(C81:C81)</f>
        <v>67930</v>
      </c>
      <c r="D82" s="151">
        <f>SUM(D81:D81)</f>
        <v>0</v>
      </c>
      <c r="E82" s="151">
        <f t="shared" si="0"/>
        <v>67930</v>
      </c>
    </row>
    <row r="83" spans="1:5" s="193" customFormat="1" x14ac:dyDescent="0.25">
      <c r="A83" s="148"/>
      <c r="B83" s="148"/>
      <c r="C83" s="149"/>
      <c r="D83" s="149"/>
      <c r="E83" s="149"/>
    </row>
    <row r="84" spans="1:5" s="193" customFormat="1" x14ac:dyDescent="0.25">
      <c r="A84" s="147" t="s">
        <v>392</v>
      </c>
      <c r="B84" s="193" t="s">
        <v>817</v>
      </c>
      <c r="C84" s="149">
        <v>47729</v>
      </c>
      <c r="D84" s="149"/>
      <c r="E84" s="149">
        <f t="shared" si="0"/>
        <v>47729</v>
      </c>
    </row>
    <row r="85" spans="1:5" s="193" customFormat="1" x14ac:dyDescent="0.25">
      <c r="A85" s="147"/>
      <c r="B85" s="148" t="s">
        <v>393</v>
      </c>
      <c r="C85" s="149">
        <v>14542</v>
      </c>
      <c r="D85" s="149"/>
      <c r="E85" s="149">
        <f t="shared" si="0"/>
        <v>14542</v>
      </c>
    </row>
    <row r="86" spans="1:5" s="193" customFormat="1" x14ac:dyDescent="0.25">
      <c r="A86" s="148"/>
      <c r="B86" s="147" t="s">
        <v>389</v>
      </c>
      <c r="C86" s="150">
        <f>SUM(C84:C85)</f>
        <v>62271</v>
      </c>
      <c r="D86" s="150">
        <f>SUM(D84:D85)</f>
        <v>0</v>
      </c>
      <c r="E86" s="150">
        <f t="shared" si="0"/>
        <v>62271</v>
      </c>
    </row>
    <row r="87" spans="1:5" s="193" customFormat="1" x14ac:dyDescent="0.25">
      <c r="A87" s="148"/>
      <c r="B87" s="147"/>
      <c r="C87" s="150"/>
      <c r="D87" s="150"/>
      <c r="E87" s="150"/>
    </row>
    <row r="88" spans="1:5" s="193" customFormat="1" ht="31.5" x14ac:dyDescent="0.25">
      <c r="A88" s="147" t="s">
        <v>525</v>
      </c>
      <c r="B88" s="148" t="s">
        <v>665</v>
      </c>
      <c r="C88" s="149">
        <v>4234</v>
      </c>
      <c r="D88" s="149">
        <v>1</v>
      </c>
      <c r="E88" s="149">
        <f t="shared" ref="E88:E112" si="19">SUM(C88:D88)</f>
        <v>4235</v>
      </c>
    </row>
    <row r="89" spans="1:5" s="193" customFormat="1" ht="31.5" x14ac:dyDescent="0.25">
      <c r="A89" s="147"/>
      <c r="B89" s="148" t="s">
        <v>818</v>
      </c>
      <c r="C89" s="149">
        <v>31974</v>
      </c>
      <c r="D89" s="149"/>
      <c r="E89" s="149">
        <f t="shared" si="19"/>
        <v>31974</v>
      </c>
    </row>
    <row r="90" spans="1:5" s="193" customFormat="1" x14ac:dyDescent="0.25">
      <c r="A90" s="147"/>
      <c r="B90" s="148" t="s">
        <v>819</v>
      </c>
      <c r="C90" s="149">
        <v>15552</v>
      </c>
      <c r="D90" s="149"/>
      <c r="E90" s="149">
        <f t="shared" si="19"/>
        <v>15552</v>
      </c>
    </row>
    <row r="91" spans="1:5" s="193" customFormat="1" x14ac:dyDescent="0.25">
      <c r="A91" s="148"/>
      <c r="B91" s="147" t="s">
        <v>389</v>
      </c>
      <c r="C91" s="150">
        <f>SUM(C88:C90)</f>
        <v>51760</v>
      </c>
      <c r="D91" s="150">
        <f>SUM(D88:D90)</f>
        <v>1</v>
      </c>
      <c r="E91" s="150">
        <f t="shared" si="19"/>
        <v>51761</v>
      </c>
    </row>
    <row r="92" spans="1:5" s="193" customFormat="1" x14ac:dyDescent="0.25">
      <c r="A92" s="148"/>
      <c r="B92" s="147"/>
      <c r="C92" s="150"/>
      <c r="D92" s="150"/>
      <c r="E92" s="150"/>
    </row>
    <row r="93" spans="1:5" s="193" customFormat="1" x14ac:dyDescent="0.25">
      <c r="A93" s="147" t="s">
        <v>820</v>
      </c>
      <c r="B93" s="148" t="s">
        <v>821</v>
      </c>
      <c r="C93" s="149">
        <v>3411</v>
      </c>
      <c r="D93" s="149"/>
      <c r="E93" s="149">
        <f t="shared" si="19"/>
        <v>3411</v>
      </c>
    </row>
    <row r="94" spans="1:5" s="193" customFormat="1" x14ac:dyDescent="0.25">
      <c r="A94" s="148"/>
      <c r="B94" s="147" t="s">
        <v>389</v>
      </c>
      <c r="C94" s="150">
        <f t="shared" ref="C94:D94" si="20">SUM(C93)</f>
        <v>3411</v>
      </c>
      <c r="D94" s="150">
        <f t="shared" si="20"/>
        <v>0</v>
      </c>
      <c r="E94" s="150">
        <f t="shared" si="19"/>
        <v>3411</v>
      </c>
    </row>
    <row r="95" spans="1:5" s="193" customFormat="1" x14ac:dyDescent="0.25">
      <c r="A95" s="148"/>
      <c r="B95" s="147"/>
      <c r="C95" s="150"/>
      <c r="D95" s="150"/>
      <c r="E95" s="150"/>
    </row>
    <row r="96" spans="1:5" s="193" customFormat="1" x14ac:dyDescent="0.25">
      <c r="A96" s="147" t="s">
        <v>394</v>
      </c>
      <c r="B96" s="148"/>
      <c r="C96" s="151">
        <v>69606</v>
      </c>
      <c r="D96" s="151">
        <v>-5</v>
      </c>
      <c r="E96" s="151">
        <f t="shared" si="19"/>
        <v>69601</v>
      </c>
    </row>
    <row r="97" spans="1:5" s="193" customFormat="1" x14ac:dyDescent="0.25">
      <c r="A97" s="147"/>
      <c r="B97" s="148"/>
      <c r="C97" s="151"/>
      <c r="D97" s="151"/>
      <c r="E97" s="151"/>
    </row>
    <row r="98" spans="1:5" s="193" customFormat="1" x14ac:dyDescent="0.25">
      <c r="A98" s="147" t="s">
        <v>395</v>
      </c>
      <c r="B98" s="148"/>
      <c r="C98" s="152">
        <v>51658</v>
      </c>
      <c r="D98" s="152"/>
      <c r="E98" s="152">
        <f t="shared" si="19"/>
        <v>51658</v>
      </c>
    </row>
    <row r="99" spans="1:5" s="193" customFormat="1" x14ac:dyDescent="0.25">
      <c r="A99" s="1038" t="s">
        <v>526</v>
      </c>
      <c r="B99" s="1039"/>
      <c r="C99" s="296"/>
      <c r="D99" s="296"/>
      <c r="E99" s="296"/>
    </row>
    <row r="100" spans="1:5" s="193" customFormat="1" ht="31.5" x14ac:dyDescent="0.25">
      <c r="A100" s="147" t="s">
        <v>429</v>
      </c>
      <c r="B100" s="148" t="s">
        <v>666</v>
      </c>
      <c r="C100" s="149">
        <v>171254</v>
      </c>
      <c r="D100" s="149"/>
      <c r="E100" s="149">
        <f t="shared" si="19"/>
        <v>171254</v>
      </c>
    </row>
    <row r="101" spans="1:5" s="208" customFormat="1" x14ac:dyDescent="0.25">
      <c r="A101" s="147"/>
      <c r="B101" s="147" t="s">
        <v>389</v>
      </c>
      <c r="C101" s="150">
        <f t="shared" ref="C101:D101" si="21">SUM(C100)</f>
        <v>171254</v>
      </c>
      <c r="D101" s="150">
        <f t="shared" si="21"/>
        <v>0</v>
      </c>
      <c r="E101" s="150">
        <f t="shared" si="19"/>
        <v>171254</v>
      </c>
    </row>
    <row r="102" spans="1:5" s="193" customFormat="1" x14ac:dyDescent="0.25">
      <c r="A102" s="148"/>
      <c r="B102" s="148"/>
      <c r="C102" s="149"/>
      <c r="D102" s="149"/>
      <c r="E102" s="149"/>
    </row>
    <row r="103" spans="1:5" s="193" customFormat="1" x14ac:dyDescent="0.25">
      <c r="A103" s="147" t="s">
        <v>1190</v>
      </c>
      <c r="B103" s="148" t="s">
        <v>667</v>
      </c>
      <c r="C103" s="149">
        <v>111695</v>
      </c>
      <c r="D103" s="149"/>
      <c r="E103" s="149">
        <f t="shared" si="19"/>
        <v>111695</v>
      </c>
    </row>
    <row r="104" spans="1:5" s="208" customFormat="1" x14ac:dyDescent="0.25">
      <c r="A104" s="147"/>
      <c r="B104" s="147" t="s">
        <v>389</v>
      </c>
      <c r="C104" s="150">
        <f t="shared" ref="C104:D104" si="22">SUM(C103)</f>
        <v>111695</v>
      </c>
      <c r="D104" s="150">
        <f t="shared" si="22"/>
        <v>0</v>
      </c>
      <c r="E104" s="150">
        <f t="shared" si="19"/>
        <v>111695</v>
      </c>
    </row>
    <row r="105" spans="1:5" s="193" customFormat="1" x14ac:dyDescent="0.25">
      <c r="A105" s="148"/>
      <c r="B105" s="148"/>
      <c r="C105" s="149"/>
      <c r="D105" s="149"/>
      <c r="E105" s="149"/>
    </row>
    <row r="106" spans="1:5" s="193" customFormat="1" ht="47.25" x14ac:dyDescent="0.25">
      <c r="A106" s="147" t="s">
        <v>1189</v>
      </c>
      <c r="B106" s="148" t="s">
        <v>668</v>
      </c>
      <c r="C106" s="149">
        <v>70917</v>
      </c>
      <c r="D106" s="149"/>
      <c r="E106" s="149">
        <f t="shared" si="19"/>
        <v>70917</v>
      </c>
    </row>
    <row r="107" spans="1:5" s="208" customFormat="1" x14ac:dyDescent="0.25">
      <c r="A107" s="147"/>
      <c r="B107" s="147" t="s">
        <v>389</v>
      </c>
      <c r="C107" s="150">
        <f t="shared" ref="C107:D107" si="23">SUM(C106)</f>
        <v>70917</v>
      </c>
      <c r="D107" s="150">
        <f t="shared" si="23"/>
        <v>0</v>
      </c>
      <c r="E107" s="150">
        <f t="shared" si="19"/>
        <v>70917</v>
      </c>
    </row>
    <row r="108" spans="1:5" s="193" customFormat="1" x14ac:dyDescent="0.25">
      <c r="A108" s="148"/>
      <c r="B108" s="148"/>
      <c r="C108" s="149"/>
      <c r="D108" s="149"/>
      <c r="E108" s="149"/>
    </row>
    <row r="109" spans="1:5" s="193" customFormat="1" x14ac:dyDescent="0.25">
      <c r="A109" s="147" t="s">
        <v>1187</v>
      </c>
      <c r="B109" s="148" t="s">
        <v>822</v>
      </c>
      <c r="C109" s="149">
        <v>123296</v>
      </c>
      <c r="D109" s="149"/>
      <c r="E109" s="149">
        <f t="shared" si="19"/>
        <v>123296</v>
      </c>
    </row>
    <row r="110" spans="1:5" s="208" customFormat="1" x14ac:dyDescent="0.25">
      <c r="A110" s="147"/>
      <c r="B110" s="147" t="s">
        <v>389</v>
      </c>
      <c r="C110" s="150">
        <f t="shared" ref="C110:D110" si="24">SUM(C109)</f>
        <v>123296</v>
      </c>
      <c r="D110" s="150">
        <f t="shared" si="24"/>
        <v>0</v>
      </c>
      <c r="E110" s="150">
        <f t="shared" si="19"/>
        <v>123296</v>
      </c>
    </row>
    <row r="111" spans="1:5" s="193" customFormat="1" x14ac:dyDescent="0.25">
      <c r="A111" s="148"/>
      <c r="B111" s="148"/>
      <c r="C111" s="149"/>
      <c r="D111" s="149"/>
      <c r="E111" s="149"/>
    </row>
    <row r="112" spans="1:5" s="208" customFormat="1" ht="16.5" thickBot="1" x14ac:dyDescent="0.3">
      <c r="A112" s="209" t="s">
        <v>527</v>
      </c>
      <c r="B112" s="210"/>
      <c r="C112" s="211">
        <f>SUM(C101,C104,C107,C110)</f>
        <v>477162</v>
      </c>
      <c r="D112" s="211">
        <f>SUM(D101,D104,D107,D110)</f>
        <v>0</v>
      </c>
      <c r="E112" s="211">
        <f t="shared" si="19"/>
        <v>477162</v>
      </c>
    </row>
    <row r="113" spans="1:5" s="193" customFormat="1" ht="16.5" thickBot="1" x14ac:dyDescent="0.3">
      <c r="A113" s="1040" t="s">
        <v>396</v>
      </c>
      <c r="B113" s="1040"/>
      <c r="C113" s="153">
        <f>SUM(C13,C16,C19,C22,C25,C28,C41,C45,C38,C34,C66,C31,C48,C63,C69,C72,C75,C79,C82,C86,C91,C94,C96,C98,C112,C60,C57,C54,C51)</f>
        <v>2105122</v>
      </c>
      <c r="D113" s="153">
        <f>SUM(D13,D16,D19,D22,D25,D28,D41,D45,D38,D34,D66,D31,D48,D63,D69,D72,D75,D79,D82,D86,D91,D94,D96,D98,D112,D60,D57,D54,D51)</f>
        <v>0</v>
      </c>
      <c r="E113" s="153">
        <f>SUM(E13,E16,E19,E22,E25,E28,E41,E45,E38,E34,E66,E31,E48,E63,E69,E72,E75,E79,E82,E86,E91,E94,E96,E98,E112,E60,E57,E54,E51)</f>
        <v>2105122</v>
      </c>
    </row>
    <row r="114" spans="1:5" s="193" customFormat="1" x14ac:dyDescent="0.25">
      <c r="A114" s="212"/>
      <c r="C114" s="194"/>
      <c r="D114" s="194"/>
      <c r="E114" s="194"/>
    </row>
    <row r="122" spans="1:5" x14ac:dyDescent="0.25">
      <c r="A122" s="885"/>
      <c r="C122" s="885"/>
      <c r="D122" s="885"/>
      <c r="E122" s="885"/>
    </row>
    <row r="123" spans="1:5" x14ac:dyDescent="0.25">
      <c r="A123" s="885"/>
      <c r="C123" s="885"/>
      <c r="D123" s="885"/>
      <c r="E123" s="885"/>
    </row>
    <row r="124" spans="1:5" x14ac:dyDescent="0.25">
      <c r="A124" s="885"/>
      <c r="C124" s="885"/>
      <c r="D124" s="885"/>
      <c r="E124" s="885"/>
    </row>
    <row r="125" spans="1:5" x14ac:dyDescent="0.25">
      <c r="A125" s="885"/>
      <c r="C125" s="885"/>
      <c r="D125" s="885"/>
      <c r="E125" s="885"/>
    </row>
    <row r="126" spans="1:5" x14ac:dyDescent="0.25">
      <c r="A126" s="885"/>
      <c r="C126" s="885"/>
      <c r="D126" s="885"/>
      <c r="E126" s="885"/>
    </row>
  </sheetData>
  <mergeCells count="5">
    <mergeCell ref="A5:C5"/>
    <mergeCell ref="A99:B99"/>
    <mergeCell ref="A113:B113"/>
    <mergeCell ref="A1:E1"/>
    <mergeCell ref="A2:E2"/>
  </mergeCells>
  <pageMargins left="0.51181102362204722" right="0.51181102362204722" top="0.74803149606299213" bottom="0.74803149606299213" header="0.31496062992125984" footer="0.31496062992125984"/>
  <pageSetup paperSize="9" scale="60" fitToHeight="0" orientation="portrait" r:id="rId1"/>
  <headerFooter>
    <oddHeader>&amp;R&amp;"Times New Roman CE,Félkövér" 12. melléklet a 6/2020.(II.24.) önkormányzati rendelethez
&amp;"Times New Roman CE,Dőlt" 14. melléklet
  az 5/2019.(II.15.) önkormányzati rendelethez</oddHeader>
  </headerFooter>
  <rowBreaks count="1" manualBreakCount="1">
    <brk id="49" max="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</sheetPr>
  <dimension ref="A1:G53"/>
  <sheetViews>
    <sheetView zoomScale="90" zoomScaleNormal="90" workbookViewId="0">
      <selection activeCell="F47" sqref="F47"/>
    </sheetView>
  </sheetViews>
  <sheetFormatPr defaultRowHeight="15.75" x14ac:dyDescent="0.25"/>
  <cols>
    <col min="1" max="1" width="45.625" style="54" customWidth="1"/>
    <col min="2" max="2" width="16" style="55" customWidth="1"/>
    <col min="3" max="3" width="7.5" style="36" customWidth="1"/>
    <col min="4" max="4" width="43.75" style="36" customWidth="1"/>
    <col min="5" max="5" width="16" style="36" customWidth="1"/>
    <col min="6" max="6" width="24.625" style="36" customWidth="1"/>
    <col min="7" max="7" width="10.625" style="36" bestFit="1" customWidth="1"/>
    <col min="8" max="16384" width="9" style="36"/>
  </cols>
  <sheetData>
    <row r="1" spans="1:7" ht="31.5" customHeight="1" x14ac:dyDescent="0.25">
      <c r="A1" s="1045" t="s">
        <v>362</v>
      </c>
      <c r="B1" s="1045"/>
      <c r="C1" s="1045"/>
      <c r="D1" s="1045"/>
      <c r="E1" s="1045"/>
      <c r="F1" s="1045"/>
    </row>
    <row r="3" spans="1:7" ht="16.5" thickBot="1" x14ac:dyDescent="0.3"/>
    <row r="4" spans="1:7" ht="33" thickTop="1" thickBot="1" x14ac:dyDescent="0.3">
      <c r="A4" s="34" t="s">
        <v>52</v>
      </c>
      <c r="B4" s="35" t="s">
        <v>363</v>
      </c>
      <c r="D4" s="34" t="s">
        <v>52</v>
      </c>
      <c r="E4" s="35" t="s">
        <v>363</v>
      </c>
    </row>
    <row r="5" spans="1:7" s="38" customFormat="1" ht="16.5" thickTop="1" x14ac:dyDescent="0.25">
      <c r="A5" s="37" t="s">
        <v>282</v>
      </c>
      <c r="B5" s="215"/>
      <c r="D5" s="39" t="s">
        <v>283</v>
      </c>
      <c r="E5" s="40"/>
    </row>
    <row r="6" spans="1:7" s="43" customFormat="1" ht="31.5" x14ac:dyDescent="0.25">
      <c r="A6" s="41" t="s">
        <v>54</v>
      </c>
      <c r="B6" s="42">
        <v>8733869</v>
      </c>
      <c r="D6" s="41" t="s">
        <v>260</v>
      </c>
      <c r="E6" s="42">
        <v>7237283</v>
      </c>
      <c r="G6" s="445"/>
    </row>
    <row r="7" spans="1:7" s="43" customFormat="1" ht="31.5" x14ac:dyDescent="0.25">
      <c r="A7" s="41" t="s">
        <v>31</v>
      </c>
      <c r="B7" s="42">
        <v>1846703</v>
      </c>
      <c r="D7" s="41" t="s">
        <v>55</v>
      </c>
      <c r="E7" s="42">
        <v>22059067</v>
      </c>
    </row>
    <row r="8" spans="1:7" s="43" customFormat="1" ht="16.5" thickBot="1" x14ac:dyDescent="0.3">
      <c r="A8" s="41" t="s">
        <v>56</v>
      </c>
      <c r="B8" s="42">
        <v>11382247</v>
      </c>
      <c r="D8" s="49" t="s">
        <v>53</v>
      </c>
      <c r="E8" s="50">
        <v>3729090</v>
      </c>
    </row>
    <row r="9" spans="1:7" s="43" customFormat="1" ht="16.5" thickTop="1" x14ac:dyDescent="0.25">
      <c r="A9" s="45" t="s">
        <v>460</v>
      </c>
      <c r="B9" s="42">
        <v>259378</v>
      </c>
      <c r="D9" s="49" t="s">
        <v>262</v>
      </c>
      <c r="E9" s="50">
        <v>193207</v>
      </c>
      <c r="F9" s="1046" t="s">
        <v>287</v>
      </c>
    </row>
    <row r="10" spans="1:7" s="43" customFormat="1" ht="15.75" customHeight="1" x14ac:dyDescent="0.25">
      <c r="A10" s="41" t="s">
        <v>267</v>
      </c>
      <c r="B10" s="216">
        <v>14476374</v>
      </c>
      <c r="D10" s="49"/>
      <c r="E10" s="50"/>
      <c r="F10" s="1047"/>
    </row>
    <row r="11" spans="1:7" s="43" customFormat="1" ht="16.5" customHeight="1" thickBot="1" x14ac:dyDescent="0.3">
      <c r="A11" s="45" t="s">
        <v>57</v>
      </c>
      <c r="B11" s="216">
        <v>2012306</v>
      </c>
      <c r="D11" s="46"/>
      <c r="E11" s="47"/>
      <c r="F11" s="1048"/>
    </row>
    <row r="12" spans="1:7" s="53" customFormat="1" ht="17.25" thickTop="1" thickBot="1" x14ac:dyDescent="0.3">
      <c r="A12" s="51" t="s">
        <v>280</v>
      </c>
      <c r="B12" s="52">
        <f>SUM(B5:B11)</f>
        <v>38710877</v>
      </c>
      <c r="D12" s="51" t="s">
        <v>281</v>
      </c>
      <c r="E12" s="52">
        <f>SUM(E6:E10)</f>
        <v>33218647</v>
      </c>
      <c r="F12" s="52">
        <f>+E12-B12</f>
        <v>-5492230</v>
      </c>
    </row>
    <row r="13" spans="1:7" s="53" customFormat="1" ht="17.25" thickTop="1" thickBot="1" x14ac:dyDescent="0.3">
      <c r="A13" s="95"/>
      <c r="B13" s="96"/>
      <c r="D13" s="95"/>
      <c r="E13" s="96"/>
      <c r="F13" s="96"/>
    </row>
    <row r="14" spans="1:7" s="38" customFormat="1" ht="17.25" thickTop="1" thickBot="1" x14ac:dyDescent="0.3">
      <c r="A14" s="39" t="s">
        <v>291</v>
      </c>
      <c r="B14" s="56"/>
      <c r="D14" s="39" t="s">
        <v>292</v>
      </c>
      <c r="E14" s="40"/>
    </row>
    <row r="15" spans="1:7" s="43" customFormat="1" ht="16.5" customHeight="1" thickTop="1" x14ac:dyDescent="0.25">
      <c r="A15" s="48" t="s">
        <v>309</v>
      </c>
      <c r="B15" s="42">
        <v>11558688</v>
      </c>
      <c r="D15" s="49" t="s">
        <v>310</v>
      </c>
      <c r="E15" s="44">
        <v>11558688</v>
      </c>
      <c r="F15" s="1049" t="s">
        <v>293</v>
      </c>
    </row>
    <row r="16" spans="1:7" s="43" customFormat="1" ht="31.5" x14ac:dyDescent="0.25">
      <c r="A16" s="48" t="s">
        <v>480</v>
      </c>
      <c r="B16" s="42">
        <v>2710038</v>
      </c>
      <c r="D16" s="131" t="s">
        <v>358</v>
      </c>
      <c r="E16" s="44">
        <v>5272480</v>
      </c>
      <c r="F16" s="1050"/>
    </row>
    <row r="17" spans="1:6" s="43" customFormat="1" ht="31.5" x14ac:dyDescent="0.25">
      <c r="A17" s="170" t="s">
        <v>528</v>
      </c>
      <c r="B17" s="216">
        <v>294418</v>
      </c>
      <c r="D17" s="131" t="s">
        <v>479</v>
      </c>
      <c r="E17" s="44">
        <v>4810855</v>
      </c>
      <c r="F17" s="1050"/>
    </row>
    <row r="18" spans="1:6" s="43" customFormat="1" ht="16.5" thickBot="1" x14ac:dyDescent="0.3">
      <c r="A18" s="98"/>
      <c r="B18" s="217"/>
      <c r="D18" s="130" t="s">
        <v>570</v>
      </c>
      <c r="E18" s="213">
        <v>163966</v>
      </c>
      <c r="F18" s="1051"/>
    </row>
    <row r="19" spans="1:6" s="53" customFormat="1" ht="17.25" thickTop="1" thickBot="1" x14ac:dyDescent="0.3">
      <c r="A19" s="51" t="s">
        <v>294</v>
      </c>
      <c r="B19" s="52">
        <f>SUM(B15:B18)</f>
        <v>14563144</v>
      </c>
      <c r="D19" s="51" t="s">
        <v>295</v>
      </c>
      <c r="E19" s="52">
        <f>SUM(E15:E18)</f>
        <v>21805989</v>
      </c>
      <c r="F19" s="52">
        <f>+E19-B19</f>
        <v>7242845</v>
      </c>
    </row>
    <row r="20" spans="1:6" s="53" customFormat="1" ht="17.25" thickTop="1" thickBot="1" x14ac:dyDescent="0.3">
      <c r="A20" s="95"/>
      <c r="B20" s="96"/>
      <c r="D20" s="95"/>
      <c r="E20" s="96"/>
      <c r="F20" s="96"/>
    </row>
    <row r="21" spans="1:6" s="53" customFormat="1" ht="17.25" thickTop="1" thickBot="1" x14ac:dyDescent="0.3">
      <c r="A21" s="95"/>
      <c r="B21" s="95"/>
      <c r="C21" s="95"/>
      <c r="D21" s="1043" t="s">
        <v>296</v>
      </c>
      <c r="E21" s="1043"/>
      <c r="F21" s="100">
        <f>SUM(F12+F19)</f>
        <v>1750615</v>
      </c>
    </row>
    <row r="22" spans="1:6" s="53" customFormat="1" ht="16.5" thickTop="1" x14ac:dyDescent="0.25">
      <c r="A22" s="95"/>
      <c r="B22" s="96"/>
      <c r="D22" s="95"/>
      <c r="E22" s="96"/>
      <c r="F22" s="96"/>
    </row>
    <row r="23" spans="1:6" s="53" customFormat="1" ht="16.5" thickBot="1" x14ac:dyDescent="0.3">
      <c r="A23" s="95"/>
      <c r="B23" s="96"/>
      <c r="D23" s="95"/>
      <c r="E23" s="96"/>
      <c r="F23" s="96"/>
    </row>
    <row r="24" spans="1:6" ht="33" thickTop="1" thickBot="1" x14ac:dyDescent="0.3">
      <c r="A24" s="34" t="s">
        <v>52</v>
      </c>
      <c r="B24" s="35" t="s">
        <v>363</v>
      </c>
      <c r="D24" s="34" t="s">
        <v>52</v>
      </c>
      <c r="E24" s="35" t="s">
        <v>363</v>
      </c>
    </row>
    <row r="25" spans="1:6" ht="16.5" thickTop="1" x14ac:dyDescent="0.25">
      <c r="A25" s="39" t="s">
        <v>284</v>
      </c>
      <c r="B25" s="56"/>
      <c r="D25" s="39" t="s">
        <v>285</v>
      </c>
      <c r="E25" s="56"/>
    </row>
    <row r="26" spans="1:6" ht="32.25" customHeight="1" thickBot="1" x14ac:dyDescent="0.3">
      <c r="A26" s="41" t="s">
        <v>51</v>
      </c>
      <c r="B26" s="42">
        <v>30316015</v>
      </c>
      <c r="D26" s="41" t="s">
        <v>279</v>
      </c>
      <c r="E26" s="42">
        <v>17479115</v>
      </c>
      <c r="F26" s="134"/>
    </row>
    <row r="27" spans="1:6" ht="16.5" thickTop="1" x14ac:dyDescent="0.25">
      <c r="A27" s="41" t="s">
        <v>59</v>
      </c>
      <c r="B27" s="42">
        <v>1181229</v>
      </c>
      <c r="D27" s="41" t="s">
        <v>286</v>
      </c>
      <c r="E27" s="42">
        <v>156208</v>
      </c>
      <c r="F27" s="1049" t="s">
        <v>288</v>
      </c>
    </row>
    <row r="28" spans="1:6" x14ac:dyDescent="0.25">
      <c r="A28" s="41" t="s">
        <v>257</v>
      </c>
      <c r="B28" s="42">
        <v>1396529</v>
      </c>
      <c r="D28" s="41" t="s">
        <v>263</v>
      </c>
      <c r="E28" s="42">
        <v>43504</v>
      </c>
      <c r="F28" s="1050"/>
    </row>
    <row r="29" spans="1:6" ht="16.5" thickBot="1" x14ac:dyDescent="0.3">
      <c r="A29" s="41"/>
      <c r="B29" s="42"/>
      <c r="D29" s="132"/>
      <c r="E29" s="133"/>
      <c r="F29" s="1051"/>
    </row>
    <row r="30" spans="1:6" s="53" customFormat="1" ht="17.25" thickTop="1" thickBot="1" x14ac:dyDescent="0.3">
      <c r="A30" s="51" t="s">
        <v>289</v>
      </c>
      <c r="B30" s="52">
        <f>SUM(B26:B29)</f>
        <v>32893773</v>
      </c>
      <c r="D30" s="51" t="s">
        <v>290</v>
      </c>
      <c r="E30" s="52">
        <f>SUM(E26:E28)</f>
        <v>17678827</v>
      </c>
      <c r="F30" s="52">
        <f>+E30-B30</f>
        <v>-15214946</v>
      </c>
    </row>
    <row r="31" spans="1:6" s="53" customFormat="1" ht="17.25" thickTop="1" thickBot="1" x14ac:dyDescent="0.3">
      <c r="A31" s="95"/>
      <c r="B31" s="96"/>
      <c r="D31" s="95"/>
      <c r="E31" s="96"/>
      <c r="F31" s="96"/>
    </row>
    <row r="32" spans="1:6" s="38" customFormat="1" ht="17.25" thickTop="1" thickBot="1" x14ac:dyDescent="0.3">
      <c r="A32" s="39" t="s">
        <v>297</v>
      </c>
      <c r="B32" s="56"/>
      <c r="D32" s="39" t="s">
        <v>299</v>
      </c>
      <c r="E32" s="40"/>
    </row>
    <row r="33" spans="1:6" s="43" customFormat="1" ht="16.5" thickTop="1" x14ac:dyDescent="0.25">
      <c r="A33" s="48" t="s">
        <v>309</v>
      </c>
      <c r="B33" s="42">
        <v>381443</v>
      </c>
      <c r="D33" s="49" t="s">
        <v>310</v>
      </c>
      <c r="E33" s="44">
        <v>381443</v>
      </c>
      <c r="F33" s="1049" t="s">
        <v>306</v>
      </c>
    </row>
    <row r="34" spans="1:6" s="43" customFormat="1" ht="31.5" x14ac:dyDescent="0.25">
      <c r="A34" s="170"/>
      <c r="B34" s="216"/>
      <c r="D34" s="49" t="s">
        <v>357</v>
      </c>
      <c r="E34" s="44">
        <v>12969693</v>
      </c>
      <c r="F34" s="1050"/>
    </row>
    <row r="35" spans="1:6" s="43" customFormat="1" ht="32.25" thickBot="1" x14ac:dyDescent="0.3">
      <c r="A35" s="98"/>
      <c r="B35" s="217"/>
      <c r="D35" s="48" t="s">
        <v>479</v>
      </c>
      <c r="E35" s="246">
        <v>494638</v>
      </c>
      <c r="F35" s="1051"/>
    </row>
    <row r="36" spans="1:6" s="53" customFormat="1" ht="17.25" thickTop="1" thickBot="1" x14ac:dyDescent="0.3">
      <c r="A36" s="51" t="s">
        <v>298</v>
      </c>
      <c r="B36" s="52">
        <f>SUM(B33)</f>
        <v>381443</v>
      </c>
      <c r="D36" s="51" t="s">
        <v>300</v>
      </c>
      <c r="E36" s="52">
        <f>SUM(E33:E35)</f>
        <v>13845774</v>
      </c>
      <c r="F36" s="52">
        <f>+E36-B36</f>
        <v>13464331</v>
      </c>
    </row>
    <row r="37" spans="1:6" s="53" customFormat="1" ht="17.25" thickTop="1" thickBot="1" x14ac:dyDescent="0.3">
      <c r="A37" s="95"/>
      <c r="B37" s="96"/>
      <c r="D37" s="95"/>
      <c r="E37" s="96"/>
      <c r="F37" s="96"/>
    </row>
    <row r="38" spans="1:6" s="53" customFormat="1" ht="17.25" thickTop="1" thickBot="1" x14ac:dyDescent="0.3">
      <c r="A38" s="95"/>
      <c r="B38" s="95"/>
      <c r="C38" s="95"/>
      <c r="D38" s="1043" t="s">
        <v>301</v>
      </c>
      <c r="E38" s="1043"/>
      <c r="F38" s="100">
        <f>SUM(F30+F36)</f>
        <v>-1750615</v>
      </c>
    </row>
    <row r="39" spans="1:6" s="53" customFormat="1" ht="17.25" thickTop="1" thickBot="1" x14ac:dyDescent="0.3">
      <c r="A39" s="95"/>
      <c r="B39" s="96"/>
      <c r="D39" s="95"/>
      <c r="E39" s="96"/>
      <c r="F39" s="96"/>
    </row>
    <row r="40" spans="1:6" s="53" customFormat="1" ht="33" thickTop="1" thickBot="1" x14ac:dyDescent="0.3">
      <c r="A40" s="95"/>
      <c r="B40" s="96"/>
      <c r="D40" s="95"/>
      <c r="E40" s="96"/>
      <c r="F40" s="58" t="s">
        <v>60</v>
      </c>
    </row>
    <row r="41" spans="1:6" s="53" customFormat="1" ht="17.25" thickTop="1" thickBot="1" x14ac:dyDescent="0.3">
      <c r="A41" s="59" t="s">
        <v>61</v>
      </c>
      <c r="B41" s="218">
        <f>SUM(B30+B12)</f>
        <v>71604650</v>
      </c>
      <c r="C41" s="36"/>
      <c r="D41" s="59" t="s">
        <v>62</v>
      </c>
      <c r="E41" s="60">
        <f>SUM(E30+E12)</f>
        <v>50897474</v>
      </c>
      <c r="F41" s="61">
        <f>SUM(E41-B41)</f>
        <v>-20707176</v>
      </c>
    </row>
    <row r="42" spans="1:6" s="53" customFormat="1" ht="17.25" thickTop="1" thickBot="1" x14ac:dyDescent="0.3">
      <c r="A42" s="97"/>
      <c r="B42" s="219"/>
      <c r="C42" s="36"/>
      <c r="D42" s="97"/>
      <c r="E42" s="99"/>
      <c r="F42" s="99"/>
    </row>
    <row r="43" spans="1:6" s="53" customFormat="1" ht="33" thickTop="1" thickBot="1" x14ac:dyDescent="0.3">
      <c r="A43" s="95"/>
      <c r="B43" s="96"/>
      <c r="D43" s="95"/>
      <c r="E43" s="96"/>
      <c r="F43" s="58" t="s">
        <v>305</v>
      </c>
    </row>
    <row r="44" spans="1:6" s="53" customFormat="1" ht="17.25" thickTop="1" thickBot="1" x14ac:dyDescent="0.3">
      <c r="A44" s="59" t="s">
        <v>302</v>
      </c>
      <c r="B44" s="218">
        <f>SUM(B36+B19)</f>
        <v>14944587</v>
      </c>
      <c r="C44" s="36"/>
      <c r="D44" s="59" t="s">
        <v>303</v>
      </c>
      <c r="E44" s="60">
        <f>SUM(E36+E19)</f>
        <v>35651763</v>
      </c>
      <c r="F44" s="61">
        <f>SUM(E44-B44)</f>
        <v>20707176</v>
      </c>
    </row>
    <row r="45" spans="1:6" s="53" customFormat="1" ht="17.25" thickTop="1" thickBot="1" x14ac:dyDescent="0.3">
      <c r="A45" s="95"/>
      <c r="B45" s="96"/>
      <c r="D45" s="95"/>
      <c r="E45" s="96"/>
      <c r="F45" s="96"/>
    </row>
    <row r="46" spans="1:6" s="53" customFormat="1" ht="17.25" thickTop="1" thickBot="1" x14ac:dyDescent="0.3">
      <c r="A46" s="95"/>
      <c r="B46" s="96"/>
      <c r="D46" s="1044" t="s">
        <v>304</v>
      </c>
      <c r="E46" s="1044"/>
      <c r="F46" s="101">
        <f>SUM(F41+F44)</f>
        <v>0</v>
      </c>
    </row>
    <row r="47" spans="1:6" s="53" customFormat="1" ht="16.5" thickTop="1" x14ac:dyDescent="0.25">
      <c r="A47" s="95"/>
      <c r="B47" s="96"/>
      <c r="D47" s="95"/>
      <c r="E47" s="96"/>
      <c r="F47" s="96"/>
    </row>
    <row r="48" spans="1:6" x14ac:dyDescent="0.25">
      <c r="A48" s="62"/>
      <c r="C48" s="57"/>
      <c r="E48" s="55"/>
      <c r="F48" s="57"/>
    </row>
    <row r="49" spans="1:6" x14ac:dyDescent="0.25">
      <c r="E49" s="55"/>
    </row>
    <row r="50" spans="1:6" x14ac:dyDescent="0.25">
      <c r="A50" s="62"/>
      <c r="B50" s="63"/>
      <c r="E50" s="63"/>
      <c r="F50" s="57"/>
    </row>
    <row r="51" spans="1:6" x14ac:dyDescent="0.25">
      <c r="A51" s="62"/>
      <c r="C51" s="57"/>
      <c r="E51" s="55"/>
    </row>
    <row r="52" spans="1:6" x14ac:dyDescent="0.25">
      <c r="C52" s="57"/>
      <c r="E52" s="55"/>
    </row>
    <row r="53" spans="1:6" x14ac:dyDescent="0.25">
      <c r="A53" s="62"/>
      <c r="D53" s="64"/>
      <c r="E53" s="55"/>
    </row>
  </sheetData>
  <mergeCells count="8">
    <mergeCell ref="D38:E38"/>
    <mergeCell ref="D46:E46"/>
    <mergeCell ref="A1:F1"/>
    <mergeCell ref="F9:F11"/>
    <mergeCell ref="F15:F18"/>
    <mergeCell ref="D21:E21"/>
    <mergeCell ref="F27:F29"/>
    <mergeCell ref="F33:F35"/>
  </mergeCells>
  <printOptions horizontalCentered="1"/>
  <pageMargins left="0.31496062992125984" right="0.23622047244094491" top="0.47244094488188981" bottom="0.23622047244094491" header="0.23622047244094491" footer="0.15748031496062992"/>
  <pageSetup paperSize="9" scale="58" orientation="landscape" r:id="rId1"/>
  <headerFooter alignWithMargins="0">
    <oddHeader>&amp;R&amp;"Times New Roman CE,Félkövér"13. melléklet a 6/2020.(II.24.) önkormányzati rendelethez&amp;"Times New Roman CE,Dőlt"&amp;10
16. melléklet
az 5/2019.(II.15.) önkormányzati rendelethez</oddHeader>
    <oddFooter xml:space="preserve">&amp;C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  <pageSetUpPr fitToPage="1"/>
  </sheetPr>
  <dimension ref="A1:R40"/>
  <sheetViews>
    <sheetView zoomScale="90" zoomScaleNormal="90" workbookViewId="0">
      <pane xSplit="1" ySplit="5" topLeftCell="C6" activePane="bottomRight" state="frozen"/>
      <selection activeCell="C35" sqref="C35"/>
      <selection pane="topRight" activeCell="C35" sqref="C35"/>
      <selection pane="bottomLeft" activeCell="C35" sqref="C35"/>
      <selection pane="bottomRight" activeCell="N1" sqref="N1"/>
    </sheetView>
  </sheetViews>
  <sheetFormatPr defaultColWidth="8" defaultRowHeight="15.75" x14ac:dyDescent="0.25"/>
  <cols>
    <col min="1" max="1" width="26.125" style="222" bestFit="1" customWidth="1"/>
    <col min="2" max="2" width="11" style="235" bestFit="1" customWidth="1"/>
    <col min="3" max="3" width="12" style="235" customWidth="1"/>
    <col min="4" max="5" width="11" style="235" bestFit="1" customWidth="1"/>
    <col min="6" max="6" width="10.5" style="235" customWidth="1"/>
    <col min="7" max="7" width="12.5" style="235" customWidth="1"/>
    <col min="8" max="8" width="11.125" style="235" customWidth="1"/>
    <col min="9" max="9" width="10" style="235" bestFit="1" customWidth="1"/>
    <col min="10" max="10" width="11" style="235" bestFit="1" customWidth="1"/>
    <col min="11" max="11" width="11" style="235" customWidth="1"/>
    <col min="12" max="12" width="11.125" style="235" customWidth="1"/>
    <col min="13" max="13" width="11.625" style="235" customWidth="1"/>
    <col min="14" max="14" width="15.625" style="235" customWidth="1"/>
    <col min="15" max="15" width="15.625" style="235" hidden="1" customWidth="1"/>
    <col min="16" max="16" width="15.625" style="222" hidden="1" customWidth="1"/>
    <col min="17" max="17" width="10.25" style="222" hidden="1" customWidth="1"/>
    <col min="18" max="18" width="9.25" style="222" hidden="1" customWidth="1"/>
    <col min="19" max="19" width="0" style="222" hidden="1" customWidth="1"/>
    <col min="20" max="16384" width="8" style="222"/>
  </cols>
  <sheetData>
    <row r="1" spans="1:18" x14ac:dyDescent="0.25">
      <c r="N1" s="329" t="s">
        <v>1295</v>
      </c>
    </row>
    <row r="2" spans="1:18" x14ac:dyDescent="0.25">
      <c r="N2" s="330" t="s">
        <v>886</v>
      </c>
    </row>
    <row r="3" spans="1:18" x14ac:dyDescent="0.25">
      <c r="N3" s="330" t="s">
        <v>887</v>
      </c>
    </row>
    <row r="4" spans="1:18" ht="16.5" thickBot="1" x14ac:dyDescent="0.3">
      <c r="A4" s="220" t="s">
        <v>548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</row>
    <row r="5" spans="1:18" s="247" customFormat="1" ht="18" customHeight="1" x14ac:dyDescent="0.25">
      <c r="A5" s="223" t="s">
        <v>137</v>
      </c>
      <c r="B5" s="224" t="s">
        <v>549</v>
      </c>
      <c r="C5" s="224" t="s">
        <v>550</v>
      </c>
      <c r="D5" s="224" t="s">
        <v>551</v>
      </c>
      <c r="E5" s="224" t="s">
        <v>552</v>
      </c>
      <c r="F5" s="224" t="s">
        <v>553</v>
      </c>
      <c r="G5" s="224" t="s">
        <v>554</v>
      </c>
      <c r="H5" s="224" t="s">
        <v>555</v>
      </c>
      <c r="I5" s="224" t="s">
        <v>556</v>
      </c>
      <c r="J5" s="224" t="s">
        <v>557</v>
      </c>
      <c r="K5" s="224" t="s">
        <v>558</v>
      </c>
      <c r="L5" s="224" t="s">
        <v>559</v>
      </c>
      <c r="M5" s="224" t="s">
        <v>560</v>
      </c>
      <c r="N5" s="225" t="s">
        <v>561</v>
      </c>
      <c r="O5" s="892" t="s">
        <v>1196</v>
      </c>
      <c r="P5" s="893" t="s">
        <v>960</v>
      </c>
      <c r="Q5" s="893" t="s">
        <v>937</v>
      </c>
    </row>
    <row r="6" spans="1:18" ht="31.5" x14ac:dyDescent="0.25">
      <c r="A6" s="226" t="s">
        <v>260</v>
      </c>
      <c r="B6" s="227">
        <v>597707</v>
      </c>
      <c r="C6" s="227">
        <v>483759</v>
      </c>
      <c r="D6" s="227">
        <f>384929+130577</f>
        <v>515506</v>
      </c>
      <c r="E6" s="227">
        <f>382875+45967</f>
        <v>428842</v>
      </c>
      <c r="F6" s="227">
        <f>552958+733373</f>
        <v>1286331</v>
      </c>
      <c r="G6" s="227">
        <f>382117+42182</f>
        <v>424299</v>
      </c>
      <c r="H6" s="227">
        <f>589306+137141</f>
        <v>726447</v>
      </c>
      <c r="I6" s="227">
        <v>386765</v>
      </c>
      <c r="J6" s="227">
        <v>280137</v>
      </c>
      <c r="K6" s="227">
        <f>390923+316014</f>
        <v>706937</v>
      </c>
      <c r="L6" s="227">
        <f>457919+8717</f>
        <v>466636</v>
      </c>
      <c r="M6" s="227">
        <v>933917</v>
      </c>
      <c r="N6" s="228">
        <f t="shared" ref="N6:N15" si="0">SUM(B6:M6)</f>
        <v>7237283</v>
      </c>
      <c r="O6" s="235">
        <v>7237283</v>
      </c>
      <c r="P6" s="235">
        <f>+O6-N6</f>
        <v>0</v>
      </c>
      <c r="R6" s="222" t="s">
        <v>1131</v>
      </c>
    </row>
    <row r="7" spans="1:18" ht="31.5" x14ac:dyDescent="0.25">
      <c r="A7" s="226" t="s">
        <v>261</v>
      </c>
      <c r="B7" s="227">
        <v>0</v>
      </c>
      <c r="C7" s="227">
        <v>1938275</v>
      </c>
      <c r="D7" s="227">
        <v>156285</v>
      </c>
      <c r="E7" s="227">
        <v>1636546</v>
      </c>
      <c r="F7" s="227">
        <v>91075</v>
      </c>
      <c r="G7" s="227">
        <v>0</v>
      </c>
      <c r="H7" s="227">
        <v>166542</v>
      </c>
      <c r="I7" s="227">
        <v>0</v>
      </c>
      <c r="J7" s="227">
        <v>1402288</v>
      </c>
      <c r="K7" s="227">
        <v>232833</v>
      </c>
      <c r="L7" s="227">
        <v>1220171</v>
      </c>
      <c r="M7" s="227">
        <v>10635100</v>
      </c>
      <c r="N7" s="228">
        <f t="shared" si="0"/>
        <v>17479115</v>
      </c>
      <c r="O7" s="235">
        <v>17479115</v>
      </c>
      <c r="P7" s="235">
        <f t="shared" ref="P7:P15" si="1">+O7-N7</f>
        <v>0</v>
      </c>
      <c r="R7" s="222" t="s">
        <v>1132</v>
      </c>
    </row>
    <row r="8" spans="1:18" x14ac:dyDescent="0.25">
      <c r="A8" s="226" t="s">
        <v>55</v>
      </c>
      <c r="B8" s="227">
        <v>217209</v>
      </c>
      <c r="C8" s="227">
        <v>99888</v>
      </c>
      <c r="D8" s="227">
        <v>8249818</v>
      </c>
      <c r="E8" s="227">
        <v>114240</v>
      </c>
      <c r="F8" s="227">
        <v>665494</v>
      </c>
      <c r="G8" s="227">
        <v>1188781</v>
      </c>
      <c r="H8" s="227">
        <v>92956</v>
      </c>
      <c r="I8" s="227">
        <v>92613</v>
      </c>
      <c r="J8" s="227">
        <v>8405194</v>
      </c>
      <c r="K8" s="227">
        <v>440977</v>
      </c>
      <c r="L8" s="227">
        <v>222993</v>
      </c>
      <c r="M8" s="227">
        <v>2268904</v>
      </c>
      <c r="N8" s="228">
        <f t="shared" si="0"/>
        <v>22059067</v>
      </c>
      <c r="O8" s="235">
        <v>22059067</v>
      </c>
      <c r="P8" s="235">
        <f t="shared" si="1"/>
        <v>0</v>
      </c>
      <c r="R8" s="235" t="s">
        <v>1133</v>
      </c>
    </row>
    <row r="9" spans="1:18" x14ac:dyDescent="0.25">
      <c r="A9" s="226" t="s">
        <v>53</v>
      </c>
      <c r="B9" s="227">
        <f>160449+107033</f>
        <v>267482</v>
      </c>
      <c r="C9" s="227">
        <f>20115+194086</f>
        <v>214201</v>
      </c>
      <c r="D9" s="227">
        <f>34138+120204</f>
        <v>154342</v>
      </c>
      <c r="E9" s="227">
        <f>235403+128949</f>
        <v>364352</v>
      </c>
      <c r="F9" s="227">
        <f>242582+111005</f>
        <v>353587</v>
      </c>
      <c r="G9" s="227">
        <f>42598+174359</f>
        <v>216957</v>
      </c>
      <c r="H9" s="227">
        <f>104359+117483</f>
        <v>221842</v>
      </c>
      <c r="I9" s="227">
        <f>193441+78506</f>
        <v>271947</v>
      </c>
      <c r="J9" s="227">
        <f>52427+64819</f>
        <v>117246</v>
      </c>
      <c r="K9" s="227">
        <f>55916+302869</f>
        <v>358785</v>
      </c>
      <c r="L9" s="227">
        <f>132184+164494</f>
        <v>296678</v>
      </c>
      <c r="M9" s="227">
        <v>891671</v>
      </c>
      <c r="N9" s="228">
        <f t="shared" si="0"/>
        <v>3729090</v>
      </c>
      <c r="O9" s="235">
        <v>3729090</v>
      </c>
      <c r="P9" s="235">
        <f t="shared" si="1"/>
        <v>0</v>
      </c>
      <c r="R9" s="235" t="s">
        <v>1134</v>
      </c>
    </row>
    <row r="10" spans="1:18" x14ac:dyDescent="0.25">
      <c r="A10" s="226" t="s">
        <v>58</v>
      </c>
      <c r="B10" s="227">
        <v>157</v>
      </c>
      <c r="C10" s="227">
        <v>266</v>
      </c>
      <c r="D10" s="227">
        <v>53</v>
      </c>
      <c r="E10" s="227">
        <v>2634</v>
      </c>
      <c r="F10" s="227">
        <v>2633</v>
      </c>
      <c r="G10" s="227">
        <v>98368</v>
      </c>
      <c r="H10" s="227">
        <v>2488</v>
      </c>
      <c r="I10" s="227">
        <v>6177</v>
      </c>
      <c r="J10" s="227">
        <v>925</v>
      </c>
      <c r="K10" s="227">
        <v>1509</v>
      </c>
      <c r="L10" s="227">
        <v>1372</v>
      </c>
      <c r="M10" s="227">
        <v>39626</v>
      </c>
      <c r="N10" s="228">
        <f t="shared" si="0"/>
        <v>156208</v>
      </c>
      <c r="O10" s="235">
        <v>156208</v>
      </c>
      <c r="P10" s="235">
        <f t="shared" si="1"/>
        <v>0</v>
      </c>
      <c r="R10" s="222" t="s">
        <v>169</v>
      </c>
    </row>
    <row r="11" spans="1:18" ht="31.5" x14ac:dyDescent="0.25">
      <c r="A11" s="226" t="s">
        <v>562</v>
      </c>
      <c r="B11" s="227">
        <f>4968+0</f>
        <v>4968</v>
      </c>
      <c r="C11" s="227">
        <v>570</v>
      </c>
      <c r="D11" s="227">
        <f>753+272</f>
        <v>1025</v>
      </c>
      <c r="E11" s="227">
        <v>103</v>
      </c>
      <c r="F11" s="227">
        <f>7231+550</f>
        <v>7781</v>
      </c>
      <c r="G11" s="227">
        <f>26382+266</f>
        <v>26648</v>
      </c>
      <c r="H11" s="227">
        <v>86</v>
      </c>
      <c r="I11" s="227">
        <v>6001</v>
      </c>
      <c r="J11" s="227">
        <v>2227</v>
      </c>
      <c r="K11" s="227">
        <v>-1191</v>
      </c>
      <c r="L11" s="227">
        <f>134464-447</f>
        <v>134017</v>
      </c>
      <c r="M11" s="227">
        <v>10972</v>
      </c>
      <c r="N11" s="228">
        <f t="shared" si="0"/>
        <v>193207</v>
      </c>
      <c r="O11" s="235">
        <v>193207</v>
      </c>
      <c r="P11" s="235">
        <f t="shared" si="1"/>
        <v>0</v>
      </c>
      <c r="R11" s="222" t="s">
        <v>1130</v>
      </c>
    </row>
    <row r="12" spans="1:18" ht="31.5" x14ac:dyDescent="0.25">
      <c r="A12" s="226" t="s">
        <v>563</v>
      </c>
      <c r="B12" s="227">
        <v>1278</v>
      </c>
      <c r="C12" s="227">
        <v>783</v>
      </c>
      <c r="D12" s="227">
        <v>1087</v>
      </c>
      <c r="E12" s="227">
        <v>1426</v>
      </c>
      <c r="F12" s="227">
        <v>1263</v>
      </c>
      <c r="G12" s="227">
        <v>806</v>
      </c>
      <c r="H12" s="227">
        <v>798</v>
      </c>
      <c r="I12" s="227">
        <v>621</v>
      </c>
      <c r="J12" s="227">
        <v>12284</v>
      </c>
      <c r="K12" s="227">
        <v>1930</v>
      </c>
      <c r="L12" s="227">
        <v>2704</v>
      </c>
      <c r="M12" s="227">
        <v>18524</v>
      </c>
      <c r="N12" s="228">
        <f t="shared" si="0"/>
        <v>43504</v>
      </c>
      <c r="O12" s="235">
        <v>43504</v>
      </c>
      <c r="P12" s="235">
        <f t="shared" si="1"/>
        <v>0</v>
      </c>
      <c r="R12" s="222" t="s">
        <v>171</v>
      </c>
    </row>
    <row r="13" spans="1:18" x14ac:dyDescent="0.25">
      <c r="A13" s="226" t="s">
        <v>264</v>
      </c>
      <c r="B13" s="227"/>
      <c r="C13" s="227"/>
      <c r="D13" s="227"/>
      <c r="E13" s="227">
        <f>17476468+44558</f>
        <v>17521026</v>
      </c>
      <c r="F13" s="227">
        <v>721126</v>
      </c>
      <c r="G13" s="227"/>
      <c r="H13" s="227"/>
      <c r="I13" s="227"/>
      <c r="J13" s="227"/>
      <c r="K13" s="227"/>
      <c r="L13" s="227"/>
      <c r="M13" s="227">
        <v>21</v>
      </c>
      <c r="N13" s="228">
        <f t="shared" si="0"/>
        <v>18242173</v>
      </c>
      <c r="O13" s="235">
        <v>18242173</v>
      </c>
      <c r="P13" s="235">
        <f t="shared" si="1"/>
        <v>0</v>
      </c>
      <c r="R13" s="235"/>
    </row>
    <row r="14" spans="1:18" ht="47.25" x14ac:dyDescent="0.25">
      <c r="A14" s="238" t="s">
        <v>479</v>
      </c>
      <c r="B14" s="239"/>
      <c r="C14" s="239"/>
      <c r="D14" s="239"/>
      <c r="E14" s="239">
        <v>5305492</v>
      </c>
      <c r="F14" s="239"/>
      <c r="G14" s="239"/>
      <c r="H14" s="239"/>
      <c r="I14" s="239"/>
      <c r="J14" s="239"/>
      <c r="K14" s="239"/>
      <c r="L14" s="239"/>
      <c r="M14" s="239">
        <v>1</v>
      </c>
      <c r="N14" s="228">
        <f t="shared" ref="N14" si="2">SUM(B14:M14)</f>
        <v>5305493</v>
      </c>
      <c r="O14" s="235">
        <v>5305492</v>
      </c>
      <c r="P14" s="235">
        <f t="shared" ref="P14" si="3">+O14-N14</f>
        <v>-1</v>
      </c>
    </row>
    <row r="15" spans="1:18" ht="31.5" x14ac:dyDescent="0.25">
      <c r="A15" s="238" t="s">
        <v>570</v>
      </c>
      <c r="B15" s="239"/>
      <c r="C15" s="239"/>
      <c r="D15" s="239"/>
      <c r="E15" s="239"/>
      <c r="F15" s="239"/>
      <c r="G15" s="239"/>
      <c r="H15" s="239"/>
      <c r="I15" s="239"/>
      <c r="J15" s="239"/>
      <c r="K15" s="239"/>
      <c r="L15" s="239"/>
      <c r="M15" s="239">
        <v>163966</v>
      </c>
      <c r="N15" s="228">
        <f t="shared" si="0"/>
        <v>163966</v>
      </c>
      <c r="O15" s="235">
        <v>163966</v>
      </c>
      <c r="P15" s="235">
        <f t="shared" si="1"/>
        <v>0</v>
      </c>
    </row>
    <row r="16" spans="1:18" s="232" customFormat="1" ht="16.5" thickBot="1" x14ac:dyDescent="0.3">
      <c r="A16" s="229" t="s">
        <v>564</v>
      </c>
      <c r="B16" s="230">
        <f>SUM(B6:B15)</f>
        <v>1088801</v>
      </c>
      <c r="C16" s="230">
        <f t="shared" ref="C16:P16" si="4">SUM(C6:C15)</f>
        <v>2737742</v>
      </c>
      <c r="D16" s="230">
        <f t="shared" si="4"/>
        <v>9078116</v>
      </c>
      <c r="E16" s="230">
        <f t="shared" si="4"/>
        <v>25374661</v>
      </c>
      <c r="F16" s="230">
        <f t="shared" si="4"/>
        <v>3129290</v>
      </c>
      <c r="G16" s="230">
        <f t="shared" si="4"/>
        <v>1955859</v>
      </c>
      <c r="H16" s="230">
        <f t="shared" si="4"/>
        <v>1211159</v>
      </c>
      <c r="I16" s="230">
        <f t="shared" si="4"/>
        <v>764124</v>
      </c>
      <c r="J16" s="230">
        <f t="shared" si="4"/>
        <v>10220301</v>
      </c>
      <c r="K16" s="230">
        <f t="shared" si="4"/>
        <v>1741780</v>
      </c>
      <c r="L16" s="230">
        <f t="shared" si="4"/>
        <v>2344571</v>
      </c>
      <c r="M16" s="230">
        <f t="shared" si="4"/>
        <v>14962702</v>
      </c>
      <c r="N16" s="231">
        <f t="shared" si="4"/>
        <v>74609106</v>
      </c>
      <c r="O16" s="243">
        <f t="shared" si="4"/>
        <v>74609105</v>
      </c>
      <c r="P16" s="243">
        <f t="shared" si="4"/>
        <v>-1</v>
      </c>
    </row>
    <row r="17" spans="1:18" x14ac:dyDescent="0.25">
      <c r="A17" s="220"/>
      <c r="B17" s="233"/>
      <c r="C17" s="233"/>
      <c r="D17" s="233"/>
      <c r="E17" s="233"/>
      <c r="F17" s="233"/>
      <c r="G17" s="233"/>
      <c r="H17" s="233"/>
      <c r="I17" s="233"/>
      <c r="J17" s="233"/>
      <c r="K17" s="233"/>
      <c r="L17" s="233"/>
      <c r="M17" s="233"/>
      <c r="N17" s="233"/>
    </row>
    <row r="18" spans="1:18" ht="16.5" thickBot="1" x14ac:dyDescent="0.3">
      <c r="A18" s="234" t="s">
        <v>565</v>
      </c>
      <c r="Q18" s="222" t="s">
        <v>937</v>
      </c>
    </row>
    <row r="19" spans="1:18" x14ac:dyDescent="0.25">
      <c r="A19" s="522" t="s">
        <v>566</v>
      </c>
      <c r="B19" s="236">
        <v>1084386</v>
      </c>
      <c r="C19" s="236">
        <v>1019296</v>
      </c>
      <c r="D19" s="236">
        <v>995382</v>
      </c>
      <c r="E19" s="236">
        <v>1189242</v>
      </c>
      <c r="F19" s="236">
        <v>1134998</v>
      </c>
      <c r="G19" s="236">
        <v>1125347</v>
      </c>
      <c r="H19" s="236">
        <v>1280950</v>
      </c>
      <c r="I19" s="236">
        <v>1015575</v>
      </c>
      <c r="J19" s="236">
        <v>1105287</v>
      </c>
      <c r="K19" s="236">
        <v>996961</v>
      </c>
      <c r="L19" s="236">
        <v>1141678</v>
      </c>
      <c r="M19" s="236">
        <v>4048401</v>
      </c>
      <c r="N19" s="237">
        <f t="shared" ref="N19:N26" si="5">SUM(B19:M19)</f>
        <v>16137503</v>
      </c>
      <c r="O19" s="235">
        <v>16137503</v>
      </c>
      <c r="P19" s="235">
        <f>+O19-N19</f>
        <v>0</v>
      </c>
      <c r="Q19" s="523">
        <f>+P19/2</f>
        <v>0</v>
      </c>
      <c r="R19" s="222" t="s">
        <v>1135</v>
      </c>
    </row>
    <row r="20" spans="1:18" ht="31.5" x14ac:dyDescent="0.25">
      <c r="A20" s="226" t="s">
        <v>567</v>
      </c>
      <c r="B20" s="227">
        <v>1186970</v>
      </c>
      <c r="C20" s="227">
        <v>1005865</v>
      </c>
      <c r="D20" s="227">
        <v>1903505</v>
      </c>
      <c r="E20" s="227">
        <v>1447210</v>
      </c>
      <c r="F20" s="227">
        <v>2180881</v>
      </c>
      <c r="G20" s="227">
        <v>1304251</v>
      </c>
      <c r="H20" s="227">
        <v>1554363</v>
      </c>
      <c r="I20" s="227">
        <v>1362591</v>
      </c>
      <c r="J20" s="227">
        <v>1110012</v>
      </c>
      <c r="K20" s="227">
        <v>1572221</v>
      </c>
      <c r="L20" s="227">
        <v>1637748</v>
      </c>
      <c r="M20" s="227">
        <v>2244881</v>
      </c>
      <c r="N20" s="228">
        <f t="shared" si="5"/>
        <v>18510498</v>
      </c>
      <c r="O20" s="235">
        <f>+O16-O19-O21-O22-O23-O24-O25-O26</f>
        <v>18510498</v>
      </c>
      <c r="P20" s="235">
        <f t="shared" ref="P20:P27" si="6">+O20-N20</f>
        <v>0</v>
      </c>
      <c r="Q20" s="222">
        <f>+P20/2</f>
        <v>0</v>
      </c>
    </row>
    <row r="21" spans="1:18" x14ac:dyDescent="0.25">
      <c r="A21" s="226" t="s">
        <v>307</v>
      </c>
      <c r="B21" s="227">
        <v>15206</v>
      </c>
      <c r="C21" s="227">
        <v>3121</v>
      </c>
      <c r="D21" s="227">
        <v>150</v>
      </c>
      <c r="E21" s="227">
        <v>46222</v>
      </c>
      <c r="F21" s="227">
        <v>6465</v>
      </c>
      <c r="G21" s="227">
        <v>42234</v>
      </c>
      <c r="H21" s="227">
        <v>13613</v>
      </c>
      <c r="I21" s="227">
        <v>11165</v>
      </c>
      <c r="J21" s="227">
        <v>12437</v>
      </c>
      <c r="K21" s="227">
        <v>11221</v>
      </c>
      <c r="L21" s="227">
        <v>3782</v>
      </c>
      <c r="M21" s="227">
        <v>90409</v>
      </c>
      <c r="N21" s="228">
        <f t="shared" si="5"/>
        <v>256025</v>
      </c>
      <c r="O21" s="235">
        <v>256025</v>
      </c>
      <c r="P21" s="235">
        <f t="shared" si="6"/>
        <v>0</v>
      </c>
      <c r="Q21" s="222">
        <f>+P21/2</f>
        <v>0</v>
      </c>
      <c r="R21" s="222" t="s">
        <v>1136</v>
      </c>
    </row>
    <row r="22" spans="1:18" s="235" customFormat="1" x14ac:dyDescent="0.25">
      <c r="A22" s="226" t="s">
        <v>593</v>
      </c>
      <c r="B22" s="227">
        <v>20838</v>
      </c>
      <c r="C22" s="227">
        <v>54381</v>
      </c>
      <c r="D22" s="227">
        <v>0</v>
      </c>
      <c r="E22" s="227">
        <v>116508</v>
      </c>
      <c r="F22" s="227">
        <v>23180</v>
      </c>
      <c r="G22" s="227">
        <v>63567</v>
      </c>
      <c r="H22" s="227">
        <v>13764</v>
      </c>
      <c r="I22" s="227">
        <v>37103</v>
      </c>
      <c r="J22" s="227">
        <v>23022</v>
      </c>
      <c r="K22" s="227">
        <v>58185</v>
      </c>
      <c r="L22" s="227">
        <v>85594</v>
      </c>
      <c r="M22" s="227">
        <v>1608980</v>
      </c>
      <c r="N22" s="228">
        <f t="shared" si="5"/>
        <v>2105122</v>
      </c>
      <c r="O22" s="235">
        <v>2105122</v>
      </c>
      <c r="P22" s="235">
        <f t="shared" si="6"/>
        <v>0</v>
      </c>
      <c r="Q22" s="222">
        <f>+P22/2</f>
        <v>0</v>
      </c>
      <c r="R22" s="235" t="s">
        <v>1136</v>
      </c>
    </row>
    <row r="23" spans="1:18" s="235" customFormat="1" ht="45.75" customHeight="1" x14ac:dyDescent="0.25">
      <c r="A23" s="226" t="s">
        <v>568</v>
      </c>
      <c r="B23" s="227">
        <v>390160</v>
      </c>
      <c r="C23" s="227">
        <v>374153</v>
      </c>
      <c r="D23" s="227">
        <v>1557035</v>
      </c>
      <c r="E23" s="227">
        <v>402185</v>
      </c>
      <c r="F23" s="227">
        <v>495612</v>
      </c>
      <c r="G23" s="227">
        <v>448723</v>
      </c>
      <c r="H23" s="227">
        <v>377140</v>
      </c>
      <c r="I23" s="227">
        <v>290615</v>
      </c>
      <c r="J23" s="227">
        <v>707216</v>
      </c>
      <c r="K23" s="227">
        <v>246557</v>
      </c>
      <c r="L23" s="227">
        <v>805603</v>
      </c>
      <c r="M23" s="227">
        <v>26488197</v>
      </c>
      <c r="N23" s="228">
        <f t="shared" si="5"/>
        <v>32583196</v>
      </c>
      <c r="O23" s="235">
        <f>31321000+1262196</f>
        <v>32583196</v>
      </c>
      <c r="P23" s="235">
        <f t="shared" si="6"/>
        <v>0</v>
      </c>
      <c r="Q23" s="222">
        <f>+P23/2</f>
        <v>0</v>
      </c>
      <c r="R23" s="235" t="s">
        <v>1136</v>
      </c>
    </row>
    <row r="24" spans="1:18" s="235" customFormat="1" x14ac:dyDescent="0.25">
      <c r="A24" s="226" t="s">
        <v>569</v>
      </c>
      <c r="B24" s="227"/>
      <c r="C24" s="227"/>
      <c r="D24" s="227"/>
      <c r="E24" s="227"/>
      <c r="F24" s="227"/>
      <c r="G24" s="227"/>
      <c r="H24" s="227"/>
      <c r="I24" s="227"/>
      <c r="J24" s="227"/>
      <c r="K24" s="227"/>
      <c r="L24" s="227"/>
      <c r="M24" s="227">
        <v>2012306</v>
      </c>
      <c r="N24" s="228">
        <f t="shared" si="5"/>
        <v>2012306</v>
      </c>
      <c r="O24" s="235">
        <v>2012305</v>
      </c>
      <c r="P24" s="235">
        <f t="shared" si="6"/>
        <v>-1</v>
      </c>
    </row>
    <row r="25" spans="1:18" s="235" customFormat="1" ht="31.5" x14ac:dyDescent="0.25">
      <c r="A25" s="238" t="s">
        <v>480</v>
      </c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>
        <v>2710038</v>
      </c>
      <c r="N25" s="228">
        <f t="shared" si="5"/>
        <v>2710038</v>
      </c>
      <c r="O25" s="235">
        <v>2710038</v>
      </c>
      <c r="P25" s="235">
        <f t="shared" si="6"/>
        <v>0</v>
      </c>
    </row>
    <row r="26" spans="1:18" s="235" customFormat="1" ht="31.5" x14ac:dyDescent="0.25">
      <c r="A26" s="238" t="s">
        <v>570</v>
      </c>
      <c r="B26" s="239">
        <v>130452</v>
      </c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>
        <v>163966</v>
      </c>
      <c r="N26" s="228">
        <f t="shared" si="5"/>
        <v>294418</v>
      </c>
      <c r="O26" s="235">
        <v>294418</v>
      </c>
      <c r="P26" s="235">
        <f t="shared" si="6"/>
        <v>0</v>
      </c>
    </row>
    <row r="27" spans="1:18" s="235" customFormat="1" ht="16.5" thickBot="1" x14ac:dyDescent="0.3">
      <c r="A27" s="229" t="s">
        <v>571</v>
      </c>
      <c r="B27" s="230">
        <f>SUM(B19:B26)</f>
        <v>2828012</v>
      </c>
      <c r="C27" s="230">
        <f t="shared" ref="C27:M27" si="7">SUM(C19:C26)</f>
        <v>2456816</v>
      </c>
      <c r="D27" s="230">
        <f t="shared" si="7"/>
        <v>4456072</v>
      </c>
      <c r="E27" s="230">
        <f t="shared" si="7"/>
        <v>3201367</v>
      </c>
      <c r="F27" s="230">
        <f t="shared" si="7"/>
        <v>3841136</v>
      </c>
      <c r="G27" s="230">
        <f t="shared" si="7"/>
        <v>2984122</v>
      </c>
      <c r="H27" s="230">
        <f t="shared" si="7"/>
        <v>3239830</v>
      </c>
      <c r="I27" s="230">
        <f t="shared" si="7"/>
        <v>2717049</v>
      </c>
      <c r="J27" s="230">
        <f t="shared" si="7"/>
        <v>2957974</v>
      </c>
      <c r="K27" s="230">
        <f t="shared" si="7"/>
        <v>2885145</v>
      </c>
      <c r="L27" s="230">
        <f t="shared" si="7"/>
        <v>3674405</v>
      </c>
      <c r="M27" s="230">
        <f t="shared" si="7"/>
        <v>39367178</v>
      </c>
      <c r="N27" s="231">
        <f>SUM(N19:N26)</f>
        <v>74609106</v>
      </c>
      <c r="O27" s="243">
        <f>SUM(O19:O26)</f>
        <v>74609105</v>
      </c>
      <c r="P27" s="243">
        <f t="shared" si="6"/>
        <v>-1</v>
      </c>
    </row>
    <row r="28" spans="1:18" s="235" customFormat="1" ht="73.5" customHeight="1" x14ac:dyDescent="0.25">
      <c r="A28" s="220"/>
      <c r="B28" s="233"/>
      <c r="C28" s="233"/>
      <c r="D28" s="233"/>
      <c r="E28" s="233"/>
      <c r="F28" s="233"/>
      <c r="G28" s="233"/>
      <c r="H28" s="233"/>
      <c r="I28" s="233"/>
      <c r="J28" s="233"/>
      <c r="K28" s="233"/>
      <c r="L28" s="233"/>
      <c r="M28" s="233"/>
      <c r="N28" s="233"/>
    </row>
    <row r="29" spans="1:18" s="235" customFormat="1" x14ac:dyDescent="0.25">
      <c r="A29" s="240" t="s">
        <v>669</v>
      </c>
      <c r="B29" s="241">
        <f>17682147+732275</f>
        <v>18414422</v>
      </c>
      <c r="C29" s="241">
        <f t="shared" ref="C29:K29" si="8">+B31</f>
        <v>16675211</v>
      </c>
      <c r="D29" s="241">
        <f t="shared" si="8"/>
        <v>16956137</v>
      </c>
      <c r="E29" s="241">
        <f t="shared" si="8"/>
        <v>21578181</v>
      </c>
      <c r="F29" s="241">
        <f t="shared" si="8"/>
        <v>26230449</v>
      </c>
      <c r="G29" s="241">
        <f t="shared" si="8"/>
        <v>24797477</v>
      </c>
      <c r="H29" s="241">
        <f t="shared" si="8"/>
        <v>23769214</v>
      </c>
      <c r="I29" s="241">
        <f t="shared" si="8"/>
        <v>21740543</v>
      </c>
      <c r="J29" s="241">
        <f t="shared" si="8"/>
        <v>19787618</v>
      </c>
      <c r="K29" s="241">
        <f t="shared" si="8"/>
        <v>27049945</v>
      </c>
      <c r="L29" s="241">
        <f>+K31</f>
        <v>25906580</v>
      </c>
      <c r="M29" s="241">
        <f>+L31</f>
        <v>24576746</v>
      </c>
      <c r="N29" s="241"/>
    </row>
    <row r="30" spans="1:18" s="235" customFormat="1" ht="47.25" x14ac:dyDescent="0.25">
      <c r="A30" s="240" t="s">
        <v>670</v>
      </c>
      <c r="B30" s="241">
        <f t="shared" ref="B30:C30" si="9">+B16-B27</f>
        <v>-1739211</v>
      </c>
      <c r="C30" s="241">
        <f t="shared" si="9"/>
        <v>280926</v>
      </c>
      <c r="D30" s="241">
        <f>+D16-D27-D13</f>
        <v>4622044</v>
      </c>
      <c r="E30" s="241">
        <f t="shared" ref="E30:M30" si="10">+E16-E27-E13</f>
        <v>4652268</v>
      </c>
      <c r="F30" s="241">
        <f t="shared" si="10"/>
        <v>-1432972</v>
      </c>
      <c r="G30" s="241">
        <f t="shared" si="10"/>
        <v>-1028263</v>
      </c>
      <c r="H30" s="241">
        <f t="shared" si="10"/>
        <v>-2028671</v>
      </c>
      <c r="I30" s="241">
        <f t="shared" si="10"/>
        <v>-1952925</v>
      </c>
      <c r="J30" s="241">
        <f t="shared" si="10"/>
        <v>7262327</v>
      </c>
      <c r="K30" s="241">
        <f t="shared" si="10"/>
        <v>-1143365</v>
      </c>
      <c r="L30" s="241">
        <f t="shared" si="10"/>
        <v>-1329834</v>
      </c>
      <c r="M30" s="241">
        <f t="shared" si="10"/>
        <v>-24404497</v>
      </c>
      <c r="N30" s="241"/>
    </row>
    <row r="31" spans="1:18" s="235" customFormat="1" ht="47.25" x14ac:dyDescent="0.25">
      <c r="A31" s="240" t="s">
        <v>671</v>
      </c>
      <c r="B31" s="241">
        <f t="shared" ref="B31:M31" si="11">+B29+B30</f>
        <v>16675211</v>
      </c>
      <c r="C31" s="241">
        <f t="shared" si="11"/>
        <v>16956137</v>
      </c>
      <c r="D31" s="241">
        <f t="shared" si="11"/>
        <v>21578181</v>
      </c>
      <c r="E31" s="241">
        <f t="shared" si="11"/>
        <v>26230449</v>
      </c>
      <c r="F31" s="241">
        <f t="shared" si="11"/>
        <v>24797477</v>
      </c>
      <c r="G31" s="241">
        <f t="shared" si="11"/>
        <v>23769214</v>
      </c>
      <c r="H31" s="241">
        <f t="shared" si="11"/>
        <v>21740543</v>
      </c>
      <c r="I31" s="241">
        <f t="shared" si="11"/>
        <v>19787618</v>
      </c>
      <c r="J31" s="241">
        <f>+J29+J30</f>
        <v>27049945</v>
      </c>
      <c r="K31" s="241">
        <f t="shared" si="11"/>
        <v>25906580</v>
      </c>
      <c r="L31" s="241">
        <f t="shared" si="11"/>
        <v>24576746</v>
      </c>
      <c r="M31" s="241">
        <f t="shared" si="11"/>
        <v>172249</v>
      </c>
      <c r="N31" s="242"/>
    </row>
    <row r="32" spans="1:18" s="235" customFormat="1" x14ac:dyDescent="0.25">
      <c r="A32" s="222"/>
    </row>
    <row r="33" spans="1:16" x14ac:dyDescent="0.25">
      <c r="B33" s="243"/>
      <c r="C33" s="243"/>
      <c r="D33" s="243"/>
      <c r="E33" s="243"/>
      <c r="F33" s="243"/>
      <c r="G33" s="243"/>
      <c r="H33" s="243"/>
      <c r="I33" s="243"/>
      <c r="J33" s="243"/>
      <c r="K33" s="243"/>
      <c r="L33" s="243"/>
      <c r="M33" s="243"/>
      <c r="N33" s="243"/>
    </row>
    <row r="34" spans="1:16" x14ac:dyDescent="0.25">
      <c r="A34" s="222" t="s">
        <v>572</v>
      </c>
    </row>
    <row r="38" spans="1:16" s="235" customFormat="1" x14ac:dyDescent="0.25">
      <c r="A38" s="232"/>
      <c r="B38" s="243"/>
      <c r="C38" s="243"/>
      <c r="D38" s="243"/>
      <c r="E38" s="243"/>
      <c r="F38" s="243"/>
      <c r="G38" s="243"/>
      <c r="H38" s="243"/>
      <c r="I38" s="243"/>
      <c r="J38" s="243"/>
      <c r="K38" s="243"/>
      <c r="L38" s="243"/>
      <c r="M38" s="243"/>
      <c r="N38" s="243"/>
      <c r="P38" s="222"/>
    </row>
    <row r="40" spans="1:16" s="235" customFormat="1" x14ac:dyDescent="0.25">
      <c r="A40" s="244"/>
      <c r="B40" s="245"/>
      <c r="C40" s="245"/>
      <c r="D40" s="245"/>
      <c r="E40" s="245"/>
      <c r="F40" s="245"/>
      <c r="H40" s="245"/>
      <c r="I40" s="245"/>
      <c r="J40" s="245"/>
      <c r="K40" s="245"/>
      <c r="L40" s="245"/>
      <c r="M40" s="245"/>
      <c r="N40" s="245"/>
      <c r="P40" s="222"/>
    </row>
  </sheetData>
  <pageMargins left="0.78740157480314965" right="0.51181102362204722" top="0.74803149606299213" bottom="0.35433070866141736" header="0.31496062992125984" footer="0.31496062992125984"/>
  <pageSetup paperSize="9" scale="63" orientation="landscape" r:id="rId1"/>
  <headerFooter>
    <oddHeader>&amp;C&amp;"Times New Roman CE,Félkövér"
2019. évi előirányzat-felhasználási terv 
(eFt-ban)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34C01-3CD3-457E-912A-87F6D53D6583}">
  <sheetPr>
    <tabColor rgb="FF00B0F0"/>
  </sheetPr>
  <dimension ref="A1:K34"/>
  <sheetViews>
    <sheetView zoomScale="90" zoomScaleNormal="9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G1" sqref="G1"/>
    </sheetView>
  </sheetViews>
  <sheetFormatPr defaultColWidth="8" defaultRowHeight="15.75" x14ac:dyDescent="0.25"/>
  <cols>
    <col min="1" max="1" width="53.375" style="305" bestFit="1" customWidth="1"/>
    <col min="2" max="2" width="12.125" style="305" customWidth="1"/>
    <col min="3" max="3" width="12.375" style="305" customWidth="1"/>
    <col min="4" max="4" width="12.125" style="305" customWidth="1"/>
    <col min="5" max="5" width="11.75" style="305" customWidth="1"/>
    <col min="6" max="6" width="13.625" style="305" customWidth="1"/>
    <col min="7" max="7" width="13.25" style="305" customWidth="1"/>
    <col min="8" max="8" width="8" style="332"/>
    <col min="9" max="9" width="8.875" style="305" bestFit="1" customWidth="1"/>
    <col min="10" max="16384" width="8" style="305"/>
  </cols>
  <sheetData>
    <row r="1" spans="1:9" x14ac:dyDescent="0.25">
      <c r="G1" s="325" t="s">
        <v>1296</v>
      </c>
    </row>
    <row r="2" spans="1:9" x14ac:dyDescent="0.25">
      <c r="G2" s="326" t="s">
        <v>894</v>
      </c>
    </row>
    <row r="3" spans="1:9" x14ac:dyDescent="0.25">
      <c r="G3" s="326" t="s">
        <v>887</v>
      </c>
    </row>
    <row r="4" spans="1:9" ht="16.5" thickBot="1" x14ac:dyDescent="0.3">
      <c r="G4" s="332"/>
    </row>
    <row r="5" spans="1:9" ht="33" thickTop="1" thickBot="1" x14ac:dyDescent="0.3">
      <c r="A5" s="303" t="s">
        <v>137</v>
      </c>
      <c r="B5" s="304" t="s">
        <v>845</v>
      </c>
      <c r="C5" s="304" t="s">
        <v>846</v>
      </c>
      <c r="D5" s="304" t="s">
        <v>847</v>
      </c>
      <c r="E5" s="304" t="s">
        <v>848</v>
      </c>
      <c r="F5" s="304" t="s">
        <v>849</v>
      </c>
      <c r="G5" s="304" t="s">
        <v>536</v>
      </c>
    </row>
    <row r="6" spans="1:9" ht="17.25" thickTop="1" thickBot="1" x14ac:dyDescent="0.3">
      <c r="A6" s="306" t="s">
        <v>138</v>
      </c>
      <c r="B6" s="307" t="s">
        <v>139</v>
      </c>
      <c r="C6" s="307" t="s">
        <v>140</v>
      </c>
      <c r="D6" s="307" t="s">
        <v>141</v>
      </c>
      <c r="E6" s="307" t="s">
        <v>142</v>
      </c>
      <c r="F6" s="307" t="s">
        <v>143</v>
      </c>
      <c r="G6" s="307" t="s">
        <v>850</v>
      </c>
    </row>
    <row r="7" spans="1:9" ht="16.5" thickTop="1" x14ac:dyDescent="0.25">
      <c r="A7" s="308"/>
      <c r="B7" s="309"/>
      <c r="C7" s="309"/>
      <c r="D7" s="309"/>
      <c r="E7" s="309"/>
      <c r="F7" s="309"/>
      <c r="G7" s="309"/>
    </row>
    <row r="8" spans="1:9" ht="31.5" x14ac:dyDescent="0.25">
      <c r="A8" s="202" t="s">
        <v>851</v>
      </c>
      <c r="B8" s="310"/>
      <c r="C8" s="310"/>
      <c r="D8" s="310"/>
      <c r="E8" s="310"/>
      <c r="F8" s="310"/>
      <c r="G8" s="311"/>
    </row>
    <row r="9" spans="1:9" x14ac:dyDescent="0.25">
      <c r="A9" s="204" t="s">
        <v>794</v>
      </c>
      <c r="B9" s="312">
        <v>5882</v>
      </c>
      <c r="C9" s="568"/>
      <c r="D9" s="312"/>
      <c r="E9" s="312"/>
      <c r="F9" s="312"/>
      <c r="G9" s="311">
        <f t="shared" ref="G9:G11" si="0">SUM(B9:F9)</f>
        <v>5882</v>
      </c>
      <c r="H9" s="567"/>
    </row>
    <row r="10" spans="1:9" x14ac:dyDescent="0.25">
      <c r="A10" s="204" t="s">
        <v>652</v>
      </c>
      <c r="B10" s="312">
        <v>19432</v>
      </c>
      <c r="C10" s="568"/>
      <c r="D10" s="312"/>
      <c r="E10" s="312"/>
      <c r="F10" s="312"/>
      <c r="G10" s="311">
        <f t="shared" si="0"/>
        <v>19432</v>
      </c>
      <c r="H10" s="567"/>
    </row>
    <row r="11" spans="1:9" x14ac:dyDescent="0.25">
      <c r="A11" s="204" t="s">
        <v>1060</v>
      </c>
      <c r="B11" s="312">
        <v>90005</v>
      </c>
      <c r="C11" s="312">
        <v>1827363</v>
      </c>
      <c r="D11" s="312"/>
      <c r="E11" s="312"/>
      <c r="F11" s="312"/>
      <c r="G11" s="311">
        <f t="shared" si="0"/>
        <v>1917368</v>
      </c>
      <c r="H11" s="567"/>
    </row>
    <row r="12" spans="1:9" x14ac:dyDescent="0.25">
      <c r="A12" s="204" t="s">
        <v>522</v>
      </c>
      <c r="B12" s="312">
        <v>1315137</v>
      </c>
      <c r="C12" s="312">
        <f>764021-500000</f>
        <v>264021</v>
      </c>
      <c r="D12" s="312">
        <f>369234-292498</f>
        <v>76736</v>
      </c>
      <c r="E12" s="312"/>
      <c r="F12" s="312"/>
      <c r="G12" s="311">
        <f t="shared" ref="G12:G18" si="1">SUM(B12:F12)</f>
        <v>1655894</v>
      </c>
      <c r="H12" s="567"/>
      <c r="I12" s="514"/>
    </row>
    <row r="13" spans="1:9" ht="31.5" x14ac:dyDescent="0.25">
      <c r="A13" s="204" t="s">
        <v>653</v>
      </c>
      <c r="B13" s="312">
        <v>308450</v>
      </c>
      <c r="C13" s="312">
        <v>399650</v>
      </c>
      <c r="D13" s="312"/>
      <c r="E13" s="312"/>
      <c r="F13" s="312"/>
      <c r="G13" s="311">
        <f t="shared" si="1"/>
        <v>708100</v>
      </c>
    </row>
    <row r="14" spans="1:9" ht="31.5" x14ac:dyDescent="0.25">
      <c r="A14" s="204" t="s">
        <v>1188</v>
      </c>
      <c r="B14" s="312">
        <f>96851+26445</f>
        <v>123296</v>
      </c>
      <c r="C14" s="312">
        <f>263321+79334</f>
        <v>342655</v>
      </c>
      <c r="D14" s="312"/>
      <c r="E14" s="312"/>
      <c r="F14" s="312"/>
      <c r="G14" s="311">
        <f t="shared" si="1"/>
        <v>465951</v>
      </c>
    </row>
    <row r="15" spans="1:9" x14ac:dyDescent="0.25">
      <c r="A15" s="204" t="s">
        <v>534</v>
      </c>
      <c r="B15" s="312">
        <f>860+188</f>
        <v>1048</v>
      </c>
      <c r="C15" s="312">
        <f>1037-188</f>
        <v>849</v>
      </c>
      <c r="D15" s="312"/>
      <c r="E15" s="312"/>
      <c r="F15" s="312"/>
      <c r="G15" s="311">
        <f t="shared" si="1"/>
        <v>1897</v>
      </c>
      <c r="H15" s="567"/>
    </row>
    <row r="16" spans="1:9" x14ac:dyDescent="0.25">
      <c r="A16" s="204" t="s">
        <v>1061</v>
      </c>
      <c r="B16" s="312">
        <v>11987</v>
      </c>
      <c r="C16" s="312">
        <v>13472</v>
      </c>
      <c r="D16" s="312">
        <v>9567</v>
      </c>
      <c r="E16" s="312">
        <v>1265</v>
      </c>
      <c r="F16" s="312"/>
      <c r="G16" s="311">
        <f t="shared" si="1"/>
        <v>36291</v>
      </c>
    </row>
    <row r="17" spans="1:11" x14ac:dyDescent="0.25">
      <c r="A17" s="204" t="s">
        <v>1062</v>
      </c>
      <c r="B17" s="312">
        <v>14874212</v>
      </c>
      <c r="C17" s="312">
        <v>635000</v>
      </c>
      <c r="D17" s="312"/>
      <c r="E17" s="312"/>
      <c r="F17" s="312"/>
      <c r="G17" s="311">
        <f t="shared" si="1"/>
        <v>15509212</v>
      </c>
    </row>
    <row r="18" spans="1:11" x14ac:dyDescent="0.25">
      <c r="A18" s="204" t="s">
        <v>647</v>
      </c>
      <c r="B18" s="312">
        <v>135282</v>
      </c>
      <c r="C18" s="312">
        <v>149803</v>
      </c>
      <c r="D18" s="312"/>
      <c r="E18" s="312"/>
      <c r="F18" s="312"/>
      <c r="G18" s="311">
        <f t="shared" si="1"/>
        <v>285085</v>
      </c>
      <c r="H18" s="567"/>
    </row>
    <row r="19" spans="1:11" ht="16.5" customHeight="1" x14ac:dyDescent="0.25">
      <c r="A19" s="204" t="s">
        <v>1063</v>
      </c>
      <c r="B19" s="312">
        <f>229083+18464+21005</f>
        <v>268552</v>
      </c>
      <c r="C19" s="312">
        <f>2988825-21005+785</f>
        <v>2968605</v>
      </c>
      <c r="D19" s="312"/>
      <c r="E19" s="312"/>
      <c r="F19" s="312"/>
      <c r="G19" s="311">
        <f>SUM(B19:F19)</f>
        <v>3237157</v>
      </c>
      <c r="I19" s="514"/>
    </row>
    <row r="20" spans="1:11" x14ac:dyDescent="0.25">
      <c r="A20" s="204" t="s">
        <v>852</v>
      </c>
      <c r="B20" s="312">
        <f>196844+4758</f>
        <v>201602</v>
      </c>
      <c r="C20" s="312">
        <f>130824-4758</f>
        <v>126066</v>
      </c>
      <c r="D20" s="312"/>
      <c r="E20" s="312"/>
      <c r="F20" s="312"/>
      <c r="G20" s="311">
        <f>SUM(B20:F20)</f>
        <v>327668</v>
      </c>
    </row>
    <row r="21" spans="1:11" x14ac:dyDescent="0.25">
      <c r="A21" s="204" t="s">
        <v>523</v>
      </c>
      <c r="B21" s="312">
        <f>293313+10040</f>
        <v>303353</v>
      </c>
      <c r="C21" s="312">
        <f>935166-10040</f>
        <v>925126</v>
      </c>
      <c r="D21" s="312"/>
      <c r="E21" s="312"/>
      <c r="F21" s="312"/>
      <c r="G21" s="311">
        <f>SUM(B21:F21)</f>
        <v>1228479</v>
      </c>
    </row>
    <row r="22" spans="1:11" ht="16.5" thickBot="1" x14ac:dyDescent="0.3">
      <c r="A22" s="204" t="s">
        <v>1140</v>
      </c>
      <c r="B22" s="312">
        <v>200000</v>
      </c>
      <c r="C22" s="312">
        <v>900000</v>
      </c>
      <c r="D22" s="312">
        <v>900000</v>
      </c>
      <c r="E22" s="312"/>
      <c r="F22" s="312"/>
      <c r="G22" s="311">
        <f t="shared" ref="G22" si="2">SUM(B22:F22)</f>
        <v>2000000</v>
      </c>
    </row>
    <row r="23" spans="1:11" ht="33" thickTop="1" thickBot="1" x14ac:dyDescent="0.3">
      <c r="A23" s="313" t="s">
        <v>853</v>
      </c>
      <c r="B23" s="314">
        <f t="shared" ref="B23:G23" si="3">SUM(B9:B22)</f>
        <v>17858238</v>
      </c>
      <c r="C23" s="314">
        <f t="shared" si="3"/>
        <v>8552610</v>
      </c>
      <c r="D23" s="314">
        <f t="shared" si="3"/>
        <v>986303</v>
      </c>
      <c r="E23" s="314">
        <f t="shared" si="3"/>
        <v>1265</v>
      </c>
      <c r="F23" s="314">
        <f t="shared" si="3"/>
        <v>0</v>
      </c>
      <c r="G23" s="314">
        <f t="shared" si="3"/>
        <v>27398416</v>
      </c>
    </row>
    <row r="24" spans="1:11" ht="16.5" thickTop="1" x14ac:dyDescent="0.25">
      <c r="A24" s="315"/>
      <c r="B24" s="316"/>
      <c r="C24" s="316"/>
      <c r="D24" s="316"/>
      <c r="E24" s="316"/>
      <c r="F24" s="316"/>
      <c r="G24" s="316"/>
    </row>
    <row r="25" spans="1:11" x14ac:dyDescent="0.25">
      <c r="A25" s="308" t="s">
        <v>854</v>
      </c>
      <c r="B25" s="309"/>
      <c r="C25" s="309"/>
      <c r="D25" s="309"/>
      <c r="E25" s="309"/>
      <c r="F25" s="309"/>
      <c r="G25" s="309"/>
      <c r="K25" s="514"/>
    </row>
    <row r="26" spans="1:11" ht="31.5" x14ac:dyDescent="0.25">
      <c r="A26" s="317" t="s">
        <v>855</v>
      </c>
      <c r="B26" s="310">
        <v>22225</v>
      </c>
      <c r="C26" s="310">
        <v>22225</v>
      </c>
      <c r="D26" s="310">
        <v>22225</v>
      </c>
      <c r="E26" s="310">
        <v>22225</v>
      </c>
      <c r="F26" s="310"/>
      <c r="G26" s="311">
        <f>SUM(B26:F26)</f>
        <v>88900</v>
      </c>
      <c r="K26" s="514"/>
    </row>
    <row r="27" spans="1:11" ht="50.25" customHeight="1" thickBot="1" x14ac:dyDescent="0.3">
      <c r="A27" s="199" t="s">
        <v>950</v>
      </c>
      <c r="B27" s="310">
        <v>325970</v>
      </c>
      <c r="C27" s="310">
        <v>979317</v>
      </c>
      <c r="D27" s="310">
        <v>194713</v>
      </c>
      <c r="E27" s="310"/>
      <c r="F27" s="310"/>
      <c r="G27" s="311">
        <f>SUM(B27:F27)</f>
        <v>1500000</v>
      </c>
    </row>
    <row r="28" spans="1:11" ht="17.25" thickTop="1" thickBot="1" x14ac:dyDescent="0.3">
      <c r="A28" s="313" t="s">
        <v>856</v>
      </c>
      <c r="B28" s="314">
        <f>SUM(B26:B27)</f>
        <v>348195</v>
      </c>
      <c r="C28" s="314">
        <f t="shared" ref="C28:G28" si="4">SUM(C26:C27)</f>
        <v>1001542</v>
      </c>
      <c r="D28" s="314">
        <f t="shared" si="4"/>
        <v>216938</v>
      </c>
      <c r="E28" s="314">
        <f t="shared" si="4"/>
        <v>22225</v>
      </c>
      <c r="F28" s="314">
        <f t="shared" si="4"/>
        <v>0</v>
      </c>
      <c r="G28" s="314">
        <f t="shared" si="4"/>
        <v>1588900</v>
      </c>
    </row>
    <row r="29" spans="1:11" ht="16.5" thickTop="1" x14ac:dyDescent="0.25">
      <c r="A29" s="315"/>
      <c r="B29" s="316"/>
      <c r="C29" s="316"/>
      <c r="D29" s="316"/>
      <c r="E29" s="316"/>
      <c r="F29" s="316"/>
      <c r="G29" s="316"/>
    </row>
    <row r="30" spans="1:11" x14ac:dyDescent="0.25">
      <c r="A30" s="318" t="s">
        <v>857</v>
      </c>
      <c r="B30" s="310"/>
      <c r="C30" s="310"/>
      <c r="D30" s="310"/>
      <c r="E30" s="310"/>
      <c r="F30" s="310"/>
      <c r="G30" s="311"/>
    </row>
    <row r="31" spans="1:11" ht="32.25" thickBot="1" x14ac:dyDescent="0.3">
      <c r="A31" s="319" t="s">
        <v>858</v>
      </c>
      <c r="B31" s="320">
        <v>63000</v>
      </c>
      <c r="C31" s="320">
        <v>63000</v>
      </c>
      <c r="D31" s="320">
        <v>63000</v>
      </c>
      <c r="E31" s="320">
        <v>63000</v>
      </c>
      <c r="F31" s="320"/>
      <c r="G31" s="311">
        <f>SUM(B31:F31)</f>
        <v>252000</v>
      </c>
    </row>
    <row r="32" spans="1:11" ht="33" thickTop="1" thickBot="1" x14ac:dyDescent="0.3">
      <c r="A32" s="313" t="s">
        <v>859</v>
      </c>
      <c r="B32" s="314">
        <f t="shared" ref="B32:G32" si="5">SUM(B31:B31)</f>
        <v>63000</v>
      </c>
      <c r="C32" s="314">
        <f t="shared" si="5"/>
        <v>63000</v>
      </c>
      <c r="D32" s="314">
        <f t="shared" si="5"/>
        <v>63000</v>
      </c>
      <c r="E32" s="314">
        <f t="shared" si="5"/>
        <v>63000</v>
      </c>
      <c r="F32" s="314">
        <f t="shared" si="5"/>
        <v>0</v>
      </c>
      <c r="G32" s="314">
        <f t="shared" si="5"/>
        <v>252000</v>
      </c>
    </row>
    <row r="33" spans="1:7" ht="17.25" thickTop="1" thickBot="1" x14ac:dyDescent="0.3">
      <c r="A33" s="321" t="s">
        <v>536</v>
      </c>
      <c r="B33" s="322">
        <f>SUM(B23,B28,B32)</f>
        <v>18269433</v>
      </c>
      <c r="C33" s="322">
        <f>SUM(C23,C28,C32)</f>
        <v>9617152</v>
      </c>
      <c r="D33" s="322">
        <f>SUM(D23,D28,D32)</f>
        <v>1266241</v>
      </c>
      <c r="E33" s="322">
        <f>SUM(E23,E28,E32)</f>
        <v>86490</v>
      </c>
      <c r="F33" s="322">
        <f t="shared" ref="F33" si="6">SUM(F23,F28,F32)</f>
        <v>0</v>
      </c>
      <c r="G33" s="322">
        <f>SUM(G23,G28,G32)</f>
        <v>29239316</v>
      </c>
    </row>
    <row r="34" spans="1:7" ht="16.5" thickTop="1" x14ac:dyDescent="0.25">
      <c r="G34" s="323"/>
    </row>
  </sheetData>
  <pageMargins left="0.31496062992125984" right="0.31496062992125984" top="1.3385826771653544" bottom="0.74803149606299213" header="0.31496062992125984" footer="0.31496062992125984"/>
  <pageSetup paperSize="9" scale="69" orientation="portrait" r:id="rId1"/>
  <headerFooter>
    <oddHeader>&amp;C&amp;"Times New Roman CE,Félkövér"
Több éves kihatással járó jelentősebb döntések
(eFt-ban)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698CC-8989-4E6C-A92C-903B5C804319}">
  <sheetPr>
    <tabColor rgb="FF00B0F0"/>
  </sheetPr>
  <dimension ref="A1:AD52"/>
  <sheetViews>
    <sheetView zoomScale="90" zoomScaleNormal="90" zoomScaleSheetLayoutView="100" workbookViewId="0">
      <pane xSplit="4" ySplit="7" topLeftCell="Q8" activePane="bottomRight" state="frozen"/>
      <selection activeCell="C35" sqref="C35"/>
      <selection pane="topRight" activeCell="C35" sqref="C35"/>
      <selection pane="bottomLeft" activeCell="C35" sqref="C35"/>
      <selection pane="bottomRight" activeCell="AB1" sqref="AB1"/>
    </sheetView>
  </sheetViews>
  <sheetFormatPr defaultRowHeight="12.75" x14ac:dyDescent="0.2"/>
  <cols>
    <col min="1" max="1" width="4.375" style="575" customWidth="1"/>
    <col min="2" max="2" width="26" style="894" customWidth="1"/>
    <col min="3" max="3" width="14.25" style="894" customWidth="1"/>
    <col min="4" max="4" width="18.625" style="575" customWidth="1"/>
    <col min="5" max="5" width="8.125" style="575" customWidth="1"/>
    <col min="6" max="6" width="8.625" style="575" customWidth="1"/>
    <col min="7" max="7" width="9" style="575" customWidth="1"/>
    <col min="8" max="8" width="9.875" style="575" customWidth="1"/>
    <col min="9" max="9" width="8.625" style="575" customWidth="1"/>
    <col min="10" max="10" width="9" style="575" customWidth="1"/>
    <col min="11" max="11" width="8.125" style="575" customWidth="1"/>
    <col min="12" max="12" width="8.625" style="575" customWidth="1"/>
    <col min="13" max="13" width="9" style="575" customWidth="1"/>
    <col min="14" max="14" width="8.125" style="575" customWidth="1"/>
    <col min="15" max="15" width="8.625" style="575" customWidth="1"/>
    <col min="16" max="16" width="9" style="575" customWidth="1"/>
    <col min="17" max="17" width="8.125" style="575" customWidth="1"/>
    <col min="18" max="18" width="8.625" style="575" customWidth="1"/>
    <col min="19" max="19" width="9" style="575" customWidth="1"/>
    <col min="20" max="20" width="8.125" style="575" customWidth="1"/>
    <col min="21" max="21" width="8.625" style="575" customWidth="1"/>
    <col min="22" max="22" width="9" style="575" customWidth="1"/>
    <col min="23" max="23" width="8.125" style="575" customWidth="1"/>
    <col min="24" max="24" width="8.625" style="575" customWidth="1"/>
    <col min="25" max="25" width="9" style="575" customWidth="1"/>
    <col min="26" max="26" width="8.125" style="575" customWidth="1"/>
    <col min="27" max="27" width="8.625" style="575" customWidth="1"/>
    <col min="28" max="28" width="9" style="575" customWidth="1"/>
    <col min="29" max="16384" width="9" style="575"/>
  </cols>
  <sheetData>
    <row r="1" spans="1:30" x14ac:dyDescent="0.2">
      <c r="P1" s="895" t="s">
        <v>1297</v>
      </c>
      <c r="AB1" s="895" t="s">
        <v>1297</v>
      </c>
    </row>
    <row r="2" spans="1:30" x14ac:dyDescent="0.2">
      <c r="P2" s="896" t="s">
        <v>1141</v>
      </c>
      <c r="AB2" s="896" t="s">
        <v>1141</v>
      </c>
    </row>
    <row r="3" spans="1:30" x14ac:dyDescent="0.2">
      <c r="P3" s="897" t="s">
        <v>1142</v>
      </c>
      <c r="AB3" s="897" t="s">
        <v>1142</v>
      </c>
    </row>
    <row r="5" spans="1:30" ht="12.75" customHeight="1" thickBot="1" x14ac:dyDescent="0.25"/>
    <row r="6" spans="1:30" s="898" customFormat="1" ht="15.75" customHeight="1" thickBot="1" x14ac:dyDescent="0.25">
      <c r="A6" s="1055" t="s">
        <v>964</v>
      </c>
      <c r="B6" s="1057" t="s">
        <v>1143</v>
      </c>
      <c r="C6" s="1057" t="s">
        <v>1144</v>
      </c>
      <c r="D6" s="1057" t="s">
        <v>1145</v>
      </c>
      <c r="E6" s="1052" t="s">
        <v>1146</v>
      </c>
      <c r="F6" s="1053"/>
      <c r="G6" s="1054"/>
      <c r="H6" s="1052" t="s">
        <v>1147</v>
      </c>
      <c r="I6" s="1053"/>
      <c r="J6" s="1054"/>
      <c r="K6" s="1052" t="s">
        <v>1148</v>
      </c>
      <c r="L6" s="1053"/>
      <c r="M6" s="1054"/>
      <c r="N6" s="1052" t="s">
        <v>1149</v>
      </c>
      <c r="O6" s="1053"/>
      <c r="P6" s="1054"/>
      <c r="Q6" s="1052" t="s">
        <v>1150</v>
      </c>
      <c r="R6" s="1053"/>
      <c r="S6" s="1054"/>
      <c r="T6" s="1052" t="s">
        <v>1151</v>
      </c>
      <c r="U6" s="1053"/>
      <c r="V6" s="1054"/>
      <c r="W6" s="1052" t="s">
        <v>1152</v>
      </c>
      <c r="X6" s="1053"/>
      <c r="Y6" s="1054"/>
      <c r="Z6" s="1052" t="s">
        <v>1153</v>
      </c>
      <c r="AA6" s="1053"/>
      <c r="AB6" s="1054"/>
    </row>
    <row r="7" spans="1:30" s="901" customFormat="1" ht="45.75" customHeight="1" thickBot="1" x14ac:dyDescent="0.25">
      <c r="A7" s="1056"/>
      <c r="B7" s="1058"/>
      <c r="C7" s="1059"/>
      <c r="D7" s="1059"/>
      <c r="E7" s="899" t="s">
        <v>1154</v>
      </c>
      <c r="F7" s="900" t="s">
        <v>1155</v>
      </c>
      <c r="G7" s="900" t="s">
        <v>144</v>
      </c>
      <c r="H7" s="899" t="s">
        <v>1154</v>
      </c>
      <c r="I7" s="900" t="s">
        <v>1155</v>
      </c>
      <c r="J7" s="900" t="s">
        <v>144</v>
      </c>
      <c r="K7" s="899" t="s">
        <v>1154</v>
      </c>
      <c r="L7" s="900" t="s">
        <v>1155</v>
      </c>
      <c r="M7" s="900" t="s">
        <v>144</v>
      </c>
      <c r="N7" s="899" t="s">
        <v>1154</v>
      </c>
      <c r="O7" s="900" t="s">
        <v>1155</v>
      </c>
      <c r="P7" s="900" t="s">
        <v>144</v>
      </c>
      <c r="Q7" s="899" t="s">
        <v>1154</v>
      </c>
      <c r="R7" s="900" t="s">
        <v>1155</v>
      </c>
      <c r="S7" s="900" t="s">
        <v>144</v>
      </c>
      <c r="T7" s="899" t="s">
        <v>1154</v>
      </c>
      <c r="U7" s="900" t="s">
        <v>1155</v>
      </c>
      <c r="V7" s="900" t="s">
        <v>144</v>
      </c>
      <c r="W7" s="899" t="s">
        <v>1154</v>
      </c>
      <c r="X7" s="900" t="s">
        <v>1155</v>
      </c>
      <c r="Y7" s="900" t="s">
        <v>144</v>
      </c>
      <c r="Z7" s="899" t="s">
        <v>1154</v>
      </c>
      <c r="AA7" s="900" t="s">
        <v>1155</v>
      </c>
      <c r="AB7" s="900" t="s">
        <v>144</v>
      </c>
    </row>
    <row r="8" spans="1:30" x14ac:dyDescent="0.2">
      <c r="A8" s="569" t="s">
        <v>145</v>
      </c>
      <c r="B8" s="570" t="s">
        <v>520</v>
      </c>
      <c r="C8" s="902" t="s">
        <v>1156</v>
      </c>
      <c r="D8" s="572">
        <v>56689</v>
      </c>
      <c r="E8" s="572"/>
      <c r="F8" s="572"/>
      <c r="G8" s="573">
        <f t="shared" ref="G8:G45" si="0">SUM(E8:F8)</f>
        <v>0</v>
      </c>
      <c r="H8" s="572">
        <v>162</v>
      </c>
      <c r="I8" s="572"/>
      <c r="J8" s="573">
        <f t="shared" ref="J8:J45" si="1">SUM(H8:I8)</f>
        <v>162</v>
      </c>
      <c r="K8" s="572">
        <v>53702</v>
      </c>
      <c r="L8" s="572"/>
      <c r="M8" s="573">
        <f t="shared" ref="M8:M45" si="2">SUM(K8:L8)</f>
        <v>53702</v>
      </c>
      <c r="N8" s="572"/>
      <c r="O8" s="572"/>
      <c r="P8" s="573">
        <f t="shared" ref="P8:P45" si="3">SUM(N8:O8)</f>
        <v>0</v>
      </c>
      <c r="Q8" s="572">
        <v>536</v>
      </c>
      <c r="R8" s="572"/>
      <c r="S8" s="573">
        <f t="shared" ref="S8:S45" si="4">SUM(Q8:R8)</f>
        <v>536</v>
      </c>
      <c r="T8" s="572"/>
      <c r="U8" s="572"/>
      <c r="V8" s="573">
        <f t="shared" ref="V8:V45" si="5">SUM(T8:U8)</f>
        <v>0</v>
      </c>
      <c r="W8" s="572"/>
      <c r="X8" s="572"/>
      <c r="Y8" s="573">
        <f t="shared" ref="Y8:Y45" si="6">SUM(W8:X8)</f>
        <v>0</v>
      </c>
      <c r="Z8" s="572"/>
      <c r="AA8" s="572"/>
      <c r="AB8" s="573">
        <f t="shared" ref="AB8:AB29" si="7">SUM(Z8:AA8)</f>
        <v>0</v>
      </c>
      <c r="AC8" s="574"/>
      <c r="AD8" s="574"/>
    </row>
    <row r="9" spans="1:30" x14ac:dyDescent="0.2">
      <c r="A9" s="903" t="s">
        <v>146</v>
      </c>
      <c r="B9" s="904" t="s">
        <v>1157</v>
      </c>
      <c r="C9" s="902" t="s">
        <v>1156</v>
      </c>
      <c r="D9" s="905">
        <v>488650</v>
      </c>
      <c r="E9" s="906"/>
      <c r="F9" s="906"/>
      <c r="G9" s="573">
        <f t="shared" si="0"/>
        <v>0</v>
      </c>
      <c r="H9" s="906">
        <v>29716</v>
      </c>
      <c r="I9" s="906"/>
      <c r="J9" s="573">
        <f t="shared" si="1"/>
        <v>29716</v>
      </c>
      <c r="K9" s="906">
        <v>177611</v>
      </c>
      <c r="L9" s="906"/>
      <c r="M9" s="573">
        <f t="shared" si="2"/>
        <v>177611</v>
      </c>
      <c r="N9" s="906">
        <v>177894</v>
      </c>
      <c r="O9" s="906">
        <v>0</v>
      </c>
      <c r="P9" s="573">
        <f t="shared" si="3"/>
        <v>177894</v>
      </c>
      <c r="Q9" s="906">
        <v>102714</v>
      </c>
      <c r="R9" s="906"/>
      <c r="S9" s="573">
        <f t="shared" si="4"/>
        <v>102714</v>
      </c>
      <c r="T9" s="906"/>
      <c r="U9" s="906"/>
      <c r="V9" s="573">
        <f t="shared" si="5"/>
        <v>0</v>
      </c>
      <c r="W9" s="906"/>
      <c r="X9" s="906"/>
      <c r="Y9" s="573">
        <f t="shared" si="6"/>
        <v>0</v>
      </c>
      <c r="Z9" s="906"/>
      <c r="AA9" s="906"/>
      <c r="AB9" s="573">
        <f t="shared" si="7"/>
        <v>0</v>
      </c>
      <c r="AC9" s="574"/>
      <c r="AD9" s="574"/>
    </row>
    <row r="10" spans="1:30" x14ac:dyDescent="0.2">
      <c r="A10" s="569" t="s">
        <v>147</v>
      </c>
      <c r="B10" s="570" t="s">
        <v>1158</v>
      </c>
      <c r="C10" s="902" t="s">
        <v>1156</v>
      </c>
      <c r="D10" s="572">
        <v>188332</v>
      </c>
      <c r="E10" s="572"/>
      <c r="F10" s="572"/>
      <c r="G10" s="573">
        <f t="shared" si="0"/>
        <v>0</v>
      </c>
      <c r="H10" s="572">
        <v>111331</v>
      </c>
      <c r="I10" s="572"/>
      <c r="J10" s="573">
        <f t="shared" si="1"/>
        <v>111331</v>
      </c>
      <c r="K10" s="572"/>
      <c r="L10" s="572"/>
      <c r="M10" s="573">
        <f t="shared" si="2"/>
        <v>0</v>
      </c>
      <c r="N10" s="572">
        <v>76216</v>
      </c>
      <c r="O10" s="572"/>
      <c r="P10" s="573">
        <f t="shared" si="3"/>
        <v>76216</v>
      </c>
      <c r="Q10" s="572">
        <v>785</v>
      </c>
      <c r="R10" s="572"/>
      <c r="S10" s="573">
        <f t="shared" si="4"/>
        <v>785</v>
      </c>
      <c r="T10" s="572"/>
      <c r="U10" s="572"/>
      <c r="V10" s="573">
        <f t="shared" si="5"/>
        <v>0</v>
      </c>
      <c r="W10" s="572"/>
      <c r="X10" s="572"/>
      <c r="Y10" s="573">
        <f t="shared" si="6"/>
        <v>0</v>
      </c>
      <c r="Z10" s="572"/>
      <c r="AA10" s="572"/>
      <c r="AB10" s="573">
        <f t="shared" si="7"/>
        <v>0</v>
      </c>
      <c r="AC10" s="574"/>
      <c r="AD10" s="574"/>
    </row>
    <row r="11" spans="1:30" ht="63.75" x14ac:dyDescent="0.2">
      <c r="A11" s="569" t="s">
        <v>148</v>
      </c>
      <c r="B11" s="570" t="s">
        <v>1159</v>
      </c>
      <c r="C11" s="571" t="s">
        <v>1156</v>
      </c>
      <c r="D11" s="572">
        <v>394000</v>
      </c>
      <c r="E11" s="572"/>
      <c r="F11" s="572"/>
      <c r="G11" s="573">
        <f t="shared" si="0"/>
        <v>0</v>
      </c>
      <c r="H11" s="572">
        <v>220246</v>
      </c>
      <c r="I11" s="572"/>
      <c r="J11" s="573">
        <f t="shared" si="1"/>
        <v>220246</v>
      </c>
      <c r="K11" s="572"/>
      <c r="L11" s="572"/>
      <c r="M11" s="573">
        <f t="shared" si="2"/>
        <v>0</v>
      </c>
      <c r="N11" s="572">
        <v>166661</v>
      </c>
      <c r="O11" s="572"/>
      <c r="P11" s="573">
        <f t="shared" si="3"/>
        <v>166661</v>
      </c>
      <c r="Q11" s="572">
        <v>0</v>
      </c>
      <c r="R11" s="572"/>
      <c r="S11" s="573">
        <f t="shared" si="4"/>
        <v>0</v>
      </c>
      <c r="T11" s="572">
        <v>4355</v>
      </c>
      <c r="U11" s="572"/>
      <c r="V11" s="573">
        <f t="shared" si="5"/>
        <v>4355</v>
      </c>
      <c r="W11" s="572"/>
      <c r="X11" s="572"/>
      <c r="Y11" s="573">
        <f t="shared" si="6"/>
        <v>0</v>
      </c>
      <c r="Z11" s="572"/>
      <c r="AA11" s="572"/>
      <c r="AB11" s="573">
        <f t="shared" si="7"/>
        <v>0</v>
      </c>
      <c r="AC11" s="574"/>
      <c r="AD11" s="574"/>
    </row>
    <row r="12" spans="1:30" ht="38.25" x14ac:dyDescent="0.2">
      <c r="A12" s="903" t="s">
        <v>149</v>
      </c>
      <c r="B12" s="570" t="s">
        <v>1160</v>
      </c>
      <c r="C12" s="571" t="s">
        <v>1156</v>
      </c>
      <c r="D12" s="572">
        <v>291199</v>
      </c>
      <c r="E12" s="572"/>
      <c r="F12" s="572"/>
      <c r="G12" s="573">
        <f t="shared" si="0"/>
        <v>0</v>
      </c>
      <c r="H12" s="572">
        <v>186423</v>
      </c>
      <c r="I12" s="572"/>
      <c r="J12" s="573">
        <f t="shared" si="1"/>
        <v>186423</v>
      </c>
      <c r="K12" s="572">
        <v>101667</v>
      </c>
      <c r="L12" s="572"/>
      <c r="M12" s="573">
        <f t="shared" si="2"/>
        <v>101667</v>
      </c>
      <c r="N12" s="572">
        <v>3093</v>
      </c>
      <c r="O12" s="572"/>
      <c r="P12" s="573">
        <f t="shared" si="3"/>
        <v>3093</v>
      </c>
      <c r="Q12" s="572">
        <v>0</v>
      </c>
      <c r="R12" s="572"/>
      <c r="S12" s="573">
        <f t="shared" si="4"/>
        <v>0</v>
      </c>
      <c r="T12" s="572">
        <v>16</v>
      </c>
      <c r="U12" s="572"/>
      <c r="V12" s="573">
        <f t="shared" si="5"/>
        <v>16</v>
      </c>
      <c r="W12" s="572"/>
      <c r="X12" s="572"/>
      <c r="Y12" s="573">
        <f t="shared" si="6"/>
        <v>0</v>
      </c>
      <c r="Z12" s="572"/>
      <c r="AA12" s="572"/>
      <c r="AB12" s="573">
        <f t="shared" si="7"/>
        <v>0</v>
      </c>
      <c r="AC12" s="574"/>
      <c r="AD12" s="574"/>
    </row>
    <row r="13" spans="1:30" ht="25.5" x14ac:dyDescent="0.2">
      <c r="A13" s="569" t="s">
        <v>150</v>
      </c>
      <c r="B13" s="904" t="s">
        <v>1179</v>
      </c>
      <c r="C13" s="902" t="s">
        <v>1156</v>
      </c>
      <c r="D13" s="905">
        <v>285086</v>
      </c>
      <c r="E13" s="905"/>
      <c r="F13" s="905"/>
      <c r="G13" s="573">
        <f t="shared" si="0"/>
        <v>0</v>
      </c>
      <c r="H13" s="905">
        <v>171433</v>
      </c>
      <c r="I13" s="905"/>
      <c r="J13" s="573">
        <f t="shared" si="1"/>
        <v>171433</v>
      </c>
      <c r="K13" s="905">
        <v>84001</v>
      </c>
      <c r="L13" s="905"/>
      <c r="M13" s="573">
        <f t="shared" si="2"/>
        <v>84001</v>
      </c>
      <c r="N13" s="905">
        <v>28497</v>
      </c>
      <c r="O13" s="905"/>
      <c r="P13" s="573">
        <f t="shared" si="3"/>
        <v>28497</v>
      </c>
      <c r="Q13" s="905">
        <v>1155</v>
      </c>
      <c r="R13" s="905"/>
      <c r="S13" s="573">
        <f t="shared" si="4"/>
        <v>1155</v>
      </c>
      <c r="T13" s="905"/>
      <c r="U13" s="905"/>
      <c r="V13" s="573">
        <f t="shared" si="5"/>
        <v>0</v>
      </c>
      <c r="W13" s="905"/>
      <c r="X13" s="905"/>
      <c r="Y13" s="573">
        <f t="shared" si="6"/>
        <v>0</v>
      </c>
      <c r="Z13" s="905"/>
      <c r="AA13" s="905"/>
      <c r="AB13" s="573">
        <f t="shared" si="7"/>
        <v>0</v>
      </c>
      <c r="AC13" s="574"/>
      <c r="AD13" s="574"/>
    </row>
    <row r="14" spans="1:30" ht="38.25" x14ac:dyDescent="0.2">
      <c r="A14" s="569" t="s">
        <v>151</v>
      </c>
      <c r="B14" s="570" t="s">
        <v>1161</v>
      </c>
      <c r="C14" s="571" t="s">
        <v>1156</v>
      </c>
      <c r="D14" s="572">
        <v>57872</v>
      </c>
      <c r="E14" s="572"/>
      <c r="F14" s="572"/>
      <c r="G14" s="573">
        <f t="shared" si="0"/>
        <v>0</v>
      </c>
      <c r="H14" s="572">
        <v>27000</v>
      </c>
      <c r="I14" s="572"/>
      <c r="J14" s="573">
        <f t="shared" si="1"/>
        <v>27000</v>
      </c>
      <c r="K14" s="572"/>
      <c r="L14" s="572"/>
      <c r="M14" s="573">
        <f t="shared" si="2"/>
        <v>0</v>
      </c>
      <c r="N14" s="572">
        <v>14847</v>
      </c>
      <c r="O14" s="572"/>
      <c r="P14" s="573">
        <f t="shared" si="3"/>
        <v>14847</v>
      </c>
      <c r="Q14" s="572">
        <v>0</v>
      </c>
      <c r="R14" s="572"/>
      <c r="S14" s="573">
        <f t="shared" si="4"/>
        <v>0</v>
      </c>
      <c r="T14" s="572">
        <v>15905</v>
      </c>
      <c r="U14" s="572"/>
      <c r="V14" s="573">
        <f t="shared" si="5"/>
        <v>15905</v>
      </c>
      <c r="W14" s="572"/>
      <c r="X14" s="572"/>
      <c r="Y14" s="573">
        <f t="shared" si="6"/>
        <v>0</v>
      </c>
      <c r="Z14" s="572"/>
      <c r="AA14" s="572"/>
      <c r="AB14" s="573">
        <f t="shared" si="7"/>
        <v>0</v>
      </c>
      <c r="AC14" s="574"/>
      <c r="AD14" s="574"/>
    </row>
    <row r="15" spans="1:30" x14ac:dyDescent="0.2">
      <c r="A15" s="903" t="s">
        <v>152</v>
      </c>
      <c r="B15" s="570" t="s">
        <v>1162</v>
      </c>
      <c r="C15" s="571" t="s">
        <v>1156</v>
      </c>
      <c r="D15" s="572">
        <v>187813</v>
      </c>
      <c r="E15" s="572"/>
      <c r="F15" s="572"/>
      <c r="G15" s="573">
        <f t="shared" si="0"/>
        <v>0</v>
      </c>
      <c r="H15" s="572">
        <v>129649</v>
      </c>
      <c r="I15" s="572"/>
      <c r="J15" s="573">
        <f t="shared" si="1"/>
        <v>129649</v>
      </c>
      <c r="K15" s="572"/>
      <c r="L15" s="572"/>
      <c r="M15" s="573">
        <f t="shared" si="2"/>
        <v>0</v>
      </c>
      <c r="N15" s="572">
        <v>55429</v>
      </c>
      <c r="O15" s="572"/>
      <c r="P15" s="573">
        <f t="shared" si="3"/>
        <v>55429</v>
      </c>
      <c r="Q15" s="572">
        <v>0</v>
      </c>
      <c r="R15" s="572"/>
      <c r="S15" s="573">
        <f t="shared" si="4"/>
        <v>0</v>
      </c>
      <c r="T15" s="572">
        <v>785</v>
      </c>
      <c r="U15" s="572"/>
      <c r="V15" s="573">
        <f t="shared" si="5"/>
        <v>785</v>
      </c>
      <c r="W15" s="572"/>
      <c r="X15" s="572"/>
      <c r="Y15" s="573">
        <f t="shared" si="6"/>
        <v>0</v>
      </c>
      <c r="Z15" s="572"/>
      <c r="AA15" s="572"/>
      <c r="AB15" s="573">
        <f t="shared" si="7"/>
        <v>0</v>
      </c>
      <c r="AC15" s="574"/>
      <c r="AD15" s="574"/>
    </row>
    <row r="16" spans="1:30" ht="38.25" x14ac:dyDescent="0.2">
      <c r="A16" s="569" t="s">
        <v>153</v>
      </c>
      <c r="B16" s="904" t="s">
        <v>641</v>
      </c>
      <c r="C16" s="902" t="s">
        <v>1164</v>
      </c>
      <c r="D16" s="905">
        <v>233659</v>
      </c>
      <c r="E16" s="905"/>
      <c r="F16" s="905"/>
      <c r="G16" s="573">
        <f t="shared" si="0"/>
        <v>0</v>
      </c>
      <c r="H16" s="905"/>
      <c r="I16" s="905"/>
      <c r="J16" s="573">
        <f t="shared" si="1"/>
        <v>0</v>
      </c>
      <c r="K16" s="905"/>
      <c r="L16" s="905">
        <v>24211</v>
      </c>
      <c r="M16" s="573">
        <f t="shared" si="2"/>
        <v>24211</v>
      </c>
      <c r="N16" s="905"/>
      <c r="O16" s="905">
        <v>209448</v>
      </c>
      <c r="P16" s="573">
        <f t="shared" si="3"/>
        <v>209448</v>
      </c>
      <c r="Q16" s="905"/>
      <c r="R16" s="905"/>
      <c r="S16" s="573">
        <f t="shared" si="4"/>
        <v>0</v>
      </c>
      <c r="T16" s="905"/>
      <c r="U16" s="905"/>
      <c r="V16" s="573">
        <f t="shared" si="5"/>
        <v>0</v>
      </c>
      <c r="W16" s="905"/>
      <c r="X16" s="905"/>
      <c r="Y16" s="573">
        <f t="shared" si="6"/>
        <v>0</v>
      </c>
      <c r="Z16" s="905"/>
      <c r="AA16" s="905"/>
      <c r="AB16" s="573">
        <f t="shared" si="7"/>
        <v>0</v>
      </c>
      <c r="AC16" s="574"/>
      <c r="AD16" s="574"/>
    </row>
    <row r="17" spans="1:30" x14ac:dyDescent="0.2">
      <c r="A17" s="569" t="s">
        <v>0</v>
      </c>
      <c r="B17" s="904" t="s">
        <v>1163</v>
      </c>
      <c r="C17" s="571" t="s">
        <v>1156</v>
      </c>
      <c r="D17" s="905">
        <v>162897</v>
      </c>
      <c r="E17" s="905"/>
      <c r="F17" s="905"/>
      <c r="G17" s="573">
        <f t="shared" si="0"/>
        <v>0</v>
      </c>
      <c r="H17" s="905"/>
      <c r="I17" s="905"/>
      <c r="J17" s="573">
        <f t="shared" si="1"/>
        <v>0</v>
      </c>
      <c r="K17" s="905"/>
      <c r="L17" s="905"/>
      <c r="M17" s="573">
        <f t="shared" si="2"/>
        <v>0</v>
      </c>
      <c r="N17" s="905">
        <v>98909</v>
      </c>
      <c r="O17" s="905"/>
      <c r="P17" s="573">
        <f t="shared" si="3"/>
        <v>98909</v>
      </c>
      <c r="Q17" s="905">
        <v>61075</v>
      </c>
      <c r="R17" s="905"/>
      <c r="S17" s="573">
        <f t="shared" si="4"/>
        <v>61075</v>
      </c>
      <c r="T17" s="905"/>
      <c r="U17" s="905"/>
      <c r="V17" s="573">
        <f t="shared" si="5"/>
        <v>0</v>
      </c>
      <c r="W17" s="905"/>
      <c r="X17" s="905"/>
      <c r="Y17" s="573">
        <f t="shared" si="6"/>
        <v>0</v>
      </c>
      <c r="Z17" s="905"/>
      <c r="AA17" s="905"/>
      <c r="AB17" s="573">
        <f t="shared" si="7"/>
        <v>0</v>
      </c>
      <c r="AC17" s="574"/>
      <c r="AD17" s="574"/>
    </row>
    <row r="18" spans="1:30" x14ac:dyDescent="0.2">
      <c r="A18" s="903" t="s">
        <v>1</v>
      </c>
      <c r="B18" s="904" t="s">
        <v>1180</v>
      </c>
      <c r="C18" s="902" t="s">
        <v>1164</v>
      </c>
      <c r="D18" s="905">
        <v>518089</v>
      </c>
      <c r="E18" s="906"/>
      <c r="F18" s="906"/>
      <c r="G18" s="573">
        <f t="shared" si="0"/>
        <v>0</v>
      </c>
      <c r="H18" s="906">
        <v>25900</v>
      </c>
      <c r="I18" s="906"/>
      <c r="J18" s="573">
        <f t="shared" si="1"/>
        <v>25900</v>
      </c>
      <c r="K18" s="906">
        <v>161758</v>
      </c>
      <c r="L18" s="906"/>
      <c r="M18" s="573">
        <f t="shared" si="2"/>
        <v>161758</v>
      </c>
      <c r="N18" s="906">
        <v>304442</v>
      </c>
      <c r="O18" s="906">
        <v>0</v>
      </c>
      <c r="P18" s="573">
        <f t="shared" si="3"/>
        <v>304442</v>
      </c>
      <c r="Q18" s="906">
        <v>0</v>
      </c>
      <c r="R18" s="906"/>
      <c r="S18" s="573">
        <f t="shared" si="4"/>
        <v>0</v>
      </c>
      <c r="T18" s="906">
        <v>25900</v>
      </c>
      <c r="U18" s="906"/>
      <c r="V18" s="573">
        <f t="shared" si="5"/>
        <v>25900</v>
      </c>
      <c r="W18" s="906"/>
      <c r="X18" s="906"/>
      <c r="Y18" s="573">
        <f t="shared" si="6"/>
        <v>0</v>
      </c>
      <c r="Z18" s="906"/>
      <c r="AA18" s="906"/>
      <c r="AB18" s="573">
        <f t="shared" si="7"/>
        <v>0</v>
      </c>
      <c r="AC18" s="574"/>
      <c r="AD18" s="574"/>
    </row>
    <row r="19" spans="1:30" x14ac:dyDescent="0.2">
      <c r="A19" s="569" t="s">
        <v>2</v>
      </c>
      <c r="B19" s="570" t="s">
        <v>1063</v>
      </c>
      <c r="C19" s="571" t="s">
        <v>1164</v>
      </c>
      <c r="D19" s="572">
        <v>7500000</v>
      </c>
      <c r="E19" s="572"/>
      <c r="F19" s="572"/>
      <c r="G19" s="573">
        <f t="shared" si="0"/>
        <v>0</v>
      </c>
      <c r="H19" s="572"/>
      <c r="I19" s="572"/>
      <c r="J19" s="573">
        <f t="shared" si="1"/>
        <v>0</v>
      </c>
      <c r="K19" s="572">
        <v>0</v>
      </c>
      <c r="L19" s="572"/>
      <c r="M19" s="573">
        <f t="shared" si="2"/>
        <v>0</v>
      </c>
      <c r="N19" s="572"/>
      <c r="O19" s="572"/>
      <c r="P19" s="573">
        <f t="shared" si="3"/>
        <v>0</v>
      </c>
      <c r="Q19" s="572">
        <v>0</v>
      </c>
      <c r="R19" s="572"/>
      <c r="S19" s="573">
        <f t="shared" si="4"/>
        <v>0</v>
      </c>
      <c r="T19" s="572">
        <v>2429118</v>
      </c>
      <c r="U19" s="572"/>
      <c r="V19" s="573">
        <f t="shared" si="5"/>
        <v>2429118</v>
      </c>
      <c r="W19" s="572">
        <v>2500000</v>
      </c>
      <c r="X19" s="572"/>
      <c r="Y19" s="573">
        <f t="shared" si="6"/>
        <v>2500000</v>
      </c>
      <c r="Z19" s="572">
        <v>1581833</v>
      </c>
      <c r="AA19" s="572"/>
      <c r="AB19" s="573">
        <f t="shared" si="7"/>
        <v>1581833</v>
      </c>
      <c r="AC19" s="574"/>
      <c r="AD19" s="574"/>
    </row>
    <row r="20" spans="1:30" ht="15" customHeight="1" x14ac:dyDescent="0.2">
      <c r="A20" s="569" t="s">
        <v>3</v>
      </c>
      <c r="B20" s="570" t="s">
        <v>534</v>
      </c>
      <c r="C20" s="571" t="s">
        <v>1164</v>
      </c>
      <c r="D20" s="572">
        <v>5370</v>
      </c>
      <c r="E20" s="572"/>
      <c r="F20" s="572"/>
      <c r="G20" s="573">
        <f t="shared" si="0"/>
        <v>0</v>
      </c>
      <c r="H20" s="572"/>
      <c r="I20" s="572"/>
      <c r="J20" s="573">
        <f t="shared" si="1"/>
        <v>0</v>
      </c>
      <c r="K20" s="572"/>
      <c r="L20" s="572"/>
      <c r="M20" s="573">
        <f t="shared" si="2"/>
        <v>0</v>
      </c>
      <c r="N20" s="572">
        <v>225</v>
      </c>
      <c r="O20" s="572"/>
      <c r="P20" s="573">
        <f t="shared" si="3"/>
        <v>225</v>
      </c>
      <c r="Q20" s="572">
        <v>5145</v>
      </c>
      <c r="R20" s="572"/>
      <c r="S20" s="573">
        <f t="shared" si="4"/>
        <v>5145</v>
      </c>
      <c r="T20" s="572">
        <v>0</v>
      </c>
      <c r="U20" s="572"/>
      <c r="V20" s="573">
        <f t="shared" si="5"/>
        <v>0</v>
      </c>
      <c r="W20" s="572"/>
      <c r="X20" s="572"/>
      <c r="Y20" s="573">
        <f t="shared" si="6"/>
        <v>0</v>
      </c>
      <c r="Z20" s="572"/>
      <c r="AA20" s="572"/>
      <c r="AB20" s="573">
        <f t="shared" si="7"/>
        <v>0</v>
      </c>
      <c r="AC20" s="574"/>
      <c r="AD20" s="574"/>
    </row>
    <row r="21" spans="1:30" ht="38.25" x14ac:dyDescent="0.2">
      <c r="A21" s="903" t="s">
        <v>4</v>
      </c>
      <c r="B21" s="570" t="s">
        <v>1181</v>
      </c>
      <c r="C21" s="571" t="s">
        <v>1164</v>
      </c>
      <c r="D21" s="572">
        <v>509000</v>
      </c>
      <c r="E21" s="572"/>
      <c r="F21" s="572"/>
      <c r="G21" s="573">
        <f t="shared" si="0"/>
        <v>0</v>
      </c>
      <c r="H21" s="572"/>
      <c r="I21" s="572"/>
      <c r="J21" s="573">
        <f t="shared" si="1"/>
        <v>0</v>
      </c>
      <c r="K21" s="572"/>
      <c r="L21" s="572">
        <v>509000</v>
      </c>
      <c r="M21" s="573">
        <f t="shared" si="2"/>
        <v>509000</v>
      </c>
      <c r="N21" s="572"/>
      <c r="O21" s="572"/>
      <c r="P21" s="573">
        <f t="shared" si="3"/>
        <v>0</v>
      </c>
      <c r="Q21" s="572"/>
      <c r="R21" s="572"/>
      <c r="S21" s="573">
        <f t="shared" si="4"/>
        <v>0</v>
      </c>
      <c r="T21" s="572"/>
      <c r="U21" s="572"/>
      <c r="V21" s="573">
        <f t="shared" si="5"/>
        <v>0</v>
      </c>
      <c r="W21" s="572"/>
      <c r="X21" s="572"/>
      <c r="Y21" s="573">
        <f t="shared" si="6"/>
        <v>0</v>
      </c>
      <c r="Z21" s="572"/>
      <c r="AA21" s="572"/>
      <c r="AB21" s="573">
        <f t="shared" si="7"/>
        <v>0</v>
      </c>
      <c r="AC21" s="574"/>
      <c r="AD21" s="574"/>
    </row>
    <row r="22" spans="1:30" ht="76.5" x14ac:dyDescent="0.2">
      <c r="A22" s="569" t="s">
        <v>5</v>
      </c>
      <c r="B22" s="570" t="s">
        <v>1165</v>
      </c>
      <c r="C22" s="571" t="s">
        <v>1164</v>
      </c>
      <c r="D22" s="572">
        <v>14746417</v>
      </c>
      <c r="E22" s="572"/>
      <c r="F22" s="572">
        <v>417000</v>
      </c>
      <c r="G22" s="573">
        <f t="shared" si="0"/>
        <v>417000</v>
      </c>
      <c r="H22" s="572"/>
      <c r="I22" s="572">
        <v>753631</v>
      </c>
      <c r="J22" s="573">
        <f t="shared" si="1"/>
        <v>753631</v>
      </c>
      <c r="K22" s="572"/>
      <c r="L22" s="572">
        <v>6725417</v>
      </c>
      <c r="M22" s="573">
        <f t="shared" si="2"/>
        <v>6725417</v>
      </c>
      <c r="N22" s="572"/>
      <c r="O22" s="572">
        <v>5145000</v>
      </c>
      <c r="P22" s="573">
        <f t="shared" si="3"/>
        <v>5145000</v>
      </c>
      <c r="Q22" s="572"/>
      <c r="R22" s="572">
        <v>1705369</v>
      </c>
      <c r="S22" s="573">
        <f t="shared" si="4"/>
        <v>1705369</v>
      </c>
      <c r="T22" s="572"/>
      <c r="U22" s="572"/>
      <c r="V22" s="573">
        <f t="shared" si="5"/>
        <v>0</v>
      </c>
      <c r="W22" s="572"/>
      <c r="X22" s="572"/>
      <c r="Y22" s="573">
        <f t="shared" si="6"/>
        <v>0</v>
      </c>
      <c r="Z22" s="572"/>
      <c r="AA22" s="572"/>
      <c r="AB22" s="573">
        <f t="shared" si="7"/>
        <v>0</v>
      </c>
      <c r="AC22" s="574"/>
      <c r="AD22" s="574"/>
    </row>
    <row r="23" spans="1:30" ht="76.5" x14ac:dyDescent="0.2">
      <c r="A23" s="569" t="s">
        <v>6</v>
      </c>
      <c r="B23" s="904" t="s">
        <v>535</v>
      </c>
      <c r="C23" s="902" t="s">
        <v>1164</v>
      </c>
      <c r="D23" s="905">
        <v>4565283</v>
      </c>
      <c r="E23" s="905"/>
      <c r="F23" s="905"/>
      <c r="G23" s="573">
        <f t="shared" si="0"/>
        <v>0</v>
      </c>
      <c r="H23" s="905"/>
      <c r="I23" s="905"/>
      <c r="J23" s="573">
        <f t="shared" si="1"/>
        <v>0</v>
      </c>
      <c r="K23" s="905"/>
      <c r="L23" s="905">
        <v>2481047</v>
      </c>
      <c r="M23" s="573">
        <f t="shared" si="2"/>
        <v>2481047</v>
      </c>
      <c r="N23" s="905"/>
      <c r="O23" s="905"/>
      <c r="P23" s="573">
        <f t="shared" si="3"/>
        <v>0</v>
      </c>
      <c r="Q23" s="905"/>
      <c r="R23" s="905">
        <v>1201282</v>
      </c>
      <c r="S23" s="573">
        <f t="shared" si="4"/>
        <v>1201282</v>
      </c>
      <c r="T23" s="905"/>
      <c r="U23" s="905">
        <v>882954</v>
      </c>
      <c r="V23" s="573">
        <f t="shared" si="5"/>
        <v>882954</v>
      </c>
      <c r="W23" s="905"/>
      <c r="X23" s="905"/>
      <c r="Y23" s="573">
        <f t="shared" si="6"/>
        <v>0</v>
      </c>
      <c r="Z23" s="905"/>
      <c r="AA23" s="905"/>
      <c r="AB23" s="573">
        <f t="shared" si="7"/>
        <v>0</v>
      </c>
      <c r="AC23" s="574"/>
      <c r="AD23" s="574"/>
    </row>
    <row r="24" spans="1:30" ht="25.5" x14ac:dyDescent="0.2">
      <c r="A24" s="903" t="s">
        <v>7</v>
      </c>
      <c r="B24" s="904" t="s">
        <v>1139</v>
      </c>
      <c r="C24" s="902" t="s">
        <v>1164</v>
      </c>
      <c r="D24" s="905">
        <v>15875000</v>
      </c>
      <c r="E24" s="905"/>
      <c r="F24" s="905"/>
      <c r="G24" s="573">
        <f t="shared" si="0"/>
        <v>0</v>
      </c>
      <c r="H24" s="905"/>
      <c r="I24" s="905">
        <v>7500000</v>
      </c>
      <c r="J24" s="573">
        <f t="shared" si="1"/>
        <v>7500000</v>
      </c>
      <c r="K24" s="905"/>
      <c r="L24" s="905"/>
      <c r="M24" s="573">
        <f t="shared" si="2"/>
        <v>0</v>
      </c>
      <c r="N24" s="905"/>
      <c r="O24" s="905"/>
      <c r="P24" s="573">
        <f t="shared" si="3"/>
        <v>0</v>
      </c>
      <c r="Q24" s="905"/>
      <c r="R24" s="905">
        <v>2360000</v>
      </c>
      <c r="S24" s="573">
        <f t="shared" si="4"/>
        <v>2360000</v>
      </c>
      <c r="T24" s="905"/>
      <c r="U24" s="905">
        <v>0</v>
      </c>
      <c r="V24" s="573">
        <f t="shared" si="5"/>
        <v>0</v>
      </c>
      <c r="W24" s="905"/>
      <c r="X24" s="905">
        <v>6015000</v>
      </c>
      <c r="Y24" s="573">
        <f t="shared" si="6"/>
        <v>6015000</v>
      </c>
      <c r="Z24" s="905"/>
      <c r="AA24" s="905"/>
      <c r="AB24" s="573">
        <f t="shared" si="7"/>
        <v>0</v>
      </c>
      <c r="AC24" s="574"/>
      <c r="AD24" s="574"/>
    </row>
    <row r="25" spans="1:30" ht="25.5" x14ac:dyDescent="0.2">
      <c r="A25" s="569" t="s">
        <v>8</v>
      </c>
      <c r="B25" s="570" t="s">
        <v>1166</v>
      </c>
      <c r="C25" s="571" t="s">
        <v>1164</v>
      </c>
      <c r="D25" s="572">
        <v>1661104</v>
      </c>
      <c r="E25" s="572"/>
      <c r="F25" s="572"/>
      <c r="G25" s="573">
        <f t="shared" si="0"/>
        <v>0</v>
      </c>
      <c r="H25" s="572"/>
      <c r="I25" s="572"/>
      <c r="J25" s="573">
        <f t="shared" si="1"/>
        <v>0</v>
      </c>
      <c r="K25" s="572">
        <v>50314</v>
      </c>
      <c r="L25" s="572"/>
      <c r="M25" s="573">
        <f t="shared" si="2"/>
        <v>50314</v>
      </c>
      <c r="N25" s="572">
        <v>0</v>
      </c>
      <c r="O25" s="572"/>
      <c r="P25" s="573">
        <f t="shared" si="3"/>
        <v>0</v>
      </c>
      <c r="Q25" s="572">
        <v>1191533</v>
      </c>
      <c r="R25" s="572"/>
      <c r="S25" s="573">
        <f t="shared" si="4"/>
        <v>1191533</v>
      </c>
      <c r="T25" s="572">
        <v>0</v>
      </c>
      <c r="U25" s="572"/>
      <c r="V25" s="573">
        <f t="shared" si="5"/>
        <v>0</v>
      </c>
      <c r="W25" s="572">
        <v>340757</v>
      </c>
      <c r="X25" s="572"/>
      <c r="Y25" s="573">
        <f t="shared" si="6"/>
        <v>340757</v>
      </c>
      <c r="Z25" s="572"/>
      <c r="AA25" s="572"/>
      <c r="AB25" s="573">
        <f t="shared" si="7"/>
        <v>0</v>
      </c>
      <c r="AC25" s="574"/>
      <c r="AD25" s="574"/>
    </row>
    <row r="26" spans="1:30" ht="25.5" x14ac:dyDescent="0.2">
      <c r="A26" s="569" t="s">
        <v>9</v>
      </c>
      <c r="B26" s="904" t="s">
        <v>523</v>
      </c>
      <c r="C26" s="902" t="s">
        <v>1164</v>
      </c>
      <c r="D26" s="905">
        <v>1278530</v>
      </c>
      <c r="E26" s="905"/>
      <c r="F26" s="905"/>
      <c r="G26" s="573">
        <f t="shared" si="0"/>
        <v>0</v>
      </c>
      <c r="H26" s="905"/>
      <c r="I26" s="905"/>
      <c r="J26" s="573">
        <f t="shared" si="1"/>
        <v>0</v>
      </c>
      <c r="K26" s="905"/>
      <c r="L26" s="905"/>
      <c r="M26" s="573">
        <f t="shared" si="2"/>
        <v>0</v>
      </c>
      <c r="N26" s="905"/>
      <c r="O26" s="905"/>
      <c r="P26" s="573">
        <f t="shared" si="3"/>
        <v>0</v>
      </c>
      <c r="Q26" s="905">
        <v>0</v>
      </c>
      <c r="R26" s="905"/>
      <c r="S26" s="573">
        <f t="shared" si="4"/>
        <v>0</v>
      </c>
      <c r="T26" s="905">
        <v>1248410</v>
      </c>
      <c r="U26" s="905"/>
      <c r="V26" s="573">
        <f t="shared" si="5"/>
        <v>1248410</v>
      </c>
      <c r="W26" s="905"/>
      <c r="X26" s="905"/>
      <c r="Y26" s="573">
        <f t="shared" si="6"/>
        <v>0</v>
      </c>
      <c r="Z26" s="905"/>
      <c r="AA26" s="905"/>
      <c r="AB26" s="573">
        <f t="shared" si="7"/>
        <v>0</v>
      </c>
      <c r="AC26" s="574"/>
      <c r="AD26" s="574"/>
    </row>
    <row r="27" spans="1:30" x14ac:dyDescent="0.2">
      <c r="A27" s="903" t="s">
        <v>10</v>
      </c>
      <c r="B27" s="904" t="s">
        <v>1167</v>
      </c>
      <c r="C27" s="902" t="s">
        <v>1164</v>
      </c>
      <c r="D27" s="905">
        <v>115653</v>
      </c>
      <c r="E27" s="905"/>
      <c r="F27" s="905"/>
      <c r="G27" s="573">
        <f t="shared" si="0"/>
        <v>0</v>
      </c>
      <c r="H27" s="905"/>
      <c r="I27" s="905"/>
      <c r="J27" s="573">
        <f t="shared" si="1"/>
        <v>0</v>
      </c>
      <c r="K27" s="905"/>
      <c r="L27" s="905"/>
      <c r="M27" s="573">
        <f t="shared" si="2"/>
        <v>0</v>
      </c>
      <c r="N27" s="905">
        <v>108696</v>
      </c>
      <c r="O27" s="905"/>
      <c r="P27" s="573">
        <f t="shared" si="3"/>
        <v>108696</v>
      </c>
      <c r="Q27" s="905">
        <v>0</v>
      </c>
      <c r="R27" s="905"/>
      <c r="S27" s="573">
        <f t="shared" si="4"/>
        <v>0</v>
      </c>
      <c r="T27" s="905">
        <v>5715</v>
      </c>
      <c r="U27" s="905"/>
      <c r="V27" s="573">
        <f t="shared" si="5"/>
        <v>5715</v>
      </c>
      <c r="W27" s="905"/>
      <c r="X27" s="905"/>
      <c r="Y27" s="573">
        <f t="shared" si="6"/>
        <v>0</v>
      </c>
      <c r="Z27" s="905"/>
      <c r="AA27" s="905"/>
      <c r="AB27" s="573">
        <f t="shared" si="7"/>
        <v>0</v>
      </c>
      <c r="AC27" s="574"/>
      <c r="AD27" s="574"/>
    </row>
    <row r="28" spans="1:30" ht="25.5" x14ac:dyDescent="0.2">
      <c r="A28" s="569" t="s">
        <v>11</v>
      </c>
      <c r="B28" s="904" t="s">
        <v>521</v>
      </c>
      <c r="C28" s="902" t="s">
        <v>1156</v>
      </c>
      <c r="D28" s="905">
        <v>149800</v>
      </c>
      <c r="E28" s="905"/>
      <c r="F28" s="905"/>
      <c r="G28" s="573">
        <f t="shared" si="0"/>
        <v>0</v>
      </c>
      <c r="H28" s="905"/>
      <c r="I28" s="905"/>
      <c r="J28" s="573">
        <f t="shared" si="1"/>
        <v>0</v>
      </c>
      <c r="K28" s="905">
        <v>48701</v>
      </c>
      <c r="L28" s="905"/>
      <c r="M28" s="573">
        <f t="shared" si="2"/>
        <v>48701</v>
      </c>
      <c r="N28" s="905">
        <v>89875</v>
      </c>
      <c r="O28" s="905"/>
      <c r="P28" s="573">
        <f t="shared" si="3"/>
        <v>89875</v>
      </c>
      <c r="Q28" s="905">
        <v>3520</v>
      </c>
      <c r="R28" s="905"/>
      <c r="S28" s="573">
        <f t="shared" si="4"/>
        <v>3520</v>
      </c>
      <c r="T28" s="905">
        <v>7704</v>
      </c>
      <c r="U28" s="905"/>
      <c r="V28" s="573">
        <f t="shared" si="5"/>
        <v>7704</v>
      </c>
      <c r="W28" s="905"/>
      <c r="X28" s="905"/>
      <c r="Y28" s="573">
        <f t="shared" si="6"/>
        <v>0</v>
      </c>
      <c r="Z28" s="905"/>
      <c r="AA28" s="905"/>
      <c r="AB28" s="573">
        <f t="shared" si="7"/>
        <v>0</v>
      </c>
      <c r="AC28" s="574"/>
      <c r="AD28" s="574"/>
    </row>
    <row r="29" spans="1:30" ht="25.5" x14ac:dyDescent="0.2">
      <c r="A29" s="569" t="s">
        <v>12</v>
      </c>
      <c r="B29" s="904" t="s">
        <v>642</v>
      </c>
      <c r="C29" s="902" t="s">
        <v>1164</v>
      </c>
      <c r="D29" s="905">
        <v>800000</v>
      </c>
      <c r="E29" s="905"/>
      <c r="F29" s="905"/>
      <c r="G29" s="573">
        <f t="shared" si="0"/>
        <v>0</v>
      </c>
      <c r="H29" s="905"/>
      <c r="I29" s="905"/>
      <c r="J29" s="573">
        <f t="shared" si="1"/>
        <v>0</v>
      </c>
      <c r="K29" s="905"/>
      <c r="L29" s="905">
        <v>33000</v>
      </c>
      <c r="M29" s="573">
        <f t="shared" si="2"/>
        <v>33000</v>
      </c>
      <c r="N29" s="905"/>
      <c r="O29" s="905">
        <v>267000</v>
      </c>
      <c r="P29" s="573">
        <f t="shared" si="3"/>
        <v>267000</v>
      </c>
      <c r="Q29" s="905"/>
      <c r="R29" s="905">
        <v>500000</v>
      </c>
      <c r="S29" s="573">
        <f t="shared" si="4"/>
        <v>500000</v>
      </c>
      <c r="T29" s="905"/>
      <c r="U29" s="905"/>
      <c r="V29" s="573">
        <f t="shared" si="5"/>
        <v>0</v>
      </c>
      <c r="W29" s="905"/>
      <c r="X29" s="905"/>
      <c r="Y29" s="573">
        <f t="shared" si="6"/>
        <v>0</v>
      </c>
      <c r="Z29" s="905"/>
      <c r="AA29" s="905"/>
      <c r="AB29" s="573">
        <f t="shared" si="7"/>
        <v>0</v>
      </c>
      <c r="AC29" s="574"/>
      <c r="AD29" s="574"/>
    </row>
    <row r="30" spans="1:30" ht="38.25" x14ac:dyDescent="0.2">
      <c r="A30" s="903" t="s">
        <v>13</v>
      </c>
      <c r="B30" s="904" t="s">
        <v>653</v>
      </c>
      <c r="C30" s="902" t="s">
        <v>1164</v>
      </c>
      <c r="D30" s="905">
        <v>811354</v>
      </c>
      <c r="E30" s="905"/>
      <c r="F30" s="905"/>
      <c r="G30" s="573">
        <f>SUM(E30:F30)</f>
        <v>0</v>
      </c>
      <c r="H30" s="905"/>
      <c r="I30" s="905"/>
      <c r="J30" s="573">
        <f>SUM(H30:I30)</f>
        <v>0</v>
      </c>
      <c r="K30" s="905"/>
      <c r="L30" s="905"/>
      <c r="M30" s="573">
        <f>SUM(K30:L30)</f>
        <v>0</v>
      </c>
      <c r="N30" s="905"/>
      <c r="O30" s="905"/>
      <c r="P30" s="573">
        <f>SUM(N30:O30)</f>
        <v>0</v>
      </c>
      <c r="Q30" s="905">
        <v>0</v>
      </c>
      <c r="R30" s="905"/>
      <c r="S30" s="573">
        <f>SUM(Q30:R30)</f>
        <v>0</v>
      </c>
      <c r="T30" s="905">
        <v>556890</v>
      </c>
      <c r="U30" s="905"/>
      <c r="V30" s="573">
        <f>SUM(T30:U30)</f>
        <v>556890</v>
      </c>
      <c r="W30" s="905">
        <v>23360</v>
      </c>
      <c r="X30" s="905"/>
      <c r="Y30" s="573">
        <f>SUM(W30:X30)</f>
        <v>23360</v>
      </c>
      <c r="Z30" s="905"/>
      <c r="AA30" s="905"/>
      <c r="AB30" s="573">
        <f>SUM(Z30:AA30)</f>
        <v>0</v>
      </c>
      <c r="AC30" s="574"/>
      <c r="AD30" s="574"/>
    </row>
    <row r="31" spans="1:30" ht="25.5" x14ac:dyDescent="0.2">
      <c r="A31" s="569" t="s">
        <v>14</v>
      </c>
      <c r="B31" s="904" t="s">
        <v>649</v>
      </c>
      <c r="C31" s="571" t="s">
        <v>1164</v>
      </c>
      <c r="D31" s="905">
        <v>10501</v>
      </c>
      <c r="E31" s="905"/>
      <c r="F31" s="905"/>
      <c r="G31" s="573">
        <f t="shared" si="0"/>
        <v>0</v>
      </c>
      <c r="H31" s="905"/>
      <c r="I31" s="905"/>
      <c r="J31" s="573">
        <f t="shared" si="1"/>
        <v>0</v>
      </c>
      <c r="K31" s="905"/>
      <c r="L31" s="905"/>
      <c r="M31" s="573">
        <f t="shared" si="2"/>
        <v>0</v>
      </c>
      <c r="N31" s="905"/>
      <c r="O31" s="905"/>
      <c r="P31" s="573">
        <f t="shared" si="3"/>
        <v>0</v>
      </c>
      <c r="Q31" s="905">
        <v>9397</v>
      </c>
      <c r="R31" s="905"/>
      <c r="S31" s="573">
        <f t="shared" si="4"/>
        <v>9397</v>
      </c>
      <c r="T31" s="905">
        <v>1104</v>
      </c>
      <c r="U31" s="905"/>
      <c r="V31" s="573">
        <f t="shared" si="5"/>
        <v>1104</v>
      </c>
      <c r="W31" s="905"/>
      <c r="X31" s="905"/>
      <c r="Y31" s="573">
        <f t="shared" si="6"/>
        <v>0</v>
      </c>
      <c r="Z31" s="905"/>
      <c r="AA31" s="905"/>
      <c r="AB31" s="573">
        <f t="shared" ref="AB31:AB32" si="8">SUM(Z31:AA31)</f>
        <v>0</v>
      </c>
      <c r="AC31" s="574"/>
      <c r="AD31" s="574"/>
    </row>
    <row r="32" spans="1:30" ht="51" x14ac:dyDescent="0.2">
      <c r="A32" s="569" t="s">
        <v>15</v>
      </c>
      <c r="B32" s="904" t="s">
        <v>518</v>
      </c>
      <c r="C32" s="571" t="s">
        <v>1156</v>
      </c>
      <c r="D32" s="905">
        <v>200000</v>
      </c>
      <c r="E32" s="905"/>
      <c r="F32" s="905"/>
      <c r="G32" s="573">
        <f t="shared" si="0"/>
        <v>0</v>
      </c>
      <c r="H32" s="905"/>
      <c r="I32" s="905"/>
      <c r="J32" s="573">
        <f t="shared" si="1"/>
        <v>0</v>
      </c>
      <c r="K32" s="905"/>
      <c r="L32" s="905">
        <v>200000</v>
      </c>
      <c r="M32" s="573">
        <f t="shared" si="2"/>
        <v>200000</v>
      </c>
      <c r="N32" s="905"/>
      <c r="O32" s="905"/>
      <c r="P32" s="573">
        <f t="shared" si="3"/>
        <v>0</v>
      </c>
      <c r="Q32" s="905"/>
      <c r="R32" s="905"/>
      <c r="S32" s="573">
        <f t="shared" si="4"/>
        <v>0</v>
      </c>
      <c r="T32" s="905"/>
      <c r="U32" s="905"/>
      <c r="V32" s="573">
        <f t="shared" si="5"/>
        <v>0</v>
      </c>
      <c r="W32" s="905"/>
      <c r="X32" s="905"/>
      <c r="Y32" s="573">
        <f t="shared" si="6"/>
        <v>0</v>
      </c>
      <c r="Z32" s="905"/>
      <c r="AA32" s="905"/>
      <c r="AB32" s="573">
        <f t="shared" si="8"/>
        <v>0</v>
      </c>
      <c r="AC32" s="574"/>
      <c r="AD32" s="574"/>
    </row>
    <row r="33" spans="1:30" ht="38.25" x14ac:dyDescent="0.2">
      <c r="A33" s="569" t="s">
        <v>16</v>
      </c>
      <c r="B33" s="904" t="s">
        <v>643</v>
      </c>
      <c r="C33" s="902" t="s">
        <v>1164</v>
      </c>
      <c r="D33" s="905">
        <v>400000</v>
      </c>
      <c r="E33" s="905"/>
      <c r="F33" s="905"/>
      <c r="G33" s="573">
        <f>SUM(E33:F33)</f>
        <v>0</v>
      </c>
      <c r="H33" s="905"/>
      <c r="I33" s="905"/>
      <c r="J33" s="573">
        <f>SUM(H33:I33)</f>
        <v>0</v>
      </c>
      <c r="K33" s="905"/>
      <c r="L33" s="905"/>
      <c r="M33" s="573">
        <f>SUM(K33:L33)</f>
        <v>0</v>
      </c>
      <c r="N33" s="905"/>
      <c r="O33" s="905">
        <v>400000</v>
      </c>
      <c r="P33" s="573">
        <f>SUM(N33:O33)</f>
        <v>400000</v>
      </c>
      <c r="Q33" s="905"/>
      <c r="R33" s="905"/>
      <c r="S33" s="573">
        <f>SUM(Q33:R33)</f>
        <v>0</v>
      </c>
      <c r="T33" s="905"/>
      <c r="U33" s="905"/>
      <c r="V33" s="573">
        <f>SUM(T33:U33)</f>
        <v>0</v>
      </c>
      <c r="W33" s="905"/>
      <c r="X33" s="905"/>
      <c r="Y33" s="573">
        <f>SUM(W33:X33)</f>
        <v>0</v>
      </c>
      <c r="Z33" s="905"/>
      <c r="AA33" s="905"/>
      <c r="AB33" s="573">
        <f>SUM(Z33:AA33)</f>
        <v>0</v>
      </c>
      <c r="AC33" s="574"/>
      <c r="AD33" s="574"/>
    </row>
    <row r="34" spans="1:30" ht="63.75" x14ac:dyDescent="0.2">
      <c r="A34" s="569" t="s">
        <v>17</v>
      </c>
      <c r="B34" s="904" t="s">
        <v>1182</v>
      </c>
      <c r="C34" s="902" t="s">
        <v>1164</v>
      </c>
      <c r="D34" s="905">
        <v>74756</v>
      </c>
      <c r="E34" s="905"/>
      <c r="F34" s="905"/>
      <c r="G34" s="573">
        <f t="shared" si="0"/>
        <v>0</v>
      </c>
      <c r="H34" s="905"/>
      <c r="I34" s="905"/>
      <c r="J34" s="573">
        <f t="shared" si="1"/>
        <v>0</v>
      </c>
      <c r="K34" s="905"/>
      <c r="L34" s="905"/>
      <c r="M34" s="573">
        <f t="shared" si="2"/>
        <v>0</v>
      </c>
      <c r="N34" s="905"/>
      <c r="O34" s="905"/>
      <c r="P34" s="573">
        <f t="shared" si="3"/>
        <v>0</v>
      </c>
      <c r="Q34" s="905">
        <v>0</v>
      </c>
      <c r="R34" s="905"/>
      <c r="S34" s="573">
        <f t="shared" si="4"/>
        <v>0</v>
      </c>
      <c r="T34" s="905">
        <v>69000</v>
      </c>
      <c r="U34" s="905"/>
      <c r="V34" s="573">
        <f t="shared" si="5"/>
        <v>69000</v>
      </c>
      <c r="W34" s="905"/>
      <c r="X34" s="905"/>
      <c r="Y34" s="573">
        <f t="shared" si="6"/>
        <v>0</v>
      </c>
      <c r="Z34" s="905"/>
      <c r="AA34" s="905"/>
      <c r="AB34" s="573">
        <f t="shared" ref="AB34:AB45" si="9">SUM(Z34:AA34)</f>
        <v>0</v>
      </c>
      <c r="AC34" s="574"/>
      <c r="AD34" s="574"/>
    </row>
    <row r="35" spans="1:30" ht="38.25" x14ac:dyDescent="0.2">
      <c r="A35" s="569" t="s">
        <v>18</v>
      </c>
      <c r="B35" s="904" t="s">
        <v>1183</v>
      </c>
      <c r="C35" s="902" t="s">
        <v>1164</v>
      </c>
      <c r="D35" s="905">
        <v>115506</v>
      </c>
      <c r="E35" s="905"/>
      <c r="F35" s="905"/>
      <c r="G35" s="573">
        <f t="shared" si="0"/>
        <v>0</v>
      </c>
      <c r="H35" s="905"/>
      <c r="I35" s="905"/>
      <c r="J35" s="573">
        <f t="shared" si="1"/>
        <v>0</v>
      </c>
      <c r="K35" s="905"/>
      <c r="L35" s="905"/>
      <c r="M35" s="573">
        <f t="shared" si="2"/>
        <v>0</v>
      </c>
      <c r="N35" s="905"/>
      <c r="O35" s="905"/>
      <c r="P35" s="573">
        <f t="shared" si="3"/>
        <v>0</v>
      </c>
      <c r="Q35" s="905">
        <v>57145</v>
      </c>
      <c r="R35" s="905"/>
      <c r="S35" s="573">
        <f t="shared" si="4"/>
        <v>57145</v>
      </c>
      <c r="T35" s="905">
        <v>33093</v>
      </c>
      <c r="U35" s="905"/>
      <c r="V35" s="573">
        <f t="shared" si="5"/>
        <v>33093</v>
      </c>
      <c r="W35" s="905"/>
      <c r="X35" s="905"/>
      <c r="Y35" s="573">
        <f t="shared" si="6"/>
        <v>0</v>
      </c>
      <c r="Z35" s="905"/>
      <c r="AA35" s="905"/>
      <c r="AB35" s="573">
        <f t="shared" si="9"/>
        <v>0</v>
      </c>
      <c r="AC35" s="574"/>
      <c r="AD35" s="574"/>
    </row>
    <row r="36" spans="1:30" ht="38.25" x14ac:dyDescent="0.2">
      <c r="A36" s="569" t="s">
        <v>19</v>
      </c>
      <c r="B36" s="904" t="s">
        <v>1188</v>
      </c>
      <c r="C36" s="902" t="s">
        <v>1164</v>
      </c>
      <c r="D36" s="905">
        <f>375512+26445+79334</f>
        <v>481291</v>
      </c>
      <c r="E36" s="905"/>
      <c r="F36" s="905"/>
      <c r="G36" s="573">
        <f t="shared" si="0"/>
        <v>0</v>
      </c>
      <c r="H36" s="905"/>
      <c r="I36" s="905"/>
      <c r="J36" s="573">
        <f t="shared" si="1"/>
        <v>0</v>
      </c>
      <c r="K36" s="905"/>
      <c r="L36" s="905"/>
      <c r="M36" s="573">
        <f t="shared" si="2"/>
        <v>0</v>
      </c>
      <c r="N36" s="905">
        <v>6971</v>
      </c>
      <c r="O36" s="905"/>
      <c r="P36" s="573">
        <f t="shared" si="3"/>
        <v>6971</v>
      </c>
      <c r="Q36" s="905">
        <v>0</v>
      </c>
      <c r="R36" s="905"/>
      <c r="S36" s="573">
        <f t="shared" si="4"/>
        <v>0</v>
      </c>
      <c r="T36" s="905">
        <v>360409</v>
      </c>
      <c r="U36" s="905"/>
      <c r="V36" s="573">
        <f t="shared" si="5"/>
        <v>360409</v>
      </c>
      <c r="W36" s="905"/>
      <c r="X36" s="905"/>
      <c r="Y36" s="573">
        <f t="shared" si="6"/>
        <v>0</v>
      </c>
      <c r="Z36" s="905"/>
      <c r="AA36" s="905"/>
      <c r="AB36" s="573">
        <f t="shared" si="9"/>
        <v>0</v>
      </c>
      <c r="AC36" s="574"/>
      <c r="AD36" s="574"/>
    </row>
    <row r="37" spans="1:30" ht="51" x14ac:dyDescent="0.2">
      <c r="A37" s="569" t="s">
        <v>20</v>
      </c>
      <c r="B37" s="904" t="s">
        <v>1184</v>
      </c>
      <c r="C37" s="902" t="s">
        <v>1164</v>
      </c>
      <c r="D37" s="905">
        <v>192360</v>
      </c>
      <c r="E37" s="905"/>
      <c r="F37" s="905"/>
      <c r="G37" s="573">
        <f t="shared" si="0"/>
        <v>0</v>
      </c>
      <c r="H37" s="905"/>
      <c r="I37" s="905"/>
      <c r="J37" s="573">
        <f t="shared" si="1"/>
        <v>0</v>
      </c>
      <c r="K37" s="905"/>
      <c r="L37" s="905"/>
      <c r="M37" s="573">
        <f t="shared" si="2"/>
        <v>0</v>
      </c>
      <c r="N37" s="905">
        <v>4700</v>
      </c>
      <c r="O37" s="905"/>
      <c r="P37" s="573">
        <f t="shared" si="3"/>
        <v>4700</v>
      </c>
      <c r="Q37" s="905">
        <v>178626</v>
      </c>
      <c r="R37" s="905"/>
      <c r="S37" s="573">
        <f t="shared" si="4"/>
        <v>178626</v>
      </c>
      <c r="T37" s="905">
        <v>9034</v>
      </c>
      <c r="U37" s="905"/>
      <c r="V37" s="573">
        <f t="shared" si="5"/>
        <v>9034</v>
      </c>
      <c r="W37" s="905"/>
      <c r="X37" s="905"/>
      <c r="Y37" s="573">
        <f t="shared" si="6"/>
        <v>0</v>
      </c>
      <c r="Z37" s="905"/>
      <c r="AA37" s="905"/>
      <c r="AB37" s="573">
        <f t="shared" si="9"/>
        <v>0</v>
      </c>
      <c r="AC37" s="574"/>
      <c r="AD37" s="574"/>
    </row>
    <row r="38" spans="1:30" ht="38.25" x14ac:dyDescent="0.2">
      <c r="A38" s="569" t="s">
        <v>21</v>
      </c>
      <c r="B38" s="904" t="s">
        <v>1168</v>
      </c>
      <c r="C38" s="902" t="s">
        <v>1164</v>
      </c>
      <c r="D38" s="905">
        <v>425480</v>
      </c>
      <c r="E38" s="905"/>
      <c r="F38" s="905"/>
      <c r="G38" s="573">
        <f t="shared" si="0"/>
        <v>0</v>
      </c>
      <c r="H38" s="905"/>
      <c r="I38" s="905"/>
      <c r="J38" s="573">
        <f t="shared" si="1"/>
        <v>0</v>
      </c>
      <c r="K38" s="905"/>
      <c r="L38" s="905"/>
      <c r="M38" s="573">
        <f t="shared" si="2"/>
        <v>0</v>
      </c>
      <c r="N38" s="905"/>
      <c r="O38" s="905">
        <v>425480</v>
      </c>
      <c r="P38" s="573">
        <f t="shared" si="3"/>
        <v>425480</v>
      </c>
      <c r="Q38" s="905"/>
      <c r="R38" s="905"/>
      <c r="S38" s="573">
        <f t="shared" si="4"/>
        <v>0</v>
      </c>
      <c r="T38" s="905"/>
      <c r="U38" s="905"/>
      <c r="V38" s="573">
        <f t="shared" si="5"/>
        <v>0</v>
      </c>
      <c r="W38" s="905"/>
      <c r="X38" s="905"/>
      <c r="Y38" s="573">
        <f t="shared" si="6"/>
        <v>0</v>
      </c>
      <c r="Z38" s="905"/>
      <c r="AA38" s="905"/>
      <c r="AB38" s="573">
        <f t="shared" si="9"/>
        <v>0</v>
      </c>
      <c r="AC38" s="574"/>
      <c r="AD38" s="574"/>
    </row>
    <row r="39" spans="1:30" x14ac:dyDescent="0.2">
      <c r="A39" s="569" t="s">
        <v>672</v>
      </c>
      <c r="B39" s="904" t="s">
        <v>852</v>
      </c>
      <c r="C39" s="902" t="s">
        <v>1164</v>
      </c>
      <c r="D39" s="905">
        <v>327668</v>
      </c>
      <c r="E39" s="905"/>
      <c r="F39" s="905"/>
      <c r="G39" s="573">
        <f t="shared" si="0"/>
        <v>0</v>
      </c>
      <c r="H39" s="905"/>
      <c r="I39" s="905"/>
      <c r="J39" s="573">
        <f t="shared" si="1"/>
        <v>0</v>
      </c>
      <c r="K39" s="905"/>
      <c r="L39" s="905"/>
      <c r="M39" s="573">
        <f t="shared" si="2"/>
        <v>0</v>
      </c>
      <c r="N39" s="905"/>
      <c r="O39" s="905"/>
      <c r="P39" s="573">
        <f t="shared" si="3"/>
        <v>0</v>
      </c>
      <c r="Q39" s="905">
        <v>54208</v>
      </c>
      <c r="R39" s="905"/>
      <c r="S39" s="573">
        <f t="shared" si="4"/>
        <v>54208</v>
      </c>
      <c r="T39" s="905">
        <v>207441</v>
      </c>
      <c r="U39" s="905"/>
      <c r="V39" s="573">
        <f t="shared" si="5"/>
        <v>207441</v>
      </c>
      <c r="W39" s="905"/>
      <c r="X39" s="905"/>
      <c r="Y39" s="573">
        <f t="shared" si="6"/>
        <v>0</v>
      </c>
      <c r="Z39" s="905"/>
      <c r="AA39" s="905"/>
      <c r="AB39" s="573">
        <f t="shared" si="9"/>
        <v>0</v>
      </c>
      <c r="AC39" s="574"/>
      <c r="AD39" s="574"/>
    </row>
    <row r="40" spans="1:30" ht="63.75" x14ac:dyDescent="0.2">
      <c r="A40" s="569" t="s">
        <v>673</v>
      </c>
      <c r="B40" s="904" t="s">
        <v>1194</v>
      </c>
      <c r="C40" s="902" t="s">
        <v>1164</v>
      </c>
      <c r="D40" s="905">
        <v>1937631</v>
      </c>
      <c r="E40" s="905"/>
      <c r="F40" s="905"/>
      <c r="G40" s="573">
        <f t="shared" ref="G40" si="10">SUM(E40:F40)</f>
        <v>0</v>
      </c>
      <c r="H40" s="905"/>
      <c r="I40" s="905"/>
      <c r="J40" s="573">
        <f t="shared" ref="J40" si="11">SUM(H40:I40)</f>
        <v>0</v>
      </c>
      <c r="K40" s="905"/>
      <c r="L40" s="905"/>
      <c r="M40" s="573">
        <f t="shared" ref="M40" si="12">SUM(K40:L40)</f>
        <v>0</v>
      </c>
      <c r="N40" s="905"/>
      <c r="O40" s="905"/>
      <c r="P40" s="573">
        <f t="shared" ref="P40" si="13">SUM(N40:O40)</f>
        <v>0</v>
      </c>
      <c r="Q40" s="905"/>
      <c r="R40" s="905"/>
      <c r="S40" s="573">
        <f t="shared" ref="S40" si="14">SUM(Q40:R40)</f>
        <v>0</v>
      </c>
      <c r="T40" s="905">
        <v>1917631</v>
      </c>
      <c r="U40" s="905"/>
      <c r="V40" s="573">
        <f t="shared" ref="V40" si="15">SUM(T40:U40)</f>
        <v>1917631</v>
      </c>
      <c r="W40" s="905"/>
      <c r="X40" s="905"/>
      <c r="Y40" s="573">
        <f t="shared" ref="Y40" si="16">SUM(W40:X40)</f>
        <v>0</v>
      </c>
      <c r="Z40" s="905"/>
      <c r="AA40" s="905"/>
      <c r="AB40" s="573">
        <f t="shared" ref="AB40" si="17">SUM(Z40:AA40)</f>
        <v>0</v>
      </c>
      <c r="AC40" s="574"/>
      <c r="AD40" s="574"/>
    </row>
    <row r="41" spans="1:30" x14ac:dyDescent="0.2">
      <c r="A41" s="569" t="s">
        <v>1169</v>
      </c>
      <c r="B41" s="904" t="s">
        <v>650</v>
      </c>
      <c r="C41" s="902" t="s">
        <v>1164</v>
      </c>
      <c r="D41" s="905">
        <v>185648</v>
      </c>
      <c r="E41" s="905"/>
      <c r="F41" s="905"/>
      <c r="G41" s="573">
        <f t="shared" ref="G41" si="18">SUM(E41:F41)</f>
        <v>0</v>
      </c>
      <c r="H41" s="905"/>
      <c r="I41" s="905"/>
      <c r="J41" s="573">
        <f t="shared" ref="J41" si="19">SUM(H41:I41)</f>
        <v>0</v>
      </c>
      <c r="K41" s="905"/>
      <c r="L41" s="905"/>
      <c r="M41" s="573">
        <f t="shared" ref="M41" si="20">SUM(K41:L41)</f>
        <v>0</v>
      </c>
      <c r="N41" s="905">
        <v>117585</v>
      </c>
      <c r="O41" s="905"/>
      <c r="P41" s="573">
        <f t="shared" ref="P41" si="21">SUM(N41:O41)</f>
        <v>117585</v>
      </c>
      <c r="Q41" s="905"/>
      <c r="R41" s="905"/>
      <c r="S41" s="573">
        <f t="shared" ref="S41" si="22">SUM(Q41:R41)</f>
        <v>0</v>
      </c>
      <c r="T41" s="905">
        <v>68063</v>
      </c>
      <c r="U41" s="905"/>
      <c r="V41" s="573">
        <f t="shared" ref="V41" si="23">SUM(T41:U41)</f>
        <v>68063</v>
      </c>
      <c r="W41" s="905"/>
      <c r="X41" s="905"/>
      <c r="Y41" s="573">
        <f t="shared" ref="Y41" si="24">SUM(W41:X41)</f>
        <v>0</v>
      </c>
      <c r="Z41" s="905"/>
      <c r="AA41" s="905"/>
      <c r="AB41" s="573">
        <f t="shared" ref="AB41" si="25">SUM(Z41:AA41)</f>
        <v>0</v>
      </c>
      <c r="AC41" s="574"/>
      <c r="AD41" s="574"/>
    </row>
    <row r="42" spans="1:30" ht="63.75" x14ac:dyDescent="0.2">
      <c r="A42" s="569" t="s">
        <v>1170</v>
      </c>
      <c r="B42" s="904" t="s">
        <v>639</v>
      </c>
      <c r="C42" s="902" t="s">
        <v>1164</v>
      </c>
      <c r="D42" s="905">
        <v>88509</v>
      </c>
      <c r="E42" s="905"/>
      <c r="F42" s="905"/>
      <c r="G42" s="573">
        <f t="shared" si="0"/>
        <v>0</v>
      </c>
      <c r="H42" s="905"/>
      <c r="I42" s="905"/>
      <c r="J42" s="573">
        <f t="shared" si="1"/>
        <v>0</v>
      </c>
      <c r="K42" s="905"/>
      <c r="L42" s="905"/>
      <c r="M42" s="573">
        <f t="shared" si="2"/>
        <v>0</v>
      </c>
      <c r="N42" s="905"/>
      <c r="O42" s="905"/>
      <c r="P42" s="573">
        <f t="shared" si="3"/>
        <v>0</v>
      </c>
      <c r="Q42" s="905"/>
      <c r="R42" s="905">
        <v>88509</v>
      </c>
      <c r="S42" s="573">
        <f t="shared" si="4"/>
        <v>88509</v>
      </c>
      <c r="T42" s="905"/>
      <c r="U42" s="905"/>
      <c r="V42" s="573">
        <f t="shared" si="5"/>
        <v>0</v>
      </c>
      <c r="W42" s="905"/>
      <c r="X42" s="905"/>
      <c r="Y42" s="573">
        <f t="shared" si="6"/>
        <v>0</v>
      </c>
      <c r="Z42" s="905"/>
      <c r="AA42" s="905"/>
      <c r="AB42" s="573">
        <f t="shared" si="9"/>
        <v>0</v>
      </c>
      <c r="AC42" s="574"/>
      <c r="AD42" s="574"/>
    </row>
    <row r="43" spans="1:30" ht="25.5" x14ac:dyDescent="0.2">
      <c r="A43" s="569" t="s">
        <v>1171</v>
      </c>
      <c r="B43" s="904" t="s">
        <v>1061</v>
      </c>
      <c r="C43" s="902" t="s">
        <v>1164</v>
      </c>
      <c r="D43" s="905">
        <v>38597</v>
      </c>
      <c r="E43" s="905"/>
      <c r="F43" s="905"/>
      <c r="G43" s="573">
        <f t="shared" si="0"/>
        <v>0</v>
      </c>
      <c r="H43" s="905"/>
      <c r="I43" s="905"/>
      <c r="J43" s="573">
        <f t="shared" si="1"/>
        <v>0</v>
      </c>
      <c r="K43" s="905"/>
      <c r="L43" s="905"/>
      <c r="M43" s="573">
        <f t="shared" si="2"/>
        <v>0</v>
      </c>
      <c r="N43" s="905">
        <v>2306</v>
      </c>
      <c r="O43" s="905"/>
      <c r="P43" s="573">
        <f t="shared" si="3"/>
        <v>2306</v>
      </c>
      <c r="Q43" s="905">
        <v>0</v>
      </c>
      <c r="R43" s="905"/>
      <c r="S43" s="573">
        <f t="shared" si="4"/>
        <v>0</v>
      </c>
      <c r="T43" s="905">
        <v>6732</v>
      </c>
      <c r="U43" s="905"/>
      <c r="V43" s="573">
        <f t="shared" si="5"/>
        <v>6732</v>
      </c>
      <c r="W43" s="905">
        <v>6878</v>
      </c>
      <c r="X43" s="905"/>
      <c r="Y43" s="573">
        <f t="shared" si="6"/>
        <v>6878</v>
      </c>
      <c r="Z43" s="905">
        <v>21416</v>
      </c>
      <c r="AA43" s="905"/>
      <c r="AB43" s="573">
        <f t="shared" si="9"/>
        <v>21416</v>
      </c>
      <c r="AC43" s="574"/>
      <c r="AD43" s="574"/>
    </row>
    <row r="44" spans="1:30" x14ac:dyDescent="0.2">
      <c r="A44" s="569" t="s">
        <v>1172</v>
      </c>
      <c r="B44" s="904" t="s">
        <v>1176</v>
      </c>
      <c r="C44" s="902" t="s">
        <v>1156</v>
      </c>
      <c r="D44" s="905">
        <v>62164</v>
      </c>
      <c r="E44" s="905"/>
      <c r="F44" s="905"/>
      <c r="G44" s="573">
        <f t="shared" si="0"/>
        <v>0</v>
      </c>
      <c r="H44" s="905"/>
      <c r="I44" s="905"/>
      <c r="J44" s="573">
        <f t="shared" si="1"/>
        <v>0</v>
      </c>
      <c r="K44" s="905"/>
      <c r="L44" s="905"/>
      <c r="M44" s="573">
        <f t="shared" si="2"/>
        <v>0</v>
      </c>
      <c r="N44" s="905"/>
      <c r="O44" s="905">
        <v>50000</v>
      </c>
      <c r="P44" s="573">
        <f t="shared" si="3"/>
        <v>50000</v>
      </c>
      <c r="Q44" s="905"/>
      <c r="R44" s="905"/>
      <c r="S44" s="573">
        <f t="shared" si="4"/>
        <v>0</v>
      </c>
      <c r="T44" s="905"/>
      <c r="U44" s="905"/>
      <c r="V44" s="573">
        <f t="shared" si="5"/>
        <v>0</v>
      </c>
      <c r="W44" s="905"/>
      <c r="X44" s="905"/>
      <c r="Y44" s="573">
        <f t="shared" si="6"/>
        <v>0</v>
      </c>
      <c r="Z44" s="905"/>
      <c r="AA44" s="905"/>
      <c r="AB44" s="573">
        <f t="shared" si="9"/>
        <v>0</v>
      </c>
      <c r="AC44" s="574"/>
      <c r="AD44" s="574"/>
    </row>
    <row r="45" spans="1:30" ht="76.5" x14ac:dyDescent="0.2">
      <c r="A45" s="569" t="s">
        <v>1173</v>
      </c>
      <c r="B45" s="904" t="s">
        <v>1185</v>
      </c>
      <c r="C45" s="902" t="s">
        <v>1164</v>
      </c>
      <c r="D45" s="905">
        <v>2462775</v>
      </c>
      <c r="E45" s="905"/>
      <c r="F45" s="905"/>
      <c r="G45" s="573">
        <f t="shared" si="0"/>
        <v>0</v>
      </c>
      <c r="H45" s="905"/>
      <c r="I45" s="905"/>
      <c r="J45" s="573">
        <f t="shared" si="1"/>
        <v>0</v>
      </c>
      <c r="K45" s="905"/>
      <c r="L45" s="905"/>
      <c r="M45" s="573">
        <f t="shared" si="2"/>
        <v>0</v>
      </c>
      <c r="N45" s="905"/>
      <c r="O45" s="905">
        <v>918200</v>
      </c>
      <c r="P45" s="573">
        <f t="shared" si="3"/>
        <v>918200</v>
      </c>
      <c r="Q45" s="905"/>
      <c r="R45" s="905">
        <v>1544575</v>
      </c>
      <c r="S45" s="573">
        <f t="shared" si="4"/>
        <v>1544575</v>
      </c>
      <c r="T45" s="905"/>
      <c r="U45" s="905"/>
      <c r="V45" s="573">
        <f t="shared" si="5"/>
        <v>0</v>
      </c>
      <c r="W45" s="905"/>
      <c r="X45" s="905"/>
      <c r="Y45" s="573">
        <f t="shared" si="6"/>
        <v>0</v>
      </c>
      <c r="Z45" s="905"/>
      <c r="AA45" s="905"/>
      <c r="AB45" s="573">
        <f t="shared" si="9"/>
        <v>0</v>
      </c>
      <c r="AC45" s="574"/>
      <c r="AD45" s="574"/>
    </row>
    <row r="46" spans="1:30" ht="76.5" x14ac:dyDescent="0.2">
      <c r="A46" s="569" t="s">
        <v>1174</v>
      </c>
      <c r="B46" s="904" t="s">
        <v>635</v>
      </c>
      <c r="C46" s="902" t="s">
        <v>1164</v>
      </c>
      <c r="D46" s="905">
        <v>65000</v>
      </c>
      <c r="E46" s="905"/>
      <c r="F46" s="905"/>
      <c r="G46" s="573">
        <f>SUM(E46:F46)</f>
        <v>0</v>
      </c>
      <c r="H46" s="905"/>
      <c r="I46" s="905"/>
      <c r="J46" s="573">
        <f>SUM(H46:I46)</f>
        <v>0</v>
      </c>
      <c r="K46" s="905"/>
      <c r="L46" s="905"/>
      <c r="M46" s="573">
        <f>SUM(K46:L46)</f>
        <v>0</v>
      </c>
      <c r="N46" s="905"/>
      <c r="O46" s="905"/>
      <c r="P46" s="573">
        <f>SUM(N46:O46)</f>
        <v>0</v>
      </c>
      <c r="Q46" s="905"/>
      <c r="R46" s="905">
        <v>65000</v>
      </c>
      <c r="S46" s="573">
        <f>SUM(Q46:R46)</f>
        <v>65000</v>
      </c>
      <c r="T46" s="905"/>
      <c r="U46" s="905"/>
      <c r="V46" s="573">
        <f>SUM(T46:U46)</f>
        <v>0</v>
      </c>
      <c r="W46" s="905"/>
      <c r="X46" s="905"/>
      <c r="Y46" s="573">
        <f>SUM(W46:X46)</f>
        <v>0</v>
      </c>
      <c r="Z46" s="905"/>
      <c r="AA46" s="905"/>
      <c r="AB46" s="573">
        <f>SUM(Z46:AA46)</f>
        <v>0</v>
      </c>
      <c r="AC46" s="574"/>
      <c r="AD46" s="574"/>
    </row>
    <row r="47" spans="1:30" ht="25.5" x14ac:dyDescent="0.2">
      <c r="A47" s="569" t="s">
        <v>1175</v>
      </c>
      <c r="B47" s="904" t="s">
        <v>1186</v>
      </c>
      <c r="C47" s="902" t="s">
        <v>1164</v>
      </c>
      <c r="D47" s="905">
        <v>2000000</v>
      </c>
      <c r="E47" s="905"/>
      <c r="F47" s="905"/>
      <c r="G47" s="573">
        <f>SUM(E47:F47)</f>
        <v>0</v>
      </c>
      <c r="H47" s="905"/>
      <c r="I47" s="905"/>
      <c r="J47" s="573">
        <f>SUM(H47:I47)</f>
        <v>0</v>
      </c>
      <c r="K47" s="905"/>
      <c r="L47" s="905"/>
      <c r="M47" s="573">
        <f>SUM(K47:L47)</f>
        <v>0</v>
      </c>
      <c r="N47" s="905"/>
      <c r="O47" s="905"/>
      <c r="P47" s="573">
        <f>SUM(N47:O47)</f>
        <v>0</v>
      </c>
      <c r="Q47" s="905">
        <v>0</v>
      </c>
      <c r="R47" s="905"/>
      <c r="S47" s="573">
        <f>SUM(Q47:R47)</f>
        <v>0</v>
      </c>
      <c r="T47" s="905">
        <v>200000</v>
      </c>
      <c r="U47" s="905"/>
      <c r="V47" s="573">
        <f>SUM(T47:U47)</f>
        <v>200000</v>
      </c>
      <c r="W47" s="905">
        <v>900000</v>
      </c>
      <c r="X47" s="905"/>
      <c r="Y47" s="573">
        <f>SUM(W47:X47)</f>
        <v>900000</v>
      </c>
      <c r="Z47" s="905">
        <v>900000</v>
      </c>
      <c r="AA47" s="905"/>
      <c r="AB47" s="573">
        <f>SUM(Z47:AA47)</f>
        <v>900000</v>
      </c>
      <c r="AC47" s="574"/>
      <c r="AD47" s="574"/>
    </row>
    <row r="48" spans="1:30" ht="13.5" thickBot="1" x14ac:dyDescent="0.25">
      <c r="A48" s="569" t="s">
        <v>1177</v>
      </c>
      <c r="B48" s="904" t="s">
        <v>925</v>
      </c>
      <c r="C48" s="902" t="s">
        <v>1164</v>
      </c>
      <c r="D48" s="905">
        <v>30000</v>
      </c>
      <c r="E48" s="905"/>
      <c r="F48" s="905"/>
      <c r="G48" s="573">
        <f>SUM(E48:F48)</f>
        <v>0</v>
      </c>
      <c r="H48" s="905"/>
      <c r="I48" s="905"/>
      <c r="J48" s="573">
        <f>SUM(H48:I48)</f>
        <v>0</v>
      </c>
      <c r="K48" s="905"/>
      <c r="L48" s="905"/>
      <c r="M48" s="573">
        <f>SUM(K48:L48)</f>
        <v>0</v>
      </c>
      <c r="N48" s="905"/>
      <c r="O48" s="905"/>
      <c r="P48" s="573">
        <f>SUM(N48:O48)</f>
        <v>0</v>
      </c>
      <c r="Q48" s="905">
        <v>30000</v>
      </c>
      <c r="R48" s="905"/>
      <c r="S48" s="573">
        <f>SUM(Q48:R48)</f>
        <v>30000</v>
      </c>
      <c r="T48" s="905"/>
      <c r="U48" s="905"/>
      <c r="V48" s="573">
        <f>SUM(T48:U48)</f>
        <v>0</v>
      </c>
      <c r="W48" s="905"/>
      <c r="X48" s="905"/>
      <c r="Y48" s="573">
        <f>SUM(W48:X48)</f>
        <v>0</v>
      </c>
      <c r="Z48" s="905"/>
      <c r="AA48" s="905"/>
      <c r="AB48" s="573">
        <f>SUM(Z48:AA48)</f>
        <v>0</v>
      </c>
      <c r="AC48" s="574"/>
      <c r="AD48" s="574"/>
    </row>
    <row r="49" spans="1:30" s="898" customFormat="1" ht="13.5" thickBot="1" x14ac:dyDescent="0.25">
      <c r="A49" s="907"/>
      <c r="B49" s="908" t="s">
        <v>536</v>
      </c>
      <c r="C49" s="908"/>
      <c r="D49" s="909">
        <f t="shared" ref="D49:AB49" si="26">SUM(D8:D48)</f>
        <v>59979683</v>
      </c>
      <c r="E49" s="909">
        <f t="shared" si="26"/>
        <v>0</v>
      </c>
      <c r="F49" s="909">
        <f t="shared" si="26"/>
        <v>417000</v>
      </c>
      <c r="G49" s="909">
        <f t="shared" si="26"/>
        <v>417000</v>
      </c>
      <c r="H49" s="909">
        <f t="shared" si="26"/>
        <v>901860</v>
      </c>
      <c r="I49" s="909">
        <f t="shared" si="26"/>
        <v>8253631</v>
      </c>
      <c r="J49" s="909">
        <f t="shared" si="26"/>
        <v>9155491</v>
      </c>
      <c r="K49" s="909">
        <f t="shared" si="26"/>
        <v>677754</v>
      </c>
      <c r="L49" s="909">
        <f t="shared" si="26"/>
        <v>9972675</v>
      </c>
      <c r="M49" s="909">
        <f t="shared" si="26"/>
        <v>10650429</v>
      </c>
      <c r="N49" s="909">
        <f t="shared" si="26"/>
        <v>1256346</v>
      </c>
      <c r="O49" s="909">
        <f t="shared" si="26"/>
        <v>7415128</v>
      </c>
      <c r="P49" s="909">
        <f t="shared" si="26"/>
        <v>8671474</v>
      </c>
      <c r="Q49" s="909">
        <f t="shared" si="26"/>
        <v>1695839</v>
      </c>
      <c r="R49" s="909">
        <f t="shared" si="26"/>
        <v>7464735</v>
      </c>
      <c r="S49" s="909">
        <f t="shared" si="26"/>
        <v>9160574</v>
      </c>
      <c r="T49" s="909">
        <f t="shared" si="26"/>
        <v>7167305</v>
      </c>
      <c r="U49" s="909">
        <f t="shared" si="26"/>
        <v>882954</v>
      </c>
      <c r="V49" s="909">
        <f t="shared" si="26"/>
        <v>8050259</v>
      </c>
      <c r="W49" s="909">
        <f t="shared" si="26"/>
        <v>3770995</v>
      </c>
      <c r="X49" s="909">
        <f t="shared" si="26"/>
        <v>6015000</v>
      </c>
      <c r="Y49" s="909">
        <f t="shared" si="26"/>
        <v>9785995</v>
      </c>
      <c r="Z49" s="909">
        <f t="shared" si="26"/>
        <v>2503249</v>
      </c>
      <c r="AA49" s="909">
        <f t="shared" si="26"/>
        <v>0</v>
      </c>
      <c r="AB49" s="909">
        <f t="shared" si="26"/>
        <v>2503249</v>
      </c>
      <c r="AC49" s="574"/>
      <c r="AD49" s="574"/>
    </row>
    <row r="50" spans="1:30" s="898" customFormat="1" x14ac:dyDescent="0.2">
      <c r="B50" s="901"/>
      <c r="C50" s="901"/>
      <c r="D50" s="910"/>
      <c r="E50" s="910"/>
      <c r="F50" s="910"/>
      <c r="G50" s="910"/>
      <c r="H50" s="910"/>
      <c r="I50" s="910"/>
      <c r="J50" s="910"/>
      <c r="K50" s="910"/>
      <c r="L50" s="910"/>
      <c r="M50" s="910"/>
      <c r="N50" s="910"/>
      <c r="O50" s="910"/>
      <c r="P50" s="910"/>
      <c r="Q50" s="910"/>
      <c r="R50" s="910"/>
      <c r="S50" s="910"/>
      <c r="T50" s="910"/>
      <c r="U50" s="910"/>
      <c r="V50" s="910"/>
      <c r="W50" s="910"/>
      <c r="X50" s="910"/>
      <c r="Y50" s="910"/>
      <c r="Z50" s="910"/>
      <c r="AA50" s="910"/>
      <c r="AB50" s="910"/>
      <c r="AC50" s="574"/>
      <c r="AD50" s="574"/>
    </row>
    <row r="51" spans="1:30" ht="27" customHeight="1" x14ac:dyDescent="0.2">
      <c r="A51" s="1060" t="s">
        <v>1178</v>
      </c>
      <c r="B51" s="1060"/>
      <c r="C51" s="911"/>
      <c r="D51" s="894"/>
      <c r="E51" s="894"/>
      <c r="F51" s="894"/>
      <c r="G51" s="894"/>
      <c r="H51" s="894"/>
      <c r="I51" s="894"/>
      <c r="J51" s="894"/>
      <c r="K51" s="894"/>
      <c r="L51" s="894"/>
      <c r="M51" s="894"/>
      <c r="N51" s="894"/>
      <c r="O51" s="894"/>
      <c r="P51" s="894"/>
      <c r="Q51" s="894"/>
      <c r="R51" s="894"/>
      <c r="S51" s="894"/>
      <c r="T51" s="894"/>
      <c r="U51" s="894"/>
      <c r="V51" s="894"/>
      <c r="W51" s="894"/>
      <c r="X51" s="894"/>
      <c r="Y51" s="894"/>
      <c r="Z51" s="894"/>
      <c r="AA51" s="894"/>
      <c r="AB51" s="894"/>
    </row>
    <row r="52" spans="1:30" ht="13.15" customHeight="1" x14ac:dyDescent="0.2">
      <c r="B52" s="575"/>
      <c r="D52" s="894"/>
      <c r="E52" s="894"/>
      <c r="F52" s="894"/>
      <c r="G52" s="894"/>
      <c r="H52" s="894"/>
      <c r="I52" s="894"/>
      <c r="J52" s="894"/>
      <c r="K52" s="894"/>
      <c r="L52" s="894"/>
      <c r="M52" s="894"/>
      <c r="N52" s="894"/>
      <c r="O52" s="894"/>
      <c r="P52" s="894"/>
      <c r="Q52" s="894"/>
      <c r="R52" s="894"/>
      <c r="S52" s="894"/>
      <c r="T52" s="894"/>
      <c r="U52" s="894"/>
      <c r="V52" s="894"/>
      <c r="W52" s="894"/>
      <c r="X52" s="894"/>
      <c r="Y52" s="894"/>
      <c r="Z52" s="894"/>
      <c r="AA52" s="894"/>
      <c r="AB52" s="894"/>
    </row>
  </sheetData>
  <mergeCells count="13">
    <mergeCell ref="A51:B51"/>
    <mergeCell ref="K6:M6"/>
    <mergeCell ref="N6:P6"/>
    <mergeCell ref="Q6:S6"/>
    <mergeCell ref="T6:V6"/>
    <mergeCell ref="W6:Y6"/>
    <mergeCell ref="Z6:AB6"/>
    <mergeCell ref="A6:A7"/>
    <mergeCell ref="B6:B7"/>
    <mergeCell ref="C6:C7"/>
    <mergeCell ref="D6:D7"/>
    <mergeCell ref="E6:G6"/>
    <mergeCell ref="H6:J6"/>
  </mergeCells>
  <phoneticPr fontId="34" type="noConversion"/>
  <printOptions horizontalCentered="1"/>
  <pageMargins left="0.19685039370078741" right="0.15748031496062992" top="0.69" bottom="0.43307086614173229" header="0.27" footer="0.15748031496062992"/>
  <pageSetup paperSize="9" scale="70" orientation="landscape" r:id="rId1"/>
  <headerFooter alignWithMargins="0">
    <oddHeader>&amp;C&amp;"Times New Roman,Félkövér dőlt"
Európai uniós és hazai forrásból megvalósuló projektek 
támogatástartalmának bemutatása 2015-2022. évekre (eFt-ban)</oddHeader>
  </headerFooter>
  <rowBreaks count="1" manualBreakCount="1">
    <brk id="28" max="16383" man="1"/>
  </rowBreaks>
  <colBreaks count="1" manualBreakCount="1">
    <brk id="1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EF542-650A-4120-90B6-04A444F7A769}">
  <sheetPr>
    <tabColor rgb="FF00B0F0"/>
  </sheetPr>
  <dimension ref="A1:E2107"/>
  <sheetViews>
    <sheetView workbookViewId="0">
      <selection activeCell="A3" sqref="A3"/>
    </sheetView>
  </sheetViews>
  <sheetFormatPr defaultRowHeight="15" x14ac:dyDescent="0.25"/>
  <cols>
    <col min="1" max="1" width="39.25" style="873" customWidth="1"/>
    <col min="2" max="5" width="11.75" style="873" customWidth="1"/>
    <col min="6" max="16384" width="9" style="873"/>
  </cols>
  <sheetData>
    <row r="1" spans="1:5" ht="15.75" x14ac:dyDescent="0.25">
      <c r="A1" s="1061" t="s">
        <v>1260</v>
      </c>
      <c r="B1" s="1061"/>
      <c r="C1" s="1061"/>
      <c r="D1" s="1062"/>
      <c r="E1" s="1062"/>
    </row>
    <row r="2" spans="1:5" ht="15.75" x14ac:dyDescent="0.25">
      <c r="A2" s="1061" t="s">
        <v>1261</v>
      </c>
      <c r="B2" s="1061"/>
      <c r="C2" s="1061"/>
      <c r="D2" s="1062"/>
      <c r="E2" s="1062"/>
    </row>
    <row r="3" spans="1:5" ht="15.75" x14ac:dyDescent="0.25">
      <c r="A3" s="869"/>
      <c r="B3" s="912"/>
      <c r="C3" s="912"/>
      <c r="D3" s="912"/>
      <c r="E3" s="912"/>
    </row>
    <row r="4" spans="1:5" ht="16.5" thickBot="1" x14ac:dyDescent="0.3">
      <c r="A4" s="869"/>
      <c r="B4" s="912"/>
      <c r="C4" s="912"/>
      <c r="D4" s="912"/>
      <c r="E4" s="912"/>
    </row>
    <row r="5" spans="1:5" ht="49.5" customHeight="1" thickTop="1" thickBot="1" x14ac:dyDescent="0.3">
      <c r="A5" s="913" t="s">
        <v>446</v>
      </c>
      <c r="B5" s="914" t="s">
        <v>1262</v>
      </c>
      <c r="C5" s="914" t="s">
        <v>1263</v>
      </c>
      <c r="D5" s="914" t="s">
        <v>1264</v>
      </c>
      <c r="E5" s="914" t="s">
        <v>1265</v>
      </c>
    </row>
    <row r="6" spans="1:5" ht="16.5" customHeight="1" thickTop="1" x14ac:dyDescent="0.25">
      <c r="A6" s="915" t="s">
        <v>432</v>
      </c>
      <c r="B6" s="916">
        <v>8602</v>
      </c>
      <c r="C6" s="916">
        <v>1241</v>
      </c>
      <c r="D6" s="916"/>
      <c r="E6" s="916"/>
    </row>
    <row r="7" spans="1:5" ht="16.5" customHeight="1" thickBot="1" x14ac:dyDescent="0.3">
      <c r="A7" s="917" t="s">
        <v>431</v>
      </c>
      <c r="B7" s="916">
        <v>3172</v>
      </c>
      <c r="C7" s="916">
        <v>439</v>
      </c>
      <c r="D7" s="916">
        <v>10586</v>
      </c>
      <c r="E7" s="916">
        <v>2858</v>
      </c>
    </row>
    <row r="8" spans="1:5" ht="17.25" customHeight="1" thickTop="1" thickBot="1" x14ac:dyDescent="0.3">
      <c r="A8" s="918" t="s">
        <v>1249</v>
      </c>
      <c r="B8" s="919">
        <f t="shared" ref="B8:E8" si="0">SUM(B6:B7)</f>
        <v>11774</v>
      </c>
      <c r="C8" s="919">
        <f t="shared" si="0"/>
        <v>1680</v>
      </c>
      <c r="D8" s="919">
        <f t="shared" si="0"/>
        <v>10586</v>
      </c>
      <c r="E8" s="919">
        <f t="shared" si="0"/>
        <v>2858</v>
      </c>
    </row>
    <row r="9" spans="1:5" ht="16.5" customHeight="1" thickTop="1" x14ac:dyDescent="0.25">
      <c r="A9" s="920" t="s">
        <v>429</v>
      </c>
      <c r="B9" s="916">
        <v>5385</v>
      </c>
      <c r="C9" s="916">
        <v>480</v>
      </c>
      <c r="D9" s="916">
        <v>3698</v>
      </c>
      <c r="E9" s="916">
        <v>998</v>
      </c>
    </row>
    <row r="10" spans="1:5" ht="16.5" customHeight="1" x14ac:dyDescent="0.25">
      <c r="A10" s="921" t="s">
        <v>1250</v>
      </c>
      <c r="B10" s="916">
        <v>2995</v>
      </c>
      <c r="C10" s="916">
        <v>388</v>
      </c>
      <c r="D10" s="916">
        <v>4705</v>
      </c>
      <c r="E10" s="916">
        <v>1270</v>
      </c>
    </row>
    <row r="11" spans="1:5" ht="16.5" customHeight="1" x14ac:dyDescent="0.25">
      <c r="A11" s="922" t="s">
        <v>428</v>
      </c>
      <c r="B11" s="916">
        <v>1783</v>
      </c>
      <c r="C11" s="916">
        <v>481</v>
      </c>
      <c r="D11" s="916">
        <v>3376</v>
      </c>
      <c r="E11" s="916">
        <v>912</v>
      </c>
    </row>
    <row r="12" spans="1:5" ht="16.5" customHeight="1" x14ac:dyDescent="0.25">
      <c r="A12" s="921" t="s">
        <v>1251</v>
      </c>
      <c r="B12" s="916">
        <v>1534</v>
      </c>
      <c r="C12" s="916">
        <v>414</v>
      </c>
      <c r="D12" s="916">
        <v>2278</v>
      </c>
      <c r="E12" s="916">
        <v>516</v>
      </c>
    </row>
    <row r="13" spans="1:5" ht="16.5" customHeight="1" x14ac:dyDescent="0.25">
      <c r="A13" s="922" t="s">
        <v>1252</v>
      </c>
      <c r="B13" s="916">
        <v>5072</v>
      </c>
      <c r="C13" s="916">
        <v>487</v>
      </c>
      <c r="D13" s="916">
        <v>4665</v>
      </c>
      <c r="E13" s="916">
        <v>1260</v>
      </c>
    </row>
    <row r="14" spans="1:5" ht="16.5" customHeight="1" thickBot="1" x14ac:dyDescent="0.3">
      <c r="A14" s="923" t="s">
        <v>1253</v>
      </c>
      <c r="B14" s="916">
        <v>3824</v>
      </c>
      <c r="C14" s="916">
        <v>412</v>
      </c>
      <c r="D14" s="916">
        <v>3914</v>
      </c>
      <c r="E14" s="916">
        <v>1057</v>
      </c>
    </row>
    <row r="15" spans="1:5" ht="17.25" customHeight="1" thickTop="1" thickBot="1" x14ac:dyDescent="0.3">
      <c r="A15" s="924" t="s">
        <v>426</v>
      </c>
      <c r="B15" s="919">
        <f t="shared" ref="B15:E15" si="1">SUM(B9:B14)</f>
        <v>20593</v>
      </c>
      <c r="C15" s="919">
        <f t="shared" si="1"/>
        <v>2662</v>
      </c>
      <c r="D15" s="919">
        <f t="shared" si="1"/>
        <v>22636</v>
      </c>
      <c r="E15" s="919">
        <f t="shared" si="1"/>
        <v>6013</v>
      </c>
    </row>
    <row r="16" spans="1:5" ht="16.5" customHeight="1" thickTop="1" x14ac:dyDescent="0.25">
      <c r="A16" s="925" t="s">
        <v>425</v>
      </c>
      <c r="B16" s="916">
        <v>9886</v>
      </c>
      <c r="C16" s="916">
        <v>951</v>
      </c>
      <c r="D16" s="916">
        <v>35766</v>
      </c>
      <c r="E16" s="916">
        <v>7657</v>
      </c>
    </row>
    <row r="17" spans="1:5" ht="16.5" customHeight="1" x14ac:dyDescent="0.25">
      <c r="A17" s="925" t="s">
        <v>1254</v>
      </c>
      <c r="B17" s="916">
        <v>7692</v>
      </c>
      <c r="C17" s="916">
        <v>892</v>
      </c>
      <c r="D17" s="916">
        <v>35675</v>
      </c>
      <c r="E17" s="916">
        <v>9632</v>
      </c>
    </row>
    <row r="18" spans="1:5" ht="16.5" customHeight="1" x14ac:dyDescent="0.25">
      <c r="A18" s="925" t="s">
        <v>1255</v>
      </c>
      <c r="B18" s="916">
        <v>7423</v>
      </c>
      <c r="C18" s="916">
        <v>2004</v>
      </c>
      <c r="D18" s="916">
        <v>58427</v>
      </c>
      <c r="E18" s="916">
        <v>15775</v>
      </c>
    </row>
    <row r="19" spans="1:5" ht="16.5" customHeight="1" x14ac:dyDescent="0.25">
      <c r="A19" s="925" t="s">
        <v>424</v>
      </c>
      <c r="B19" s="916">
        <v>4607</v>
      </c>
      <c r="C19" s="916">
        <v>785</v>
      </c>
      <c r="D19" s="916">
        <v>39638</v>
      </c>
      <c r="E19" s="916">
        <v>10702</v>
      </c>
    </row>
    <row r="20" spans="1:5" ht="16.5" customHeight="1" x14ac:dyDescent="0.25">
      <c r="A20" s="925" t="s">
        <v>423</v>
      </c>
      <c r="B20" s="916">
        <v>10251</v>
      </c>
      <c r="C20" s="916">
        <v>1083</v>
      </c>
      <c r="D20" s="916">
        <v>26730</v>
      </c>
      <c r="E20" s="916">
        <v>7217</v>
      </c>
    </row>
    <row r="21" spans="1:5" ht="16.5" customHeight="1" x14ac:dyDescent="0.25">
      <c r="A21" s="925" t="s">
        <v>422</v>
      </c>
      <c r="B21" s="916">
        <v>4007</v>
      </c>
      <c r="C21" s="916">
        <v>1082</v>
      </c>
      <c r="D21" s="916">
        <v>25804</v>
      </c>
      <c r="E21" s="916">
        <v>6967</v>
      </c>
    </row>
    <row r="22" spans="1:5" ht="16.5" customHeight="1" x14ac:dyDescent="0.25">
      <c r="A22" s="925" t="s">
        <v>421</v>
      </c>
      <c r="B22" s="916">
        <v>6218</v>
      </c>
      <c r="C22" s="916">
        <v>906</v>
      </c>
      <c r="D22" s="916">
        <v>38365</v>
      </c>
      <c r="E22" s="916">
        <v>10359</v>
      </c>
    </row>
    <row r="23" spans="1:5" ht="16.5" customHeight="1" x14ac:dyDescent="0.25">
      <c r="A23" s="925" t="s">
        <v>465</v>
      </c>
      <c r="B23" s="916">
        <v>6843</v>
      </c>
      <c r="C23" s="916">
        <v>744</v>
      </c>
      <c r="D23" s="916">
        <v>27377</v>
      </c>
      <c r="E23" s="916">
        <v>7392</v>
      </c>
    </row>
    <row r="24" spans="1:5" ht="16.5" customHeight="1" x14ac:dyDescent="0.25">
      <c r="A24" s="925" t="s">
        <v>420</v>
      </c>
      <c r="B24" s="916">
        <v>1015</v>
      </c>
      <c r="C24" s="916">
        <v>274</v>
      </c>
      <c r="D24" s="916">
        <v>9930</v>
      </c>
      <c r="E24" s="916">
        <v>2681</v>
      </c>
    </row>
    <row r="25" spans="1:5" ht="16.5" customHeight="1" x14ac:dyDescent="0.25">
      <c r="A25" s="925" t="s">
        <v>466</v>
      </c>
      <c r="B25" s="916">
        <v>10728</v>
      </c>
      <c r="C25" s="916">
        <v>1379</v>
      </c>
      <c r="D25" s="916">
        <v>39661</v>
      </c>
      <c r="E25" s="916">
        <v>10708</v>
      </c>
    </row>
    <row r="26" spans="1:5" ht="16.5" customHeight="1" x14ac:dyDescent="0.25">
      <c r="A26" s="925" t="s">
        <v>419</v>
      </c>
      <c r="B26" s="916">
        <v>7107</v>
      </c>
      <c r="C26" s="916">
        <v>962</v>
      </c>
      <c r="D26" s="916">
        <v>37197</v>
      </c>
      <c r="E26" s="916">
        <v>10043</v>
      </c>
    </row>
    <row r="27" spans="1:5" ht="16.5" customHeight="1" thickBot="1" x14ac:dyDescent="0.3">
      <c r="A27" s="925" t="s">
        <v>418</v>
      </c>
      <c r="B27" s="916">
        <v>7175</v>
      </c>
      <c r="C27" s="916">
        <v>701</v>
      </c>
      <c r="D27" s="916">
        <v>36419</v>
      </c>
      <c r="E27" s="916">
        <v>9833</v>
      </c>
    </row>
    <row r="28" spans="1:5" ht="17.25" customHeight="1" thickTop="1" thickBot="1" x14ac:dyDescent="0.3">
      <c r="A28" s="926" t="s">
        <v>417</v>
      </c>
      <c r="B28" s="919">
        <f t="shared" ref="B28:E28" si="2">SUM(B16:B27)</f>
        <v>82952</v>
      </c>
      <c r="C28" s="919">
        <f t="shared" si="2"/>
        <v>11763</v>
      </c>
      <c r="D28" s="919">
        <f t="shared" si="2"/>
        <v>410989</v>
      </c>
      <c r="E28" s="919">
        <f t="shared" si="2"/>
        <v>108966</v>
      </c>
    </row>
    <row r="29" spans="1:5" ht="17.25" thickTop="1" thickBot="1" x14ac:dyDescent="0.3">
      <c r="A29" s="926" t="s">
        <v>1256</v>
      </c>
      <c r="B29" s="919">
        <f>B28+B15+B8</f>
        <v>115319</v>
      </c>
      <c r="C29" s="919">
        <f>C28+C15+C8</f>
        <v>16105</v>
      </c>
      <c r="D29" s="919">
        <f t="shared" ref="D29:E29" si="3">D28+D15+D8</f>
        <v>444211</v>
      </c>
      <c r="E29" s="919">
        <f t="shared" si="3"/>
        <v>117837</v>
      </c>
    </row>
    <row r="30" spans="1:5" ht="16.5" customHeight="1" thickTop="1" x14ac:dyDescent="0.25">
      <c r="A30" s="925" t="s">
        <v>388</v>
      </c>
      <c r="B30" s="916">
        <v>33310</v>
      </c>
      <c r="C30" s="916">
        <v>8185</v>
      </c>
      <c r="D30" s="916">
        <v>152641</v>
      </c>
      <c r="E30" s="916">
        <v>41213</v>
      </c>
    </row>
    <row r="31" spans="1:5" ht="34.5" customHeight="1" x14ac:dyDescent="0.25">
      <c r="A31" s="925" t="s">
        <v>467</v>
      </c>
      <c r="B31" s="916">
        <v>1917</v>
      </c>
      <c r="C31" s="916">
        <v>284</v>
      </c>
      <c r="D31" s="916"/>
      <c r="E31" s="916"/>
    </row>
    <row r="32" spans="1:5" ht="16.5" customHeight="1" thickBot="1" x14ac:dyDescent="0.3">
      <c r="A32" s="925" t="s">
        <v>397</v>
      </c>
      <c r="B32" s="916">
        <v>15387</v>
      </c>
      <c r="C32" s="916">
        <v>3900</v>
      </c>
      <c r="D32" s="916">
        <v>13198</v>
      </c>
      <c r="E32" s="916">
        <v>3563</v>
      </c>
    </row>
    <row r="33" spans="1:5" ht="17.25" customHeight="1" thickTop="1" thickBot="1" x14ac:dyDescent="0.3">
      <c r="A33" s="926" t="s">
        <v>415</v>
      </c>
      <c r="B33" s="919">
        <f t="shared" ref="B33:E33" si="4">SUM(B30:B32)</f>
        <v>50614</v>
      </c>
      <c r="C33" s="919">
        <f t="shared" si="4"/>
        <v>12369</v>
      </c>
      <c r="D33" s="919">
        <f t="shared" si="4"/>
        <v>165839</v>
      </c>
      <c r="E33" s="919">
        <f t="shared" si="4"/>
        <v>44776</v>
      </c>
    </row>
    <row r="34" spans="1:5" ht="17.25" thickTop="1" thickBot="1" x14ac:dyDescent="0.3">
      <c r="A34" s="926" t="s">
        <v>1257</v>
      </c>
      <c r="B34" s="919">
        <v>42858</v>
      </c>
      <c r="C34" s="919"/>
      <c r="D34" s="919">
        <v>848824</v>
      </c>
      <c r="E34" s="919">
        <v>229182</v>
      </c>
    </row>
    <row r="35" spans="1:5" ht="16.5" customHeight="1" thickTop="1" x14ac:dyDescent="0.25">
      <c r="A35" s="915" t="s">
        <v>413</v>
      </c>
      <c r="B35" s="916">
        <v>2424</v>
      </c>
      <c r="C35" s="916">
        <v>229</v>
      </c>
      <c r="D35" s="916"/>
      <c r="E35" s="916"/>
    </row>
    <row r="36" spans="1:5" ht="16.5" customHeight="1" x14ac:dyDescent="0.25">
      <c r="A36" s="915" t="s">
        <v>412</v>
      </c>
      <c r="B36" s="916">
        <v>13936</v>
      </c>
      <c r="C36" s="916">
        <v>1632</v>
      </c>
      <c r="D36" s="916"/>
      <c r="E36" s="916"/>
    </row>
    <row r="37" spans="1:5" ht="16.5" customHeight="1" x14ac:dyDescent="0.25">
      <c r="A37" s="915" t="s">
        <v>411</v>
      </c>
      <c r="B37" s="916">
        <v>33171</v>
      </c>
      <c r="C37" s="916">
        <v>5547</v>
      </c>
      <c r="D37" s="916"/>
      <c r="E37" s="916"/>
    </row>
    <row r="38" spans="1:5" ht="16.5" customHeight="1" x14ac:dyDescent="0.25">
      <c r="A38" s="915" t="s">
        <v>685</v>
      </c>
      <c r="B38" s="916">
        <v>1050</v>
      </c>
      <c r="C38" s="916">
        <v>284</v>
      </c>
      <c r="D38" s="916"/>
      <c r="E38" s="916"/>
    </row>
    <row r="39" spans="1:5" ht="16.5" customHeight="1" x14ac:dyDescent="0.25">
      <c r="A39" s="915" t="s">
        <v>410</v>
      </c>
      <c r="B39" s="916">
        <v>5541</v>
      </c>
      <c r="C39" s="916">
        <v>1496</v>
      </c>
      <c r="D39" s="916"/>
      <c r="E39" s="916"/>
    </row>
    <row r="40" spans="1:5" ht="16.5" customHeight="1" x14ac:dyDescent="0.25">
      <c r="A40" s="915" t="s">
        <v>409</v>
      </c>
      <c r="B40" s="916">
        <v>45900</v>
      </c>
      <c r="C40" s="916">
        <v>8124</v>
      </c>
      <c r="D40" s="916"/>
      <c r="E40" s="916"/>
    </row>
    <row r="41" spans="1:5" ht="15.75" x14ac:dyDescent="0.25">
      <c r="A41" s="915" t="s">
        <v>674</v>
      </c>
      <c r="B41" s="916">
        <v>413</v>
      </c>
      <c r="C41" s="916">
        <v>112</v>
      </c>
      <c r="D41" s="916"/>
      <c r="E41" s="916"/>
    </row>
    <row r="42" spans="1:5" ht="16.5" thickBot="1" x14ac:dyDescent="0.3">
      <c r="A42" s="915" t="s">
        <v>406</v>
      </c>
      <c r="B42" s="916">
        <v>14306</v>
      </c>
      <c r="C42" s="916">
        <v>2199</v>
      </c>
      <c r="D42" s="916"/>
      <c r="E42" s="916"/>
    </row>
    <row r="43" spans="1:5" ht="17.25" thickTop="1" thickBot="1" x14ac:dyDescent="0.3">
      <c r="A43" s="835" t="s">
        <v>1258</v>
      </c>
      <c r="B43" s="919">
        <f t="shared" ref="B43:C43" si="5">SUM(B35:B42)</f>
        <v>116741</v>
      </c>
      <c r="C43" s="919">
        <f t="shared" si="5"/>
        <v>19623</v>
      </c>
      <c r="D43" s="919"/>
      <c r="E43" s="919"/>
    </row>
    <row r="44" spans="1:5" ht="17.25" thickTop="1" thickBot="1" x14ac:dyDescent="0.3">
      <c r="A44" s="927" t="s">
        <v>404</v>
      </c>
      <c r="B44" s="928">
        <f t="shared" ref="B44:E44" si="6">B43+B34+B33+B29</f>
        <v>325532</v>
      </c>
      <c r="C44" s="928">
        <f t="shared" si="6"/>
        <v>48097</v>
      </c>
      <c r="D44" s="928">
        <f t="shared" si="6"/>
        <v>1458874</v>
      </c>
      <c r="E44" s="928">
        <f t="shared" si="6"/>
        <v>391795</v>
      </c>
    </row>
    <row r="45" spans="1:5" ht="17.25" thickTop="1" thickBot="1" x14ac:dyDescent="0.3">
      <c r="A45" s="927" t="s">
        <v>403</v>
      </c>
      <c r="B45" s="928">
        <v>31457</v>
      </c>
      <c r="C45" s="928">
        <v>4010</v>
      </c>
      <c r="D45" s="928"/>
      <c r="E45" s="928"/>
    </row>
    <row r="46" spans="1:5" ht="17.25" thickTop="1" thickBot="1" x14ac:dyDescent="0.3">
      <c r="A46" s="835" t="s">
        <v>1259</v>
      </c>
      <c r="B46" s="919">
        <f t="shared" ref="B46:E46" si="7">B45+B44</f>
        <v>356989</v>
      </c>
      <c r="C46" s="919">
        <f t="shared" si="7"/>
        <v>52107</v>
      </c>
      <c r="D46" s="919">
        <f t="shared" si="7"/>
        <v>1458874</v>
      </c>
      <c r="E46" s="919">
        <f t="shared" si="7"/>
        <v>391795</v>
      </c>
    </row>
    <row r="47" spans="1:5" ht="16.5" thickTop="1" x14ac:dyDescent="0.25">
      <c r="A47" s="869"/>
      <c r="B47" s="912"/>
      <c r="C47" s="912"/>
      <c r="D47" s="912"/>
      <c r="E47" s="912"/>
    </row>
    <row r="48" spans="1:5" ht="15.75" x14ac:dyDescent="0.25">
      <c r="A48" s="869"/>
      <c r="B48" s="912"/>
      <c r="C48" s="912"/>
      <c r="D48" s="912"/>
      <c r="E48" s="912"/>
    </row>
    <row r="49" spans="1:5" ht="15.75" x14ac:dyDescent="0.25">
      <c r="A49" s="869"/>
      <c r="B49" s="912"/>
      <c r="C49" s="912"/>
      <c r="D49" s="912"/>
      <c r="E49" s="912"/>
    </row>
    <row r="50" spans="1:5" ht="15.75" x14ac:dyDescent="0.25">
      <c r="A50" s="869"/>
      <c r="B50" s="912"/>
      <c r="C50" s="912"/>
      <c r="D50" s="912"/>
      <c r="E50" s="912"/>
    </row>
    <row r="51" spans="1:5" ht="15.75" x14ac:dyDescent="0.25">
      <c r="A51" s="869"/>
      <c r="B51" s="912"/>
      <c r="C51" s="912"/>
      <c r="D51" s="912"/>
      <c r="E51" s="912"/>
    </row>
    <row r="52" spans="1:5" ht="15.75" x14ac:dyDescent="0.25">
      <c r="A52" s="869"/>
      <c r="B52" s="912"/>
      <c r="C52" s="912"/>
      <c r="D52" s="912"/>
      <c r="E52" s="912"/>
    </row>
    <row r="53" spans="1:5" ht="15.75" x14ac:dyDescent="0.25">
      <c r="A53" s="869"/>
      <c r="B53" s="912"/>
      <c r="C53" s="912"/>
      <c r="D53" s="912"/>
      <c r="E53" s="912"/>
    </row>
    <row r="54" spans="1:5" ht="15.75" x14ac:dyDescent="0.25">
      <c r="A54" s="869"/>
      <c r="B54" s="912"/>
      <c r="C54" s="912"/>
      <c r="D54" s="912"/>
      <c r="E54" s="912"/>
    </row>
    <row r="55" spans="1:5" ht="15.75" x14ac:dyDescent="0.25">
      <c r="A55" s="869"/>
      <c r="B55" s="912"/>
      <c r="C55" s="912"/>
      <c r="D55" s="912"/>
      <c r="E55" s="912"/>
    </row>
    <row r="56" spans="1:5" ht="15.75" x14ac:dyDescent="0.25">
      <c r="A56" s="869"/>
      <c r="B56" s="912"/>
      <c r="C56" s="912"/>
      <c r="D56" s="912"/>
      <c r="E56" s="912"/>
    </row>
    <row r="57" spans="1:5" ht="15.75" x14ac:dyDescent="0.25">
      <c r="A57" s="869"/>
      <c r="B57" s="912"/>
      <c r="C57" s="912"/>
      <c r="D57" s="912"/>
      <c r="E57" s="912"/>
    </row>
    <row r="58" spans="1:5" ht="15.75" x14ac:dyDescent="0.25">
      <c r="A58" s="869"/>
      <c r="B58" s="912"/>
      <c r="C58" s="912"/>
      <c r="D58" s="912"/>
      <c r="E58" s="912"/>
    </row>
    <row r="59" spans="1:5" ht="15.75" x14ac:dyDescent="0.25">
      <c r="A59" s="869"/>
      <c r="B59" s="912"/>
      <c r="C59" s="912"/>
      <c r="D59" s="912"/>
      <c r="E59" s="912"/>
    </row>
    <row r="60" spans="1:5" ht="15.75" x14ac:dyDescent="0.25">
      <c r="A60" s="869"/>
      <c r="B60" s="912"/>
      <c r="C60" s="912"/>
      <c r="D60" s="912"/>
      <c r="E60" s="912"/>
    </row>
    <row r="61" spans="1:5" ht="15.75" x14ac:dyDescent="0.25">
      <c r="A61" s="869"/>
      <c r="B61" s="912"/>
      <c r="C61" s="912"/>
      <c r="D61" s="912"/>
      <c r="E61" s="912"/>
    </row>
    <row r="62" spans="1:5" ht="15.75" x14ac:dyDescent="0.25">
      <c r="A62" s="869"/>
      <c r="B62" s="912"/>
      <c r="C62" s="912"/>
      <c r="D62" s="912"/>
      <c r="E62" s="912"/>
    </row>
    <row r="63" spans="1:5" ht="15.75" x14ac:dyDescent="0.25">
      <c r="A63" s="869"/>
      <c r="B63" s="912"/>
      <c r="C63" s="912"/>
      <c r="D63" s="912"/>
      <c r="E63" s="912"/>
    </row>
    <row r="64" spans="1:5" ht="15.75" x14ac:dyDescent="0.25">
      <c r="A64" s="869"/>
      <c r="B64" s="912"/>
      <c r="C64" s="912"/>
      <c r="D64" s="912"/>
      <c r="E64" s="912"/>
    </row>
    <row r="65" spans="1:5" ht="15.75" x14ac:dyDescent="0.25">
      <c r="A65" s="869"/>
      <c r="B65" s="912"/>
      <c r="C65" s="912"/>
      <c r="D65" s="912"/>
      <c r="E65" s="912"/>
    </row>
    <row r="66" spans="1:5" ht="15.75" x14ac:dyDescent="0.25">
      <c r="A66" s="869"/>
      <c r="B66" s="912"/>
      <c r="C66" s="912"/>
      <c r="D66" s="912"/>
      <c r="E66" s="912"/>
    </row>
    <row r="67" spans="1:5" ht="15.75" x14ac:dyDescent="0.25">
      <c r="A67" s="869"/>
      <c r="B67" s="912"/>
      <c r="C67" s="912"/>
      <c r="D67" s="912"/>
      <c r="E67" s="912"/>
    </row>
    <row r="68" spans="1:5" ht="15.75" x14ac:dyDescent="0.25">
      <c r="A68" s="869"/>
      <c r="B68" s="912"/>
      <c r="C68" s="912"/>
      <c r="D68" s="912"/>
      <c r="E68" s="912"/>
    </row>
    <row r="69" spans="1:5" ht="15.75" x14ac:dyDescent="0.25">
      <c r="A69" s="869"/>
      <c r="B69" s="912"/>
      <c r="C69" s="912"/>
      <c r="D69" s="912"/>
      <c r="E69" s="912"/>
    </row>
    <row r="70" spans="1:5" ht="15.75" x14ac:dyDescent="0.25">
      <c r="A70" s="869"/>
      <c r="B70" s="912"/>
      <c r="C70" s="912"/>
      <c r="D70" s="912"/>
      <c r="E70" s="912"/>
    </row>
    <row r="71" spans="1:5" ht="15.75" x14ac:dyDescent="0.25">
      <c r="A71" s="869"/>
      <c r="B71" s="912"/>
      <c r="C71" s="912"/>
      <c r="D71" s="912"/>
      <c r="E71" s="912"/>
    </row>
    <row r="72" spans="1:5" ht="15.75" x14ac:dyDescent="0.25">
      <c r="A72" s="869"/>
      <c r="B72" s="912"/>
      <c r="C72" s="912"/>
      <c r="D72" s="912"/>
      <c r="E72" s="912"/>
    </row>
    <row r="73" spans="1:5" ht="15.75" x14ac:dyDescent="0.25">
      <c r="A73" s="869"/>
      <c r="B73" s="912"/>
      <c r="C73" s="912"/>
      <c r="D73" s="912"/>
      <c r="E73" s="912"/>
    </row>
    <row r="74" spans="1:5" ht="15.75" x14ac:dyDescent="0.25">
      <c r="A74" s="869"/>
      <c r="B74" s="912"/>
      <c r="C74" s="912"/>
      <c r="D74" s="912"/>
      <c r="E74" s="912"/>
    </row>
    <row r="75" spans="1:5" ht="15.75" x14ac:dyDescent="0.25">
      <c r="A75" s="869"/>
      <c r="B75" s="912"/>
      <c r="C75" s="912"/>
      <c r="D75" s="912"/>
      <c r="E75" s="912"/>
    </row>
    <row r="76" spans="1:5" ht="15.75" x14ac:dyDescent="0.25">
      <c r="A76" s="869"/>
      <c r="B76" s="912"/>
      <c r="C76" s="912"/>
      <c r="D76" s="912"/>
      <c r="E76" s="912"/>
    </row>
    <row r="77" spans="1:5" ht="15.75" x14ac:dyDescent="0.25">
      <c r="A77" s="869"/>
      <c r="B77" s="912"/>
      <c r="C77" s="912"/>
      <c r="D77" s="912"/>
      <c r="E77" s="912"/>
    </row>
    <row r="78" spans="1:5" ht="15.75" x14ac:dyDescent="0.25">
      <c r="A78" s="869"/>
      <c r="B78" s="912"/>
      <c r="C78" s="912"/>
      <c r="D78" s="912"/>
      <c r="E78" s="912"/>
    </row>
    <row r="79" spans="1:5" ht="15.75" x14ac:dyDescent="0.25">
      <c r="A79" s="869"/>
      <c r="B79" s="912"/>
      <c r="C79" s="912"/>
      <c r="D79" s="912"/>
      <c r="E79" s="912"/>
    </row>
    <row r="80" spans="1:5" ht="15.75" x14ac:dyDescent="0.25">
      <c r="A80" s="869"/>
      <c r="B80" s="912"/>
      <c r="C80" s="912"/>
      <c r="D80" s="912"/>
      <c r="E80" s="912"/>
    </row>
    <row r="81" spans="1:5" ht="15.75" x14ac:dyDescent="0.25">
      <c r="A81" s="869"/>
      <c r="B81" s="912"/>
      <c r="C81" s="912"/>
      <c r="D81" s="912"/>
      <c r="E81" s="912"/>
    </row>
    <row r="82" spans="1:5" ht="15.75" x14ac:dyDescent="0.25">
      <c r="A82" s="869"/>
      <c r="B82" s="912"/>
      <c r="C82" s="912"/>
      <c r="D82" s="912"/>
      <c r="E82" s="912"/>
    </row>
    <row r="83" spans="1:5" ht="15.75" x14ac:dyDescent="0.25">
      <c r="A83" s="869"/>
      <c r="B83" s="912"/>
      <c r="C83" s="912"/>
      <c r="D83" s="912"/>
      <c r="E83" s="912"/>
    </row>
    <row r="84" spans="1:5" ht="15.75" x14ac:dyDescent="0.25">
      <c r="A84" s="869"/>
      <c r="B84" s="912"/>
      <c r="C84" s="912"/>
      <c r="D84" s="912"/>
      <c r="E84" s="912"/>
    </row>
    <row r="85" spans="1:5" ht="15.75" x14ac:dyDescent="0.25">
      <c r="A85" s="869"/>
      <c r="B85" s="912"/>
      <c r="C85" s="912"/>
      <c r="D85" s="912"/>
      <c r="E85" s="912"/>
    </row>
    <row r="86" spans="1:5" ht="15.75" x14ac:dyDescent="0.25">
      <c r="A86" s="869"/>
      <c r="B86" s="912"/>
      <c r="C86" s="912"/>
      <c r="D86" s="912"/>
      <c r="E86" s="912"/>
    </row>
    <row r="87" spans="1:5" ht="15.75" x14ac:dyDescent="0.25">
      <c r="A87" s="869"/>
      <c r="B87" s="912"/>
      <c r="C87" s="912"/>
      <c r="D87" s="912"/>
      <c r="E87" s="912"/>
    </row>
    <row r="88" spans="1:5" ht="15.75" x14ac:dyDescent="0.25">
      <c r="A88" s="869"/>
      <c r="B88" s="912"/>
      <c r="C88" s="912"/>
      <c r="D88" s="912"/>
      <c r="E88" s="912"/>
    </row>
    <row r="89" spans="1:5" ht="15.75" x14ac:dyDescent="0.25">
      <c r="A89" s="869"/>
      <c r="B89" s="912"/>
      <c r="C89" s="912"/>
      <c r="D89" s="912"/>
      <c r="E89" s="912"/>
    </row>
    <row r="90" spans="1:5" ht="15.75" x14ac:dyDescent="0.25">
      <c r="A90" s="869"/>
      <c r="B90" s="912"/>
      <c r="C90" s="912"/>
      <c r="D90" s="912"/>
      <c r="E90" s="912"/>
    </row>
    <row r="91" spans="1:5" ht="15.75" x14ac:dyDescent="0.25">
      <c r="A91" s="869"/>
      <c r="B91" s="912"/>
      <c r="C91" s="912"/>
      <c r="D91" s="912"/>
      <c r="E91" s="912"/>
    </row>
    <row r="92" spans="1:5" ht="15.75" x14ac:dyDescent="0.25">
      <c r="A92" s="869"/>
      <c r="B92" s="912"/>
      <c r="C92" s="912"/>
      <c r="D92" s="912"/>
      <c r="E92" s="912"/>
    </row>
    <row r="93" spans="1:5" ht="15.75" x14ac:dyDescent="0.25">
      <c r="A93" s="869"/>
      <c r="B93" s="912"/>
      <c r="C93" s="912"/>
      <c r="D93" s="912"/>
      <c r="E93" s="912"/>
    </row>
    <row r="94" spans="1:5" ht="15.75" x14ac:dyDescent="0.25">
      <c r="A94" s="869"/>
      <c r="B94" s="912"/>
      <c r="C94" s="912"/>
      <c r="D94" s="912"/>
      <c r="E94" s="912"/>
    </row>
    <row r="95" spans="1:5" ht="15.75" x14ac:dyDescent="0.25">
      <c r="A95" s="869"/>
      <c r="B95" s="912"/>
      <c r="C95" s="912"/>
      <c r="D95" s="912"/>
      <c r="E95" s="912"/>
    </row>
    <row r="96" spans="1:5" ht="15.75" x14ac:dyDescent="0.25">
      <c r="A96" s="869"/>
      <c r="B96" s="912"/>
      <c r="C96" s="912"/>
      <c r="D96" s="912"/>
      <c r="E96" s="912"/>
    </row>
    <row r="97" spans="1:5" ht="15.75" x14ac:dyDescent="0.25">
      <c r="A97" s="869"/>
      <c r="B97" s="912"/>
      <c r="C97" s="912"/>
      <c r="D97" s="912"/>
      <c r="E97" s="912"/>
    </row>
    <row r="98" spans="1:5" ht="15.75" x14ac:dyDescent="0.25">
      <c r="A98" s="869"/>
      <c r="B98" s="912"/>
      <c r="C98" s="912"/>
      <c r="D98" s="912"/>
      <c r="E98" s="912"/>
    </row>
    <row r="99" spans="1:5" ht="15.75" x14ac:dyDescent="0.25">
      <c r="A99" s="869"/>
      <c r="B99" s="912"/>
      <c r="C99" s="912"/>
      <c r="D99" s="912"/>
      <c r="E99" s="912"/>
    </row>
    <row r="100" spans="1:5" ht="15.75" x14ac:dyDescent="0.25">
      <c r="A100" s="869"/>
      <c r="B100" s="912"/>
      <c r="C100" s="912"/>
      <c r="D100" s="912"/>
      <c r="E100" s="912"/>
    </row>
    <row r="101" spans="1:5" ht="15.75" x14ac:dyDescent="0.25">
      <c r="A101" s="869"/>
      <c r="B101" s="912"/>
      <c r="C101" s="912"/>
      <c r="D101" s="912"/>
      <c r="E101" s="912"/>
    </row>
    <row r="102" spans="1:5" ht="15.75" x14ac:dyDescent="0.25">
      <c r="A102" s="869"/>
      <c r="B102" s="912"/>
      <c r="C102" s="912"/>
      <c r="D102" s="912"/>
      <c r="E102" s="912"/>
    </row>
    <row r="103" spans="1:5" ht="15.75" x14ac:dyDescent="0.25">
      <c r="A103" s="869"/>
      <c r="B103" s="912"/>
      <c r="C103" s="912"/>
      <c r="D103" s="912"/>
      <c r="E103" s="912"/>
    </row>
    <row r="104" spans="1:5" ht="15.75" x14ac:dyDescent="0.25">
      <c r="A104" s="869"/>
      <c r="B104" s="912"/>
      <c r="C104" s="912"/>
      <c r="D104" s="912"/>
      <c r="E104" s="912"/>
    </row>
    <row r="105" spans="1:5" ht="15.75" x14ac:dyDescent="0.25">
      <c r="A105" s="869"/>
      <c r="B105" s="912"/>
      <c r="C105" s="912"/>
      <c r="D105" s="912"/>
      <c r="E105" s="912"/>
    </row>
    <row r="106" spans="1:5" ht="15.75" x14ac:dyDescent="0.25">
      <c r="A106" s="869"/>
      <c r="B106" s="912"/>
      <c r="C106" s="912"/>
      <c r="D106" s="912"/>
      <c r="E106" s="912"/>
    </row>
    <row r="107" spans="1:5" ht="15.75" x14ac:dyDescent="0.25">
      <c r="A107" s="869"/>
      <c r="B107" s="912"/>
      <c r="C107" s="912"/>
      <c r="D107" s="912"/>
      <c r="E107" s="912"/>
    </row>
    <row r="108" spans="1:5" ht="15.75" x14ac:dyDescent="0.25">
      <c r="A108" s="869"/>
      <c r="B108" s="912"/>
      <c r="C108" s="912"/>
      <c r="D108" s="912"/>
      <c r="E108" s="912"/>
    </row>
    <row r="109" spans="1:5" ht="15.75" x14ac:dyDescent="0.25">
      <c r="A109" s="869"/>
      <c r="B109" s="912"/>
      <c r="C109" s="912"/>
      <c r="D109" s="912"/>
      <c r="E109" s="912"/>
    </row>
    <row r="110" spans="1:5" ht="15.75" x14ac:dyDescent="0.25">
      <c r="A110" s="869"/>
      <c r="B110" s="912"/>
      <c r="C110" s="912"/>
      <c r="D110" s="912"/>
      <c r="E110" s="912"/>
    </row>
    <row r="111" spans="1:5" ht="15.75" x14ac:dyDescent="0.25">
      <c r="A111" s="869"/>
      <c r="B111" s="912"/>
      <c r="C111" s="912"/>
      <c r="D111" s="912"/>
      <c r="E111" s="912"/>
    </row>
    <row r="112" spans="1:5" ht="15.75" x14ac:dyDescent="0.25">
      <c r="A112" s="869"/>
      <c r="B112" s="912"/>
      <c r="C112" s="912"/>
      <c r="D112" s="912"/>
      <c r="E112" s="912"/>
    </row>
    <row r="113" spans="1:5" ht="15.75" x14ac:dyDescent="0.25">
      <c r="A113" s="869"/>
      <c r="B113" s="912"/>
      <c r="C113" s="912"/>
      <c r="D113" s="912"/>
      <c r="E113" s="912"/>
    </row>
    <row r="114" spans="1:5" ht="15.75" x14ac:dyDescent="0.25">
      <c r="A114" s="869"/>
      <c r="B114" s="912"/>
      <c r="C114" s="912"/>
      <c r="D114" s="912"/>
      <c r="E114" s="912"/>
    </row>
    <row r="115" spans="1:5" ht="15.75" x14ac:dyDescent="0.25">
      <c r="A115" s="869"/>
      <c r="B115" s="912"/>
      <c r="C115" s="912"/>
      <c r="D115" s="912"/>
      <c r="E115" s="912"/>
    </row>
    <row r="116" spans="1:5" ht="15.75" x14ac:dyDescent="0.25">
      <c r="A116" s="869"/>
      <c r="B116" s="912"/>
      <c r="C116" s="912"/>
      <c r="D116" s="912"/>
      <c r="E116" s="912"/>
    </row>
    <row r="117" spans="1:5" ht="15.75" x14ac:dyDescent="0.25">
      <c r="A117" s="869"/>
      <c r="B117" s="912"/>
      <c r="C117" s="912"/>
      <c r="D117" s="912"/>
      <c r="E117" s="912"/>
    </row>
    <row r="118" spans="1:5" ht="15.75" x14ac:dyDescent="0.25">
      <c r="A118" s="869"/>
      <c r="B118" s="912"/>
      <c r="C118" s="912"/>
      <c r="D118" s="912"/>
      <c r="E118" s="912"/>
    </row>
    <row r="119" spans="1:5" ht="15.75" x14ac:dyDescent="0.25">
      <c r="A119" s="869"/>
      <c r="B119" s="912"/>
      <c r="C119" s="912"/>
      <c r="D119" s="912"/>
      <c r="E119" s="912"/>
    </row>
    <row r="120" spans="1:5" ht="15.75" x14ac:dyDescent="0.25">
      <c r="A120" s="869"/>
      <c r="B120" s="912"/>
      <c r="C120" s="912"/>
      <c r="D120" s="912"/>
      <c r="E120" s="912"/>
    </row>
    <row r="121" spans="1:5" ht="15.75" x14ac:dyDescent="0.25">
      <c r="A121" s="869"/>
      <c r="B121" s="912"/>
      <c r="C121" s="912"/>
      <c r="D121" s="912"/>
      <c r="E121" s="912"/>
    </row>
    <row r="122" spans="1:5" ht="15.75" x14ac:dyDescent="0.25">
      <c r="A122" s="869"/>
      <c r="B122" s="912"/>
      <c r="C122" s="912"/>
      <c r="D122" s="912"/>
      <c r="E122" s="912"/>
    </row>
    <row r="123" spans="1:5" ht="15.75" x14ac:dyDescent="0.25">
      <c r="A123" s="869"/>
      <c r="B123" s="912"/>
      <c r="C123" s="912"/>
      <c r="D123" s="912"/>
      <c r="E123" s="912"/>
    </row>
    <row r="124" spans="1:5" ht="15.75" x14ac:dyDescent="0.25">
      <c r="A124" s="869"/>
      <c r="B124" s="912"/>
      <c r="C124" s="912"/>
      <c r="D124" s="912"/>
      <c r="E124" s="912"/>
    </row>
    <row r="125" spans="1:5" ht="15.75" x14ac:dyDescent="0.25">
      <c r="A125" s="869"/>
      <c r="B125" s="912"/>
      <c r="C125" s="912"/>
      <c r="D125" s="912"/>
      <c r="E125" s="912"/>
    </row>
    <row r="126" spans="1:5" ht="15.75" x14ac:dyDescent="0.25">
      <c r="A126" s="869"/>
      <c r="B126" s="912"/>
      <c r="C126" s="912"/>
      <c r="D126" s="912"/>
      <c r="E126" s="912"/>
    </row>
    <row r="127" spans="1:5" ht="15.75" x14ac:dyDescent="0.25">
      <c r="A127" s="869"/>
      <c r="B127" s="912"/>
      <c r="C127" s="912"/>
      <c r="D127" s="912"/>
      <c r="E127" s="912"/>
    </row>
    <row r="128" spans="1:5" ht="15.75" x14ac:dyDescent="0.25">
      <c r="A128" s="869"/>
      <c r="B128" s="912"/>
      <c r="C128" s="912"/>
      <c r="D128" s="912"/>
      <c r="E128" s="912"/>
    </row>
    <row r="129" spans="1:5" ht="15.75" x14ac:dyDescent="0.25">
      <c r="A129" s="869"/>
      <c r="B129" s="912"/>
      <c r="C129" s="912"/>
      <c r="D129" s="912"/>
      <c r="E129" s="912"/>
    </row>
    <row r="130" spans="1:5" ht="15.75" x14ac:dyDescent="0.25">
      <c r="A130" s="869"/>
      <c r="B130" s="912"/>
      <c r="C130" s="912"/>
      <c r="D130" s="912"/>
      <c r="E130" s="912"/>
    </row>
    <row r="131" spans="1:5" ht="15.75" x14ac:dyDescent="0.25">
      <c r="A131" s="869"/>
      <c r="B131" s="912"/>
      <c r="C131" s="912"/>
      <c r="D131" s="912"/>
      <c r="E131" s="912"/>
    </row>
    <row r="132" spans="1:5" ht="15.75" x14ac:dyDescent="0.25">
      <c r="A132" s="869"/>
      <c r="B132" s="912"/>
      <c r="C132" s="912"/>
      <c r="D132" s="912"/>
      <c r="E132" s="912"/>
    </row>
    <row r="133" spans="1:5" ht="15.75" x14ac:dyDescent="0.25">
      <c r="A133" s="869"/>
      <c r="B133" s="912"/>
      <c r="C133" s="912"/>
      <c r="D133" s="912"/>
      <c r="E133" s="912"/>
    </row>
    <row r="134" spans="1:5" ht="15.75" x14ac:dyDescent="0.25">
      <c r="A134" s="869"/>
      <c r="B134" s="912"/>
      <c r="C134" s="912"/>
      <c r="D134" s="912"/>
      <c r="E134" s="912"/>
    </row>
    <row r="135" spans="1:5" ht="15.75" x14ac:dyDescent="0.25">
      <c r="A135" s="869"/>
      <c r="B135" s="912"/>
      <c r="C135" s="912"/>
      <c r="D135" s="912"/>
      <c r="E135" s="912"/>
    </row>
    <row r="136" spans="1:5" ht="15.75" x14ac:dyDescent="0.25">
      <c r="A136" s="869"/>
      <c r="B136" s="912"/>
      <c r="C136" s="912"/>
      <c r="D136" s="912"/>
      <c r="E136" s="912"/>
    </row>
    <row r="137" spans="1:5" ht="15.75" x14ac:dyDescent="0.25">
      <c r="A137" s="869"/>
      <c r="B137" s="912"/>
      <c r="C137" s="912"/>
      <c r="D137" s="912"/>
      <c r="E137" s="912"/>
    </row>
    <row r="138" spans="1:5" ht="15.75" x14ac:dyDescent="0.25">
      <c r="A138" s="869"/>
      <c r="B138" s="912"/>
      <c r="C138" s="912"/>
      <c r="D138" s="912"/>
      <c r="E138" s="912"/>
    </row>
    <row r="139" spans="1:5" ht="15.75" x14ac:dyDescent="0.25">
      <c r="A139" s="869"/>
      <c r="B139" s="912"/>
      <c r="C139" s="912"/>
      <c r="D139" s="912"/>
      <c r="E139" s="912"/>
    </row>
    <row r="140" spans="1:5" ht="15.75" x14ac:dyDescent="0.25">
      <c r="A140" s="869"/>
      <c r="B140" s="912"/>
      <c r="C140" s="912"/>
      <c r="D140" s="912"/>
      <c r="E140" s="912"/>
    </row>
    <row r="141" spans="1:5" ht="15.75" x14ac:dyDescent="0.25">
      <c r="A141" s="869"/>
      <c r="B141" s="912"/>
      <c r="C141" s="912"/>
      <c r="D141" s="912"/>
      <c r="E141" s="912"/>
    </row>
    <row r="142" spans="1:5" ht="15.75" x14ac:dyDescent="0.25">
      <c r="A142" s="869"/>
      <c r="B142" s="912"/>
      <c r="C142" s="912"/>
      <c r="D142" s="912"/>
      <c r="E142" s="912"/>
    </row>
    <row r="143" spans="1:5" ht="15.75" x14ac:dyDescent="0.25">
      <c r="A143" s="869"/>
      <c r="B143" s="912"/>
      <c r="C143" s="912"/>
      <c r="D143" s="912"/>
      <c r="E143" s="912"/>
    </row>
    <row r="144" spans="1:5" ht="15.75" x14ac:dyDescent="0.25">
      <c r="A144" s="869"/>
      <c r="B144" s="912"/>
      <c r="C144" s="912"/>
      <c r="D144" s="912"/>
      <c r="E144" s="912"/>
    </row>
    <row r="145" spans="1:5" ht="15.75" x14ac:dyDescent="0.25">
      <c r="A145" s="869"/>
      <c r="B145" s="912"/>
      <c r="C145" s="912"/>
      <c r="D145" s="912"/>
      <c r="E145" s="912"/>
    </row>
    <row r="146" spans="1:5" ht="15.75" x14ac:dyDescent="0.25">
      <c r="A146" s="869"/>
      <c r="B146" s="912"/>
      <c r="C146" s="912"/>
      <c r="D146" s="912"/>
      <c r="E146" s="912"/>
    </row>
    <row r="147" spans="1:5" ht="15.75" x14ac:dyDescent="0.25">
      <c r="A147" s="869"/>
      <c r="B147" s="912"/>
      <c r="C147" s="912"/>
      <c r="D147" s="912"/>
      <c r="E147" s="912"/>
    </row>
    <row r="148" spans="1:5" ht="15.75" x14ac:dyDescent="0.25">
      <c r="A148" s="869"/>
      <c r="B148" s="912"/>
      <c r="C148" s="912"/>
      <c r="D148" s="912"/>
      <c r="E148" s="912"/>
    </row>
    <row r="149" spans="1:5" ht="15.75" x14ac:dyDescent="0.25">
      <c r="A149" s="869"/>
      <c r="B149" s="912"/>
      <c r="C149" s="912"/>
      <c r="D149" s="912"/>
      <c r="E149" s="912"/>
    </row>
    <row r="150" spans="1:5" ht="15.75" x14ac:dyDescent="0.25">
      <c r="A150" s="869"/>
      <c r="B150" s="912"/>
      <c r="C150" s="912"/>
      <c r="D150" s="912"/>
      <c r="E150" s="912"/>
    </row>
    <row r="151" spans="1:5" ht="15.75" x14ac:dyDescent="0.25">
      <c r="A151" s="869"/>
      <c r="B151" s="912"/>
      <c r="C151" s="912"/>
      <c r="D151" s="912"/>
      <c r="E151" s="912"/>
    </row>
    <row r="152" spans="1:5" ht="15.75" x14ac:dyDescent="0.25">
      <c r="A152" s="869"/>
      <c r="B152" s="912"/>
      <c r="C152" s="912"/>
      <c r="D152" s="912"/>
      <c r="E152" s="912"/>
    </row>
    <row r="153" spans="1:5" ht="15.75" x14ac:dyDescent="0.25">
      <c r="A153" s="869"/>
      <c r="B153" s="912"/>
      <c r="C153" s="912"/>
      <c r="D153" s="912"/>
      <c r="E153" s="912"/>
    </row>
    <row r="154" spans="1:5" ht="15.75" x14ac:dyDescent="0.25">
      <c r="A154" s="869"/>
      <c r="B154" s="912"/>
      <c r="C154" s="912"/>
      <c r="D154" s="912"/>
      <c r="E154" s="912"/>
    </row>
    <row r="155" spans="1:5" ht="15.75" x14ac:dyDescent="0.25">
      <c r="A155" s="869"/>
      <c r="B155" s="912"/>
      <c r="C155" s="912"/>
      <c r="D155" s="912"/>
      <c r="E155" s="912"/>
    </row>
    <row r="156" spans="1:5" ht="15.75" x14ac:dyDescent="0.25">
      <c r="A156" s="869"/>
      <c r="B156" s="912"/>
      <c r="C156" s="912"/>
      <c r="D156" s="912"/>
      <c r="E156" s="912"/>
    </row>
    <row r="157" spans="1:5" ht="15.75" x14ac:dyDescent="0.25">
      <c r="A157" s="869"/>
      <c r="B157" s="912"/>
      <c r="C157" s="912"/>
      <c r="D157" s="912"/>
      <c r="E157" s="912"/>
    </row>
    <row r="158" spans="1:5" ht="15.75" x14ac:dyDescent="0.25">
      <c r="A158" s="869"/>
      <c r="B158" s="912"/>
      <c r="C158" s="912"/>
      <c r="D158" s="912"/>
      <c r="E158" s="912"/>
    </row>
    <row r="159" spans="1:5" ht="15.75" x14ac:dyDescent="0.25">
      <c r="A159" s="869"/>
      <c r="B159" s="912"/>
      <c r="C159" s="912"/>
      <c r="D159" s="912"/>
      <c r="E159" s="912"/>
    </row>
    <row r="160" spans="1:5" ht="15.75" x14ac:dyDescent="0.25">
      <c r="A160" s="869"/>
      <c r="B160" s="912"/>
      <c r="C160" s="912"/>
      <c r="D160" s="912"/>
      <c r="E160" s="912"/>
    </row>
    <row r="161" spans="1:5" ht="15.75" x14ac:dyDescent="0.25">
      <c r="A161" s="869"/>
      <c r="B161" s="912"/>
      <c r="C161" s="912"/>
      <c r="D161" s="912"/>
      <c r="E161" s="912"/>
    </row>
    <row r="162" spans="1:5" ht="15.75" x14ac:dyDescent="0.25">
      <c r="A162" s="869"/>
      <c r="B162" s="912"/>
      <c r="C162" s="912"/>
      <c r="D162" s="912"/>
      <c r="E162" s="912"/>
    </row>
    <row r="163" spans="1:5" ht="15.75" x14ac:dyDescent="0.25">
      <c r="A163" s="869"/>
      <c r="B163" s="912"/>
      <c r="C163" s="912"/>
      <c r="D163" s="912"/>
      <c r="E163" s="912"/>
    </row>
    <row r="164" spans="1:5" ht="15.75" x14ac:dyDescent="0.25">
      <c r="A164" s="869"/>
      <c r="B164" s="912"/>
      <c r="C164" s="912"/>
      <c r="D164" s="912"/>
      <c r="E164" s="912"/>
    </row>
    <row r="165" spans="1:5" ht="15.75" x14ac:dyDescent="0.25">
      <c r="A165" s="869"/>
      <c r="B165" s="912"/>
      <c r="C165" s="912"/>
      <c r="D165" s="912"/>
      <c r="E165" s="912"/>
    </row>
    <row r="166" spans="1:5" ht="15.75" x14ac:dyDescent="0.25">
      <c r="A166" s="869"/>
      <c r="B166" s="912"/>
      <c r="C166" s="912"/>
      <c r="D166" s="912"/>
      <c r="E166" s="912"/>
    </row>
    <row r="167" spans="1:5" ht="15.75" x14ac:dyDescent="0.25">
      <c r="A167" s="869"/>
      <c r="B167" s="912"/>
      <c r="C167" s="912"/>
      <c r="D167" s="912"/>
      <c r="E167" s="912"/>
    </row>
    <row r="168" spans="1:5" ht="15.75" x14ac:dyDescent="0.25">
      <c r="A168" s="869"/>
      <c r="B168" s="912"/>
      <c r="C168" s="912"/>
      <c r="D168" s="912"/>
      <c r="E168" s="912"/>
    </row>
    <row r="169" spans="1:5" ht="15.75" x14ac:dyDescent="0.25">
      <c r="A169" s="869"/>
      <c r="B169" s="912"/>
      <c r="C169" s="912"/>
      <c r="D169" s="912"/>
      <c r="E169" s="912"/>
    </row>
    <row r="170" spans="1:5" ht="15.75" x14ac:dyDescent="0.25">
      <c r="A170" s="869"/>
      <c r="B170" s="912"/>
      <c r="C170" s="912"/>
      <c r="D170" s="912"/>
      <c r="E170" s="912"/>
    </row>
    <row r="171" spans="1:5" ht="15.75" x14ac:dyDescent="0.25">
      <c r="A171" s="869"/>
      <c r="B171" s="912"/>
      <c r="C171" s="912"/>
      <c r="D171" s="912"/>
      <c r="E171" s="912"/>
    </row>
    <row r="172" spans="1:5" ht="15.75" x14ac:dyDescent="0.25">
      <c r="A172" s="869"/>
      <c r="B172" s="912"/>
      <c r="C172" s="912"/>
      <c r="D172" s="912"/>
      <c r="E172" s="912"/>
    </row>
    <row r="173" spans="1:5" ht="15.75" x14ac:dyDescent="0.25">
      <c r="A173" s="869"/>
      <c r="B173" s="912"/>
      <c r="C173" s="912"/>
      <c r="D173" s="912"/>
      <c r="E173" s="912"/>
    </row>
    <row r="174" spans="1:5" ht="15.75" x14ac:dyDescent="0.25">
      <c r="A174" s="869"/>
      <c r="B174" s="912"/>
      <c r="C174" s="912"/>
      <c r="D174" s="912"/>
      <c r="E174" s="912"/>
    </row>
    <row r="175" spans="1:5" ht="15.75" x14ac:dyDescent="0.25">
      <c r="A175" s="869"/>
      <c r="B175" s="912"/>
      <c r="C175" s="912"/>
      <c r="D175" s="912"/>
      <c r="E175" s="912"/>
    </row>
    <row r="176" spans="1:5" ht="15.75" x14ac:dyDescent="0.25">
      <c r="A176" s="869"/>
      <c r="B176" s="912"/>
      <c r="C176" s="912"/>
      <c r="D176" s="912"/>
      <c r="E176" s="912"/>
    </row>
    <row r="177" spans="1:5" ht="15.75" x14ac:dyDescent="0.25">
      <c r="A177" s="869"/>
      <c r="B177" s="912"/>
      <c r="C177" s="912"/>
      <c r="D177" s="912"/>
      <c r="E177" s="912"/>
    </row>
    <row r="178" spans="1:5" ht="15.75" x14ac:dyDescent="0.25">
      <c r="A178" s="869"/>
      <c r="B178" s="912"/>
      <c r="C178" s="912"/>
      <c r="D178" s="912"/>
      <c r="E178" s="912"/>
    </row>
    <row r="179" spans="1:5" ht="15.75" x14ac:dyDescent="0.25">
      <c r="A179" s="869"/>
      <c r="B179" s="912"/>
      <c r="C179" s="912"/>
      <c r="D179" s="912"/>
      <c r="E179" s="912"/>
    </row>
    <row r="180" spans="1:5" ht="15.75" x14ac:dyDescent="0.25">
      <c r="A180" s="869"/>
      <c r="B180" s="912"/>
      <c r="C180" s="912"/>
      <c r="D180" s="912"/>
      <c r="E180" s="912"/>
    </row>
    <row r="181" spans="1:5" ht="15.75" x14ac:dyDescent="0.25">
      <c r="A181" s="869"/>
      <c r="B181" s="912"/>
      <c r="C181" s="912"/>
      <c r="D181" s="912"/>
      <c r="E181" s="912"/>
    </row>
    <row r="182" spans="1:5" ht="15.75" x14ac:dyDescent="0.25">
      <c r="A182" s="869"/>
      <c r="B182" s="912"/>
      <c r="C182" s="912"/>
      <c r="D182" s="912"/>
      <c r="E182" s="912"/>
    </row>
    <row r="183" spans="1:5" ht="15.75" x14ac:dyDescent="0.25">
      <c r="A183" s="869"/>
      <c r="B183" s="912"/>
      <c r="C183" s="912"/>
      <c r="D183" s="912"/>
      <c r="E183" s="912"/>
    </row>
    <row r="184" spans="1:5" ht="15.75" x14ac:dyDescent="0.25">
      <c r="A184" s="869"/>
      <c r="B184" s="912"/>
      <c r="C184" s="912"/>
      <c r="D184" s="912"/>
      <c r="E184" s="912"/>
    </row>
    <row r="185" spans="1:5" ht="15.75" x14ac:dyDescent="0.25">
      <c r="A185" s="869"/>
      <c r="B185" s="912"/>
      <c r="C185" s="912"/>
      <c r="D185" s="912"/>
      <c r="E185" s="912"/>
    </row>
    <row r="186" spans="1:5" ht="15.75" x14ac:dyDescent="0.25">
      <c r="A186" s="869"/>
      <c r="B186" s="912"/>
      <c r="C186" s="912"/>
      <c r="D186" s="912"/>
      <c r="E186" s="912"/>
    </row>
    <row r="187" spans="1:5" ht="15.75" x14ac:dyDescent="0.25">
      <c r="A187" s="869"/>
      <c r="B187" s="912"/>
      <c r="C187" s="912"/>
      <c r="D187" s="912"/>
      <c r="E187" s="912"/>
    </row>
    <row r="188" spans="1:5" ht="15.75" x14ac:dyDescent="0.25">
      <c r="A188" s="869"/>
      <c r="B188" s="912"/>
      <c r="C188" s="912"/>
      <c r="D188" s="912"/>
      <c r="E188" s="912"/>
    </row>
    <row r="189" spans="1:5" ht="15.75" x14ac:dyDescent="0.25">
      <c r="A189" s="869"/>
      <c r="B189" s="912"/>
      <c r="C189" s="912"/>
      <c r="D189" s="912"/>
      <c r="E189" s="912"/>
    </row>
    <row r="190" spans="1:5" ht="15.75" x14ac:dyDescent="0.25">
      <c r="A190" s="869"/>
      <c r="B190" s="912"/>
      <c r="C190" s="912"/>
      <c r="D190" s="912"/>
      <c r="E190" s="912"/>
    </row>
    <row r="191" spans="1:5" ht="15.75" x14ac:dyDescent="0.25">
      <c r="A191" s="869"/>
      <c r="B191" s="912"/>
      <c r="C191" s="912"/>
      <c r="D191" s="912"/>
      <c r="E191" s="912"/>
    </row>
    <row r="192" spans="1:5" ht="15.75" x14ac:dyDescent="0.25">
      <c r="A192" s="869"/>
      <c r="B192" s="912"/>
      <c r="C192" s="912"/>
      <c r="D192" s="912"/>
      <c r="E192" s="912"/>
    </row>
    <row r="193" spans="1:5" ht="15.75" x14ac:dyDescent="0.25">
      <c r="A193" s="869"/>
      <c r="B193" s="912"/>
      <c r="C193" s="912"/>
      <c r="D193" s="912"/>
      <c r="E193" s="912"/>
    </row>
    <row r="194" spans="1:5" ht="15.75" x14ac:dyDescent="0.25">
      <c r="A194" s="869"/>
      <c r="B194" s="912"/>
      <c r="C194" s="912"/>
      <c r="D194" s="912"/>
      <c r="E194" s="912"/>
    </row>
    <row r="195" spans="1:5" ht="15.75" x14ac:dyDescent="0.25">
      <c r="A195" s="869"/>
      <c r="B195" s="912"/>
      <c r="C195" s="912"/>
      <c r="D195" s="912"/>
      <c r="E195" s="912"/>
    </row>
    <row r="196" spans="1:5" ht="15.75" x14ac:dyDescent="0.25">
      <c r="A196" s="869"/>
      <c r="B196" s="912"/>
      <c r="C196" s="912"/>
      <c r="D196" s="912"/>
      <c r="E196" s="912"/>
    </row>
    <row r="197" spans="1:5" ht="15.75" x14ac:dyDescent="0.25">
      <c r="A197" s="869"/>
      <c r="B197" s="912"/>
      <c r="C197" s="912"/>
      <c r="D197" s="912"/>
      <c r="E197" s="912"/>
    </row>
    <row r="198" spans="1:5" ht="15.75" x14ac:dyDescent="0.25">
      <c r="A198" s="869"/>
      <c r="B198" s="912"/>
      <c r="C198" s="912"/>
      <c r="D198" s="912"/>
      <c r="E198" s="912"/>
    </row>
    <row r="199" spans="1:5" ht="15.75" x14ac:dyDescent="0.25">
      <c r="A199" s="869"/>
      <c r="B199" s="912"/>
      <c r="C199" s="912"/>
      <c r="D199" s="912"/>
      <c r="E199" s="912"/>
    </row>
    <row r="200" spans="1:5" ht="15.75" x14ac:dyDescent="0.25">
      <c r="A200" s="869"/>
      <c r="B200" s="912"/>
      <c r="C200" s="912"/>
      <c r="D200" s="912"/>
      <c r="E200" s="912"/>
    </row>
    <row r="201" spans="1:5" ht="15.75" x14ac:dyDescent="0.25">
      <c r="A201" s="869"/>
      <c r="B201" s="912"/>
      <c r="C201" s="912"/>
      <c r="D201" s="912"/>
      <c r="E201" s="912"/>
    </row>
    <row r="202" spans="1:5" ht="15.75" x14ac:dyDescent="0.25">
      <c r="A202" s="869"/>
      <c r="B202" s="912"/>
      <c r="C202" s="912"/>
      <c r="D202" s="912"/>
      <c r="E202" s="912"/>
    </row>
    <row r="203" spans="1:5" ht="15.75" x14ac:dyDescent="0.25">
      <c r="A203" s="869"/>
      <c r="B203" s="912"/>
      <c r="C203" s="912"/>
      <c r="D203" s="912"/>
      <c r="E203" s="912"/>
    </row>
    <row r="204" spans="1:5" ht="15.75" x14ac:dyDescent="0.25">
      <c r="A204" s="869"/>
      <c r="B204" s="912"/>
      <c r="C204" s="912"/>
      <c r="D204" s="912"/>
      <c r="E204" s="912"/>
    </row>
    <row r="205" spans="1:5" ht="15.75" x14ac:dyDescent="0.25">
      <c r="A205" s="869"/>
      <c r="B205" s="912"/>
      <c r="C205" s="912"/>
      <c r="D205" s="912"/>
      <c r="E205" s="912"/>
    </row>
    <row r="206" spans="1:5" ht="15.75" x14ac:dyDescent="0.25">
      <c r="A206" s="869"/>
      <c r="B206" s="912"/>
      <c r="C206" s="912"/>
      <c r="D206" s="912"/>
      <c r="E206" s="912"/>
    </row>
    <row r="207" spans="1:5" ht="15.75" x14ac:dyDescent="0.25">
      <c r="A207" s="869"/>
      <c r="B207" s="912"/>
      <c r="C207" s="912"/>
      <c r="D207" s="912"/>
      <c r="E207" s="912"/>
    </row>
    <row r="208" spans="1:5" ht="15.75" x14ac:dyDescent="0.25">
      <c r="A208" s="869"/>
      <c r="B208" s="912"/>
      <c r="C208" s="912"/>
      <c r="D208" s="912"/>
      <c r="E208" s="912"/>
    </row>
    <row r="209" spans="1:5" ht="15.75" x14ac:dyDescent="0.25">
      <c r="A209" s="869"/>
      <c r="B209" s="912"/>
      <c r="C209" s="912"/>
      <c r="D209" s="912"/>
      <c r="E209" s="912"/>
    </row>
    <row r="210" spans="1:5" ht="15.75" x14ac:dyDescent="0.25">
      <c r="A210" s="869"/>
      <c r="B210" s="912"/>
      <c r="C210" s="912"/>
      <c r="D210" s="912"/>
      <c r="E210" s="912"/>
    </row>
    <row r="211" spans="1:5" ht="15.75" x14ac:dyDescent="0.25">
      <c r="A211" s="869"/>
      <c r="B211" s="912"/>
      <c r="C211" s="912"/>
      <c r="D211" s="912"/>
      <c r="E211" s="912"/>
    </row>
    <row r="212" spans="1:5" ht="15.75" x14ac:dyDescent="0.25">
      <c r="A212" s="869"/>
      <c r="B212" s="912"/>
      <c r="C212" s="912"/>
      <c r="D212" s="912"/>
      <c r="E212" s="912"/>
    </row>
    <row r="213" spans="1:5" ht="15.75" x14ac:dyDescent="0.25">
      <c r="A213" s="869"/>
      <c r="B213" s="912"/>
      <c r="C213" s="912"/>
      <c r="D213" s="912"/>
      <c r="E213" s="912"/>
    </row>
    <row r="214" spans="1:5" ht="15.75" x14ac:dyDescent="0.25">
      <c r="A214" s="869"/>
      <c r="B214" s="912"/>
      <c r="C214" s="912"/>
      <c r="D214" s="912"/>
      <c r="E214" s="912"/>
    </row>
    <row r="215" spans="1:5" ht="15.75" x14ac:dyDescent="0.25">
      <c r="A215" s="869"/>
      <c r="B215" s="912"/>
      <c r="C215" s="912"/>
      <c r="D215" s="912"/>
      <c r="E215" s="912"/>
    </row>
    <row r="216" spans="1:5" ht="15.75" x14ac:dyDescent="0.25">
      <c r="A216" s="869"/>
      <c r="B216" s="912"/>
      <c r="C216" s="912"/>
      <c r="D216" s="912"/>
      <c r="E216" s="912"/>
    </row>
    <row r="217" spans="1:5" ht="15.75" x14ac:dyDescent="0.25">
      <c r="A217" s="869"/>
      <c r="B217" s="912"/>
      <c r="C217" s="912"/>
      <c r="D217" s="912"/>
      <c r="E217" s="912"/>
    </row>
    <row r="218" spans="1:5" ht="15.75" x14ac:dyDescent="0.25">
      <c r="A218" s="869"/>
      <c r="B218" s="912"/>
      <c r="C218" s="912"/>
      <c r="D218" s="912"/>
      <c r="E218" s="912"/>
    </row>
    <row r="219" spans="1:5" ht="15.75" x14ac:dyDescent="0.25">
      <c r="A219" s="869"/>
      <c r="B219" s="912"/>
      <c r="C219" s="912"/>
      <c r="D219" s="912"/>
      <c r="E219" s="912"/>
    </row>
    <row r="220" spans="1:5" ht="15.75" x14ac:dyDescent="0.25">
      <c r="A220" s="869"/>
      <c r="B220" s="912"/>
      <c r="C220" s="912"/>
      <c r="D220" s="912"/>
      <c r="E220" s="912"/>
    </row>
    <row r="221" spans="1:5" ht="15.75" x14ac:dyDescent="0.25">
      <c r="A221" s="869"/>
      <c r="B221" s="912"/>
      <c r="C221" s="912"/>
      <c r="D221" s="912"/>
      <c r="E221" s="912"/>
    </row>
    <row r="222" spans="1:5" ht="15.75" x14ac:dyDescent="0.25">
      <c r="A222" s="869"/>
      <c r="B222" s="912"/>
      <c r="C222" s="912"/>
      <c r="D222" s="912"/>
      <c r="E222" s="912"/>
    </row>
    <row r="223" spans="1:5" ht="15.75" x14ac:dyDescent="0.25">
      <c r="A223" s="869"/>
      <c r="B223" s="912"/>
      <c r="C223" s="912"/>
      <c r="D223" s="912"/>
      <c r="E223" s="912"/>
    </row>
    <row r="224" spans="1:5" ht="15.75" x14ac:dyDescent="0.25">
      <c r="A224" s="869"/>
      <c r="B224" s="912"/>
      <c r="C224" s="912"/>
      <c r="D224" s="912"/>
      <c r="E224" s="912"/>
    </row>
    <row r="225" spans="1:5" ht="15.75" x14ac:dyDescent="0.25">
      <c r="A225" s="869"/>
      <c r="B225" s="912"/>
      <c r="C225" s="912"/>
      <c r="D225" s="912"/>
      <c r="E225" s="912"/>
    </row>
    <row r="226" spans="1:5" ht="15.75" x14ac:dyDescent="0.25">
      <c r="A226" s="869"/>
      <c r="B226" s="912"/>
      <c r="C226" s="912"/>
      <c r="D226" s="912"/>
      <c r="E226" s="912"/>
    </row>
    <row r="227" spans="1:5" ht="15.75" x14ac:dyDescent="0.25">
      <c r="A227" s="869"/>
      <c r="B227" s="912"/>
      <c r="C227" s="912"/>
      <c r="D227" s="912"/>
      <c r="E227" s="912"/>
    </row>
    <row r="228" spans="1:5" ht="15.75" x14ac:dyDescent="0.25">
      <c r="A228" s="869"/>
      <c r="B228" s="912"/>
      <c r="C228" s="912"/>
      <c r="D228" s="912"/>
      <c r="E228" s="912"/>
    </row>
    <row r="229" spans="1:5" ht="15.75" x14ac:dyDescent="0.25">
      <c r="A229" s="869"/>
      <c r="B229" s="912"/>
      <c r="C229" s="912"/>
      <c r="D229" s="912"/>
      <c r="E229" s="912"/>
    </row>
    <row r="230" spans="1:5" ht="15.75" x14ac:dyDescent="0.25">
      <c r="A230" s="869"/>
      <c r="B230" s="912"/>
      <c r="C230" s="912"/>
      <c r="D230" s="912"/>
      <c r="E230" s="912"/>
    </row>
    <row r="231" spans="1:5" ht="15.75" x14ac:dyDescent="0.25">
      <c r="A231" s="869"/>
      <c r="B231" s="912"/>
      <c r="C231" s="912"/>
      <c r="D231" s="912"/>
      <c r="E231" s="912"/>
    </row>
    <row r="232" spans="1:5" ht="15.75" x14ac:dyDescent="0.25">
      <c r="A232" s="869"/>
      <c r="B232" s="912"/>
      <c r="C232" s="912"/>
      <c r="D232" s="912"/>
      <c r="E232" s="912"/>
    </row>
    <row r="233" spans="1:5" ht="15.75" x14ac:dyDescent="0.25">
      <c r="A233" s="869"/>
      <c r="B233" s="912"/>
      <c r="C233" s="912"/>
      <c r="D233" s="912"/>
      <c r="E233" s="912"/>
    </row>
    <row r="234" spans="1:5" ht="15.75" x14ac:dyDescent="0.25">
      <c r="A234" s="869"/>
      <c r="B234" s="912"/>
      <c r="C234" s="912"/>
      <c r="D234" s="912"/>
      <c r="E234" s="912"/>
    </row>
    <row r="235" spans="1:5" ht="15.75" x14ac:dyDescent="0.25">
      <c r="A235" s="869"/>
      <c r="B235" s="912"/>
      <c r="C235" s="912"/>
      <c r="D235" s="912"/>
      <c r="E235" s="912"/>
    </row>
    <row r="236" spans="1:5" ht="15.75" x14ac:dyDescent="0.25">
      <c r="A236" s="869"/>
      <c r="B236" s="912"/>
      <c r="C236" s="912"/>
      <c r="D236" s="912"/>
      <c r="E236" s="912"/>
    </row>
    <row r="237" spans="1:5" ht="15.75" x14ac:dyDescent="0.25">
      <c r="A237" s="869"/>
      <c r="B237" s="912"/>
      <c r="C237" s="912"/>
      <c r="D237" s="912"/>
      <c r="E237" s="912"/>
    </row>
    <row r="238" spans="1:5" ht="15.75" x14ac:dyDescent="0.25">
      <c r="A238" s="869"/>
      <c r="B238" s="912"/>
      <c r="C238" s="912"/>
      <c r="D238" s="912"/>
      <c r="E238" s="912"/>
    </row>
    <row r="239" spans="1:5" ht="15.75" x14ac:dyDescent="0.25">
      <c r="A239" s="869"/>
      <c r="B239" s="912"/>
      <c r="C239" s="912"/>
      <c r="D239" s="912"/>
      <c r="E239" s="912"/>
    </row>
    <row r="240" spans="1:5" ht="15.75" x14ac:dyDescent="0.25">
      <c r="A240" s="869"/>
      <c r="B240" s="912"/>
      <c r="C240" s="912"/>
      <c r="D240" s="912"/>
      <c r="E240" s="912"/>
    </row>
    <row r="241" spans="1:5" ht="15.75" x14ac:dyDescent="0.25">
      <c r="A241" s="869"/>
      <c r="B241" s="912"/>
      <c r="C241" s="912"/>
      <c r="D241" s="912"/>
      <c r="E241" s="912"/>
    </row>
    <row r="242" spans="1:5" ht="15.75" x14ac:dyDescent="0.25">
      <c r="A242" s="869"/>
      <c r="B242" s="912"/>
      <c r="C242" s="912"/>
      <c r="D242" s="912"/>
      <c r="E242" s="912"/>
    </row>
    <row r="243" spans="1:5" ht="15.75" x14ac:dyDescent="0.25">
      <c r="A243" s="869"/>
      <c r="B243" s="912"/>
      <c r="C243" s="912"/>
      <c r="D243" s="912"/>
      <c r="E243" s="912"/>
    </row>
    <row r="244" spans="1:5" ht="15.75" x14ac:dyDescent="0.25">
      <c r="A244" s="869"/>
      <c r="B244" s="912"/>
      <c r="C244" s="912"/>
      <c r="D244" s="912"/>
      <c r="E244" s="912"/>
    </row>
    <row r="245" spans="1:5" ht="15.75" x14ac:dyDescent="0.25">
      <c r="A245" s="869"/>
      <c r="B245" s="912"/>
      <c r="C245" s="912"/>
      <c r="D245" s="912"/>
      <c r="E245" s="912"/>
    </row>
    <row r="246" spans="1:5" ht="15.75" x14ac:dyDescent="0.25">
      <c r="A246" s="869"/>
      <c r="B246" s="912"/>
      <c r="C246" s="912"/>
      <c r="D246" s="912"/>
      <c r="E246" s="912"/>
    </row>
    <row r="247" spans="1:5" ht="15.75" x14ac:dyDescent="0.25">
      <c r="A247" s="869"/>
      <c r="B247" s="912"/>
      <c r="C247" s="912"/>
      <c r="D247" s="912"/>
      <c r="E247" s="912"/>
    </row>
    <row r="248" spans="1:5" ht="15.75" x14ac:dyDescent="0.25">
      <c r="A248" s="869"/>
      <c r="B248" s="912"/>
      <c r="C248" s="912"/>
      <c r="D248" s="912"/>
      <c r="E248" s="912"/>
    </row>
    <row r="249" spans="1:5" ht="15.75" x14ac:dyDescent="0.25">
      <c r="A249" s="869"/>
      <c r="B249" s="912"/>
      <c r="C249" s="912"/>
      <c r="D249" s="912"/>
      <c r="E249" s="912"/>
    </row>
    <row r="250" spans="1:5" ht="15.75" x14ac:dyDescent="0.25">
      <c r="A250" s="869"/>
      <c r="B250" s="912"/>
      <c r="C250" s="912"/>
      <c r="D250" s="912"/>
      <c r="E250" s="912"/>
    </row>
    <row r="251" spans="1:5" ht="15.75" x14ac:dyDescent="0.25">
      <c r="A251" s="869"/>
      <c r="B251" s="912"/>
      <c r="C251" s="912"/>
      <c r="D251" s="912"/>
      <c r="E251" s="912"/>
    </row>
    <row r="252" spans="1:5" ht="15.75" x14ac:dyDescent="0.25">
      <c r="A252" s="869"/>
      <c r="B252" s="912"/>
      <c r="C252" s="912"/>
      <c r="D252" s="912"/>
      <c r="E252" s="912"/>
    </row>
    <row r="253" spans="1:5" ht="15.75" x14ac:dyDescent="0.25">
      <c r="A253" s="869"/>
      <c r="B253" s="912"/>
      <c r="C253" s="912"/>
      <c r="D253" s="912"/>
      <c r="E253" s="912"/>
    </row>
    <row r="254" spans="1:5" ht="15.75" x14ac:dyDescent="0.25">
      <c r="A254" s="869"/>
      <c r="B254" s="912"/>
      <c r="C254" s="912"/>
      <c r="D254" s="912"/>
      <c r="E254" s="912"/>
    </row>
    <row r="255" spans="1:5" ht="15.75" x14ac:dyDescent="0.25">
      <c r="A255" s="869"/>
      <c r="B255" s="912"/>
      <c r="C255" s="912"/>
      <c r="D255" s="912"/>
      <c r="E255" s="912"/>
    </row>
    <row r="256" spans="1:5" ht="15.75" x14ac:dyDescent="0.25">
      <c r="A256" s="869"/>
      <c r="B256" s="912"/>
      <c r="C256" s="912"/>
      <c r="D256" s="912"/>
      <c r="E256" s="912"/>
    </row>
    <row r="257" spans="1:5" ht="15.75" x14ac:dyDescent="0.25">
      <c r="A257" s="869"/>
      <c r="B257" s="912"/>
      <c r="C257" s="912"/>
      <c r="D257" s="912"/>
      <c r="E257" s="912"/>
    </row>
    <row r="258" spans="1:5" ht="15.75" x14ac:dyDescent="0.25">
      <c r="A258" s="869"/>
      <c r="B258" s="912"/>
      <c r="C258" s="912"/>
      <c r="D258" s="912"/>
      <c r="E258" s="912"/>
    </row>
    <row r="259" spans="1:5" ht="15.75" x14ac:dyDescent="0.25">
      <c r="A259" s="869"/>
      <c r="B259" s="912"/>
      <c r="C259" s="912"/>
      <c r="D259" s="912"/>
      <c r="E259" s="912"/>
    </row>
    <row r="260" spans="1:5" ht="15.75" x14ac:dyDescent="0.25">
      <c r="A260" s="869"/>
      <c r="B260" s="912"/>
      <c r="C260" s="912"/>
      <c r="D260" s="912"/>
      <c r="E260" s="912"/>
    </row>
    <row r="261" spans="1:5" ht="15.75" x14ac:dyDescent="0.25">
      <c r="A261" s="869"/>
      <c r="B261" s="912"/>
      <c r="C261" s="912"/>
      <c r="D261" s="912"/>
      <c r="E261" s="912"/>
    </row>
    <row r="262" spans="1:5" ht="15.75" x14ac:dyDescent="0.25">
      <c r="A262" s="869"/>
      <c r="B262" s="912"/>
      <c r="C262" s="912"/>
      <c r="D262" s="912"/>
      <c r="E262" s="912"/>
    </row>
    <row r="263" spans="1:5" ht="15.75" x14ac:dyDescent="0.25">
      <c r="A263" s="869"/>
      <c r="B263" s="912"/>
      <c r="C263" s="912"/>
      <c r="D263" s="912"/>
      <c r="E263" s="912"/>
    </row>
    <row r="264" spans="1:5" ht="15.75" x14ac:dyDescent="0.25">
      <c r="A264" s="869"/>
      <c r="B264" s="912"/>
      <c r="C264" s="912"/>
      <c r="D264" s="912"/>
      <c r="E264" s="912"/>
    </row>
    <row r="265" spans="1:5" ht="15.75" x14ac:dyDescent="0.25">
      <c r="A265" s="869"/>
      <c r="B265" s="912"/>
      <c r="C265" s="912"/>
      <c r="D265" s="912"/>
      <c r="E265" s="912"/>
    </row>
    <row r="266" spans="1:5" ht="15.75" x14ac:dyDescent="0.25">
      <c r="A266" s="869"/>
      <c r="B266" s="912"/>
      <c r="C266" s="912"/>
      <c r="D266" s="912"/>
      <c r="E266" s="912"/>
    </row>
    <row r="267" spans="1:5" ht="15.75" x14ac:dyDescent="0.25">
      <c r="A267" s="869"/>
      <c r="B267" s="912"/>
      <c r="C267" s="912"/>
      <c r="D267" s="912"/>
      <c r="E267" s="912"/>
    </row>
    <row r="268" spans="1:5" ht="15.75" x14ac:dyDescent="0.25">
      <c r="A268" s="869"/>
      <c r="B268" s="912"/>
      <c r="C268" s="912"/>
      <c r="D268" s="912"/>
      <c r="E268" s="912"/>
    </row>
    <row r="269" spans="1:5" ht="15.75" x14ac:dyDescent="0.25">
      <c r="A269" s="869"/>
      <c r="B269" s="912"/>
      <c r="C269" s="912"/>
      <c r="D269" s="912"/>
      <c r="E269" s="912"/>
    </row>
    <row r="270" spans="1:5" ht="15.75" x14ac:dyDescent="0.25">
      <c r="A270" s="869"/>
      <c r="B270" s="912"/>
      <c r="C270" s="912"/>
      <c r="D270" s="912"/>
      <c r="E270" s="912"/>
    </row>
    <row r="271" spans="1:5" ht="15.75" x14ac:dyDescent="0.25">
      <c r="A271" s="869"/>
      <c r="B271" s="912"/>
      <c r="C271" s="912"/>
      <c r="D271" s="912"/>
      <c r="E271" s="912"/>
    </row>
    <row r="272" spans="1:5" ht="15.75" x14ac:dyDescent="0.25">
      <c r="A272" s="869"/>
      <c r="B272" s="912"/>
      <c r="C272" s="912"/>
      <c r="D272" s="912"/>
      <c r="E272" s="912"/>
    </row>
    <row r="273" spans="1:5" ht="15.75" x14ac:dyDescent="0.25">
      <c r="A273" s="869"/>
      <c r="B273" s="912"/>
      <c r="C273" s="912"/>
      <c r="D273" s="912"/>
      <c r="E273" s="912"/>
    </row>
    <row r="274" spans="1:5" ht="15.75" x14ac:dyDescent="0.25">
      <c r="A274" s="869"/>
      <c r="B274" s="912"/>
      <c r="C274" s="912"/>
      <c r="D274" s="912"/>
      <c r="E274" s="912"/>
    </row>
    <row r="275" spans="1:5" ht="15.75" x14ac:dyDescent="0.25">
      <c r="A275" s="869"/>
      <c r="B275" s="912"/>
      <c r="C275" s="912"/>
      <c r="D275" s="912"/>
      <c r="E275" s="912"/>
    </row>
    <row r="276" spans="1:5" ht="15.75" x14ac:dyDescent="0.25">
      <c r="A276" s="869"/>
      <c r="B276" s="912"/>
      <c r="C276" s="912"/>
      <c r="D276" s="912"/>
      <c r="E276" s="912"/>
    </row>
    <row r="277" spans="1:5" ht="15.75" x14ac:dyDescent="0.25">
      <c r="A277" s="869"/>
      <c r="B277" s="912"/>
      <c r="C277" s="912"/>
      <c r="D277" s="912"/>
      <c r="E277" s="912"/>
    </row>
    <row r="278" spans="1:5" ht="15.75" x14ac:dyDescent="0.25">
      <c r="A278" s="869"/>
      <c r="B278" s="912"/>
      <c r="C278" s="912"/>
      <c r="D278" s="912"/>
      <c r="E278" s="912"/>
    </row>
    <row r="279" spans="1:5" ht="15.75" x14ac:dyDescent="0.25">
      <c r="A279" s="869"/>
      <c r="B279" s="912"/>
      <c r="C279" s="912"/>
      <c r="D279" s="912"/>
      <c r="E279" s="912"/>
    </row>
    <row r="280" spans="1:5" ht="15.75" x14ac:dyDescent="0.25">
      <c r="A280" s="869"/>
      <c r="B280" s="912"/>
      <c r="C280" s="912"/>
      <c r="D280" s="912"/>
      <c r="E280" s="912"/>
    </row>
    <row r="281" spans="1:5" ht="15.75" x14ac:dyDescent="0.25">
      <c r="A281" s="869"/>
      <c r="B281" s="912"/>
      <c r="C281" s="912"/>
      <c r="D281" s="912"/>
      <c r="E281" s="912"/>
    </row>
    <row r="282" spans="1:5" ht="15.75" x14ac:dyDescent="0.25">
      <c r="A282" s="869"/>
      <c r="B282" s="912"/>
      <c r="C282" s="912"/>
      <c r="D282" s="912"/>
      <c r="E282" s="912"/>
    </row>
    <row r="283" spans="1:5" ht="15.75" x14ac:dyDescent="0.25">
      <c r="A283" s="869"/>
      <c r="B283" s="912"/>
      <c r="C283" s="912"/>
      <c r="D283" s="912"/>
      <c r="E283" s="912"/>
    </row>
    <row r="284" spans="1:5" ht="15.75" x14ac:dyDescent="0.25">
      <c r="A284" s="869"/>
      <c r="B284" s="912"/>
      <c r="C284" s="912"/>
      <c r="D284" s="912"/>
      <c r="E284" s="912"/>
    </row>
    <row r="285" spans="1:5" ht="15.75" x14ac:dyDescent="0.25">
      <c r="A285" s="869"/>
      <c r="B285" s="912"/>
      <c r="C285" s="912"/>
      <c r="D285" s="912"/>
      <c r="E285" s="912"/>
    </row>
    <row r="286" spans="1:5" ht="15.75" x14ac:dyDescent="0.25">
      <c r="A286" s="869"/>
      <c r="B286" s="912"/>
      <c r="C286" s="912"/>
      <c r="D286" s="912"/>
      <c r="E286" s="912"/>
    </row>
    <row r="287" spans="1:5" ht="15.75" x14ac:dyDescent="0.25">
      <c r="A287" s="869"/>
      <c r="B287" s="912"/>
      <c r="C287" s="912"/>
      <c r="D287" s="912"/>
      <c r="E287" s="912"/>
    </row>
    <row r="288" spans="1:5" ht="15.75" x14ac:dyDescent="0.25">
      <c r="A288" s="869"/>
      <c r="B288" s="912"/>
      <c r="C288" s="912"/>
      <c r="D288" s="912"/>
      <c r="E288" s="912"/>
    </row>
    <row r="289" spans="1:5" ht="15.75" x14ac:dyDescent="0.25">
      <c r="A289" s="869"/>
      <c r="B289" s="912"/>
      <c r="C289" s="912"/>
      <c r="D289" s="912"/>
      <c r="E289" s="912"/>
    </row>
    <row r="290" spans="1:5" ht="15.75" x14ac:dyDescent="0.25">
      <c r="A290" s="869"/>
      <c r="B290" s="912"/>
      <c r="C290" s="912"/>
      <c r="D290" s="912"/>
      <c r="E290" s="912"/>
    </row>
    <row r="291" spans="1:5" ht="15.75" x14ac:dyDescent="0.25">
      <c r="A291" s="869"/>
      <c r="B291" s="912"/>
      <c r="C291" s="912"/>
      <c r="D291" s="912"/>
      <c r="E291" s="912"/>
    </row>
    <row r="292" spans="1:5" ht="15.75" x14ac:dyDescent="0.25">
      <c r="A292" s="869"/>
      <c r="B292" s="912"/>
      <c r="C292" s="912"/>
      <c r="D292" s="912"/>
      <c r="E292" s="912"/>
    </row>
    <row r="293" spans="1:5" ht="15.75" x14ac:dyDescent="0.25">
      <c r="A293" s="869"/>
      <c r="B293" s="912"/>
      <c r="C293" s="912"/>
      <c r="D293" s="912"/>
      <c r="E293" s="912"/>
    </row>
    <row r="294" spans="1:5" ht="15.75" x14ac:dyDescent="0.25">
      <c r="A294" s="869"/>
      <c r="B294" s="912"/>
      <c r="C294" s="912"/>
      <c r="D294" s="912"/>
      <c r="E294" s="912"/>
    </row>
    <row r="295" spans="1:5" ht="15.75" x14ac:dyDescent="0.25">
      <c r="A295" s="869"/>
      <c r="B295" s="912"/>
      <c r="C295" s="912"/>
      <c r="D295" s="912"/>
      <c r="E295" s="912"/>
    </row>
    <row r="296" spans="1:5" ht="15.75" x14ac:dyDescent="0.25">
      <c r="A296" s="869"/>
      <c r="B296" s="912"/>
      <c r="C296" s="912"/>
      <c r="D296" s="912"/>
      <c r="E296" s="912"/>
    </row>
    <row r="297" spans="1:5" ht="15.75" x14ac:dyDescent="0.25">
      <c r="A297" s="869"/>
      <c r="B297" s="912"/>
      <c r="C297" s="912"/>
      <c r="D297" s="912"/>
      <c r="E297" s="912"/>
    </row>
    <row r="298" spans="1:5" ht="15.75" x14ac:dyDescent="0.25">
      <c r="A298" s="869"/>
      <c r="B298" s="912"/>
      <c r="C298" s="912"/>
      <c r="D298" s="912"/>
      <c r="E298" s="912"/>
    </row>
    <row r="299" spans="1:5" ht="15.75" x14ac:dyDescent="0.25">
      <c r="A299" s="869"/>
      <c r="B299" s="912"/>
      <c r="C299" s="912"/>
      <c r="D299" s="912"/>
      <c r="E299" s="912"/>
    </row>
    <row r="300" spans="1:5" ht="15.75" x14ac:dyDescent="0.25">
      <c r="A300" s="869"/>
      <c r="B300" s="912"/>
      <c r="C300" s="912"/>
      <c r="D300" s="912"/>
      <c r="E300" s="912"/>
    </row>
    <row r="301" spans="1:5" ht="15.75" x14ac:dyDescent="0.25">
      <c r="A301" s="869"/>
      <c r="B301" s="912"/>
      <c r="C301" s="912"/>
      <c r="D301" s="912"/>
      <c r="E301" s="912"/>
    </row>
    <row r="302" spans="1:5" ht="15.75" x14ac:dyDescent="0.25">
      <c r="A302" s="869"/>
      <c r="B302" s="912"/>
      <c r="C302" s="912"/>
      <c r="D302" s="912"/>
      <c r="E302" s="912"/>
    </row>
    <row r="303" spans="1:5" ht="15.75" x14ac:dyDescent="0.25">
      <c r="A303" s="869"/>
      <c r="B303" s="912"/>
      <c r="C303" s="912"/>
      <c r="D303" s="912"/>
      <c r="E303" s="912"/>
    </row>
    <row r="304" spans="1:5" ht="15.75" x14ac:dyDescent="0.25">
      <c r="A304" s="869"/>
      <c r="B304" s="912"/>
      <c r="C304" s="912"/>
      <c r="D304" s="912"/>
      <c r="E304" s="912"/>
    </row>
    <row r="305" spans="1:5" ht="15.75" x14ac:dyDescent="0.25">
      <c r="A305" s="869"/>
      <c r="B305" s="912"/>
      <c r="C305" s="912"/>
      <c r="D305" s="912"/>
      <c r="E305" s="912"/>
    </row>
    <row r="306" spans="1:5" ht="15.75" x14ac:dyDescent="0.25">
      <c r="A306" s="869"/>
      <c r="B306" s="912"/>
      <c r="C306" s="912"/>
      <c r="D306" s="912"/>
      <c r="E306" s="912"/>
    </row>
    <row r="307" spans="1:5" ht="15.75" x14ac:dyDescent="0.25">
      <c r="A307" s="869"/>
      <c r="B307" s="912"/>
      <c r="C307" s="912"/>
      <c r="D307" s="912"/>
      <c r="E307" s="912"/>
    </row>
    <row r="308" spans="1:5" ht="15.75" x14ac:dyDescent="0.25">
      <c r="A308" s="869"/>
      <c r="B308" s="912"/>
      <c r="C308" s="912"/>
      <c r="D308" s="912"/>
      <c r="E308" s="912"/>
    </row>
    <row r="309" spans="1:5" ht="15.75" x14ac:dyDescent="0.25">
      <c r="A309" s="869"/>
      <c r="B309" s="912"/>
      <c r="C309" s="912"/>
      <c r="D309" s="912"/>
      <c r="E309" s="912"/>
    </row>
    <row r="310" spans="1:5" ht="15.75" x14ac:dyDescent="0.25">
      <c r="A310" s="869"/>
      <c r="B310" s="912"/>
      <c r="C310" s="912"/>
      <c r="D310" s="912"/>
      <c r="E310" s="912"/>
    </row>
    <row r="311" spans="1:5" ht="15.75" x14ac:dyDescent="0.25">
      <c r="A311" s="869"/>
      <c r="B311" s="912"/>
      <c r="C311" s="912"/>
      <c r="D311" s="912"/>
      <c r="E311" s="912"/>
    </row>
    <row r="312" spans="1:5" ht="15.75" x14ac:dyDescent="0.25">
      <c r="A312" s="869"/>
      <c r="B312" s="912"/>
      <c r="C312" s="912"/>
      <c r="D312" s="912"/>
      <c r="E312" s="912"/>
    </row>
    <row r="313" spans="1:5" ht="15.75" x14ac:dyDescent="0.25">
      <c r="A313" s="869"/>
      <c r="B313" s="912"/>
      <c r="C313" s="912"/>
      <c r="D313" s="912"/>
      <c r="E313" s="912"/>
    </row>
    <row r="314" spans="1:5" ht="15.75" x14ac:dyDescent="0.25">
      <c r="A314" s="869"/>
      <c r="B314" s="912"/>
      <c r="C314" s="912"/>
      <c r="D314" s="912"/>
      <c r="E314" s="912"/>
    </row>
    <row r="315" spans="1:5" ht="15.75" x14ac:dyDescent="0.25">
      <c r="A315" s="869"/>
      <c r="B315" s="912"/>
      <c r="C315" s="912"/>
      <c r="D315" s="912"/>
      <c r="E315" s="912"/>
    </row>
    <row r="316" spans="1:5" ht="15.75" x14ac:dyDescent="0.25">
      <c r="A316" s="869"/>
      <c r="B316" s="912"/>
      <c r="C316" s="912"/>
      <c r="D316" s="912"/>
      <c r="E316" s="912"/>
    </row>
    <row r="317" spans="1:5" ht="15.75" x14ac:dyDescent="0.25">
      <c r="A317" s="869"/>
      <c r="B317" s="912"/>
      <c r="C317" s="912"/>
      <c r="D317" s="912"/>
      <c r="E317" s="912"/>
    </row>
    <row r="318" spans="1:5" ht="15.75" x14ac:dyDescent="0.25">
      <c r="A318" s="869"/>
      <c r="B318" s="912"/>
      <c r="C318" s="912"/>
      <c r="D318" s="912"/>
      <c r="E318" s="912"/>
    </row>
    <row r="319" spans="1:5" ht="15.75" x14ac:dyDescent="0.25">
      <c r="A319" s="869"/>
      <c r="B319" s="912"/>
      <c r="C319" s="912"/>
      <c r="D319" s="912"/>
      <c r="E319" s="912"/>
    </row>
    <row r="320" spans="1:5" ht="15.75" x14ac:dyDescent="0.25">
      <c r="A320" s="869"/>
      <c r="B320" s="912"/>
      <c r="C320" s="912"/>
      <c r="D320" s="912"/>
      <c r="E320" s="912"/>
    </row>
    <row r="321" spans="1:5" ht="15.75" x14ac:dyDescent="0.25">
      <c r="A321" s="869"/>
      <c r="B321" s="912"/>
      <c r="C321" s="912"/>
      <c r="D321" s="912"/>
      <c r="E321" s="912"/>
    </row>
    <row r="322" spans="1:5" ht="15.75" x14ac:dyDescent="0.25">
      <c r="A322" s="869"/>
      <c r="B322" s="912"/>
      <c r="C322" s="912"/>
      <c r="D322" s="912"/>
      <c r="E322" s="912"/>
    </row>
    <row r="323" spans="1:5" ht="15.75" x14ac:dyDescent="0.25">
      <c r="A323" s="869"/>
      <c r="B323" s="912"/>
      <c r="C323" s="912"/>
      <c r="D323" s="912"/>
      <c r="E323" s="912"/>
    </row>
    <row r="324" spans="1:5" ht="15.75" x14ac:dyDescent="0.25">
      <c r="A324" s="869"/>
      <c r="B324" s="912"/>
      <c r="C324" s="912"/>
      <c r="D324" s="912"/>
      <c r="E324" s="912"/>
    </row>
    <row r="325" spans="1:5" ht="15.75" x14ac:dyDescent="0.25">
      <c r="A325" s="869"/>
      <c r="B325" s="912"/>
      <c r="C325" s="912"/>
      <c r="D325" s="912"/>
      <c r="E325" s="912"/>
    </row>
    <row r="326" spans="1:5" ht="15.75" x14ac:dyDescent="0.25">
      <c r="A326" s="869"/>
      <c r="B326" s="912"/>
      <c r="C326" s="912"/>
      <c r="D326" s="912"/>
      <c r="E326" s="912"/>
    </row>
    <row r="327" spans="1:5" ht="15.75" x14ac:dyDescent="0.25">
      <c r="A327" s="869"/>
      <c r="B327" s="912"/>
      <c r="C327" s="912"/>
      <c r="D327" s="912"/>
      <c r="E327" s="912"/>
    </row>
    <row r="328" spans="1:5" ht="15.75" x14ac:dyDescent="0.25">
      <c r="A328" s="869"/>
      <c r="B328" s="912"/>
      <c r="C328" s="912"/>
      <c r="D328" s="912"/>
      <c r="E328" s="912"/>
    </row>
    <row r="329" spans="1:5" ht="15.75" x14ac:dyDescent="0.25">
      <c r="A329" s="869"/>
      <c r="B329" s="912"/>
      <c r="C329" s="912"/>
      <c r="D329" s="912"/>
      <c r="E329" s="912"/>
    </row>
    <row r="330" spans="1:5" ht="15.75" x14ac:dyDescent="0.25">
      <c r="A330" s="869"/>
      <c r="B330" s="912"/>
      <c r="C330" s="912"/>
      <c r="D330" s="912"/>
      <c r="E330" s="912"/>
    </row>
    <row r="331" spans="1:5" ht="15.75" x14ac:dyDescent="0.25">
      <c r="A331" s="869"/>
      <c r="B331" s="912"/>
      <c r="C331" s="912"/>
      <c r="D331" s="912"/>
      <c r="E331" s="912"/>
    </row>
    <row r="332" spans="1:5" ht="15.75" x14ac:dyDescent="0.25">
      <c r="A332" s="869"/>
      <c r="B332" s="912"/>
      <c r="C332" s="912"/>
      <c r="D332" s="912"/>
      <c r="E332" s="912"/>
    </row>
    <row r="333" spans="1:5" ht="15.75" x14ac:dyDescent="0.25">
      <c r="A333" s="869"/>
      <c r="B333" s="912"/>
      <c r="C333" s="912"/>
      <c r="D333" s="912"/>
      <c r="E333" s="912"/>
    </row>
    <row r="334" spans="1:5" ht="15.75" x14ac:dyDescent="0.25">
      <c r="A334" s="869"/>
      <c r="B334" s="912"/>
      <c r="C334" s="912"/>
      <c r="D334" s="912"/>
      <c r="E334" s="912"/>
    </row>
    <row r="335" spans="1:5" ht="15.75" x14ac:dyDescent="0.25">
      <c r="A335" s="869"/>
      <c r="B335" s="912"/>
      <c r="C335" s="912"/>
      <c r="D335" s="912"/>
      <c r="E335" s="912"/>
    </row>
    <row r="336" spans="1:5" ht="15.75" x14ac:dyDescent="0.25">
      <c r="A336" s="869"/>
      <c r="B336" s="912"/>
      <c r="C336" s="912"/>
      <c r="D336" s="912"/>
      <c r="E336" s="912"/>
    </row>
    <row r="337" spans="1:5" ht="15.75" x14ac:dyDescent="0.25">
      <c r="A337" s="869"/>
      <c r="B337" s="912"/>
      <c r="C337" s="912"/>
      <c r="D337" s="912"/>
      <c r="E337" s="912"/>
    </row>
    <row r="338" spans="1:5" ht="15.75" x14ac:dyDescent="0.25">
      <c r="A338" s="869"/>
      <c r="B338" s="912"/>
      <c r="C338" s="912"/>
      <c r="D338" s="912"/>
      <c r="E338" s="912"/>
    </row>
    <row r="339" spans="1:5" ht="15.75" x14ac:dyDescent="0.25">
      <c r="A339" s="869"/>
      <c r="B339" s="912"/>
      <c r="C339" s="912"/>
      <c r="D339" s="912"/>
      <c r="E339" s="912"/>
    </row>
    <row r="340" spans="1:5" ht="15.75" x14ac:dyDescent="0.25">
      <c r="A340" s="869"/>
      <c r="B340" s="912"/>
      <c r="C340" s="912"/>
      <c r="D340" s="912"/>
      <c r="E340" s="912"/>
    </row>
    <row r="341" spans="1:5" ht="15.75" x14ac:dyDescent="0.25">
      <c r="A341" s="869"/>
      <c r="B341" s="912"/>
      <c r="C341" s="912"/>
      <c r="D341" s="912"/>
      <c r="E341" s="912"/>
    </row>
    <row r="342" spans="1:5" ht="15.75" x14ac:dyDescent="0.25">
      <c r="A342" s="869"/>
      <c r="B342" s="912"/>
      <c r="C342" s="912"/>
      <c r="D342" s="912"/>
      <c r="E342" s="912"/>
    </row>
    <row r="343" spans="1:5" ht="15.75" x14ac:dyDescent="0.25">
      <c r="A343" s="869"/>
      <c r="B343" s="912"/>
      <c r="C343" s="912"/>
      <c r="D343" s="912"/>
      <c r="E343" s="912"/>
    </row>
    <row r="344" spans="1:5" ht="15.75" x14ac:dyDescent="0.25">
      <c r="A344" s="869"/>
      <c r="B344" s="912"/>
      <c r="C344" s="912"/>
      <c r="D344" s="912"/>
      <c r="E344" s="912"/>
    </row>
    <row r="345" spans="1:5" ht="15.75" x14ac:dyDescent="0.25">
      <c r="A345" s="869"/>
      <c r="B345" s="912"/>
      <c r="C345" s="912"/>
      <c r="D345" s="912"/>
      <c r="E345" s="912"/>
    </row>
    <row r="346" spans="1:5" ht="15.75" x14ac:dyDescent="0.25">
      <c r="A346" s="869"/>
      <c r="B346" s="912"/>
      <c r="C346" s="912"/>
      <c r="D346" s="912"/>
      <c r="E346" s="912"/>
    </row>
    <row r="347" spans="1:5" ht="15.75" x14ac:dyDescent="0.25">
      <c r="A347" s="869"/>
      <c r="B347" s="912"/>
      <c r="C347" s="912"/>
      <c r="D347" s="912"/>
      <c r="E347" s="912"/>
    </row>
    <row r="348" spans="1:5" ht="15.75" x14ac:dyDescent="0.25">
      <c r="A348" s="869"/>
      <c r="B348" s="912"/>
      <c r="C348" s="912"/>
      <c r="D348" s="912"/>
      <c r="E348" s="912"/>
    </row>
    <row r="349" spans="1:5" ht="15.75" x14ac:dyDescent="0.25">
      <c r="A349" s="869"/>
      <c r="B349" s="912"/>
      <c r="C349" s="912"/>
      <c r="D349" s="912"/>
      <c r="E349" s="912"/>
    </row>
    <row r="350" spans="1:5" ht="15.75" x14ac:dyDescent="0.25">
      <c r="A350" s="869"/>
      <c r="B350" s="912"/>
      <c r="C350" s="912"/>
      <c r="D350" s="912"/>
      <c r="E350" s="912"/>
    </row>
    <row r="351" spans="1:5" ht="15.75" x14ac:dyDescent="0.25">
      <c r="A351" s="869"/>
      <c r="B351" s="912"/>
      <c r="C351" s="912"/>
      <c r="D351" s="912"/>
      <c r="E351" s="912"/>
    </row>
    <row r="352" spans="1:5" ht="15.75" x14ac:dyDescent="0.25">
      <c r="A352" s="869"/>
      <c r="B352" s="912"/>
      <c r="C352" s="912"/>
      <c r="D352" s="912"/>
      <c r="E352" s="912"/>
    </row>
    <row r="353" spans="1:5" ht="15.75" x14ac:dyDescent="0.25">
      <c r="A353" s="869"/>
      <c r="B353" s="912"/>
      <c r="C353" s="912"/>
      <c r="D353" s="912"/>
      <c r="E353" s="912"/>
    </row>
    <row r="354" spans="1:5" ht="15.75" x14ac:dyDescent="0.25">
      <c r="A354" s="869"/>
      <c r="B354" s="912"/>
      <c r="C354" s="912"/>
      <c r="D354" s="912"/>
      <c r="E354" s="912"/>
    </row>
    <row r="355" spans="1:5" ht="15.75" x14ac:dyDescent="0.25">
      <c r="A355" s="869"/>
      <c r="B355" s="912"/>
      <c r="C355" s="912"/>
      <c r="D355" s="912"/>
      <c r="E355" s="912"/>
    </row>
    <row r="356" spans="1:5" ht="15.75" x14ac:dyDescent="0.25">
      <c r="A356" s="869"/>
      <c r="B356" s="912"/>
      <c r="C356" s="912"/>
      <c r="D356" s="912"/>
      <c r="E356" s="912"/>
    </row>
    <row r="357" spans="1:5" ht="15.75" x14ac:dyDescent="0.25">
      <c r="A357" s="869"/>
      <c r="B357" s="912"/>
      <c r="C357" s="912"/>
      <c r="D357" s="912"/>
      <c r="E357" s="912"/>
    </row>
    <row r="358" spans="1:5" ht="15.75" x14ac:dyDescent="0.25">
      <c r="A358" s="869"/>
      <c r="B358" s="912"/>
      <c r="C358" s="912"/>
      <c r="D358" s="912"/>
      <c r="E358" s="912"/>
    </row>
    <row r="359" spans="1:5" ht="15.75" x14ac:dyDescent="0.25">
      <c r="A359" s="869"/>
      <c r="B359" s="912"/>
      <c r="C359" s="912"/>
      <c r="D359" s="912"/>
      <c r="E359" s="912"/>
    </row>
    <row r="360" spans="1:5" ht="15.75" x14ac:dyDescent="0.25">
      <c r="A360" s="869"/>
      <c r="B360" s="912"/>
      <c r="C360" s="912"/>
      <c r="D360" s="912"/>
      <c r="E360" s="912"/>
    </row>
    <row r="361" spans="1:5" ht="15.75" x14ac:dyDescent="0.25">
      <c r="A361" s="869"/>
      <c r="B361" s="912"/>
      <c r="C361" s="912"/>
      <c r="D361" s="912"/>
      <c r="E361" s="912"/>
    </row>
    <row r="362" spans="1:5" ht="15.75" x14ac:dyDescent="0.25">
      <c r="A362" s="869"/>
      <c r="B362" s="912"/>
      <c r="C362" s="912"/>
      <c r="D362" s="912"/>
      <c r="E362" s="912"/>
    </row>
    <row r="363" spans="1:5" ht="15.75" x14ac:dyDescent="0.25">
      <c r="A363" s="869"/>
      <c r="B363" s="912"/>
      <c r="C363" s="912"/>
      <c r="D363" s="912"/>
      <c r="E363" s="912"/>
    </row>
    <row r="364" spans="1:5" ht="15.75" x14ac:dyDescent="0.25">
      <c r="A364" s="869"/>
      <c r="B364" s="912"/>
      <c r="C364" s="912"/>
      <c r="D364" s="912"/>
      <c r="E364" s="912"/>
    </row>
    <row r="365" spans="1:5" ht="15.75" x14ac:dyDescent="0.25">
      <c r="A365" s="869"/>
      <c r="B365" s="912"/>
      <c r="C365" s="912"/>
      <c r="D365" s="912"/>
      <c r="E365" s="912"/>
    </row>
    <row r="366" spans="1:5" ht="15.75" x14ac:dyDescent="0.25">
      <c r="A366" s="869"/>
      <c r="B366" s="912"/>
      <c r="C366" s="912"/>
      <c r="D366" s="912"/>
      <c r="E366" s="912"/>
    </row>
    <row r="367" spans="1:5" ht="15.75" x14ac:dyDescent="0.25">
      <c r="A367" s="869"/>
      <c r="B367" s="912"/>
      <c r="C367" s="912"/>
      <c r="D367" s="912"/>
      <c r="E367" s="912"/>
    </row>
    <row r="368" spans="1:5" ht="15.75" x14ac:dyDescent="0.25">
      <c r="A368" s="869"/>
      <c r="B368" s="912"/>
      <c r="C368" s="912"/>
      <c r="D368" s="912"/>
      <c r="E368" s="912"/>
    </row>
    <row r="369" spans="1:5" ht="15.75" x14ac:dyDescent="0.25">
      <c r="A369" s="869"/>
      <c r="B369" s="912"/>
      <c r="C369" s="912"/>
      <c r="D369" s="912"/>
      <c r="E369" s="912"/>
    </row>
    <row r="370" spans="1:5" ht="15.75" x14ac:dyDescent="0.25">
      <c r="A370" s="869"/>
      <c r="B370" s="912"/>
      <c r="C370" s="912"/>
      <c r="D370" s="912"/>
      <c r="E370" s="912"/>
    </row>
    <row r="371" spans="1:5" ht="15.75" x14ac:dyDescent="0.25">
      <c r="A371" s="869"/>
      <c r="B371" s="912"/>
      <c r="C371" s="912"/>
      <c r="D371" s="912"/>
      <c r="E371" s="912"/>
    </row>
    <row r="372" spans="1:5" ht="15.75" x14ac:dyDescent="0.25">
      <c r="A372" s="869"/>
      <c r="B372" s="912"/>
      <c r="C372" s="912"/>
      <c r="D372" s="912"/>
      <c r="E372" s="912"/>
    </row>
    <row r="373" spans="1:5" ht="15.75" x14ac:dyDescent="0.25">
      <c r="A373" s="869"/>
      <c r="B373" s="912"/>
      <c r="C373" s="912"/>
      <c r="D373" s="912"/>
      <c r="E373" s="912"/>
    </row>
    <row r="374" spans="1:5" ht="15.75" x14ac:dyDescent="0.25">
      <c r="A374" s="869"/>
      <c r="B374" s="912"/>
      <c r="C374" s="912"/>
      <c r="D374" s="912"/>
      <c r="E374" s="912"/>
    </row>
    <row r="375" spans="1:5" ht="15.75" x14ac:dyDescent="0.25">
      <c r="A375" s="869"/>
      <c r="B375" s="912"/>
      <c r="C375" s="912"/>
      <c r="D375" s="912"/>
      <c r="E375" s="912"/>
    </row>
    <row r="376" spans="1:5" ht="15.75" x14ac:dyDescent="0.25">
      <c r="A376" s="869"/>
      <c r="B376" s="912"/>
      <c r="C376" s="912"/>
      <c r="D376" s="912"/>
      <c r="E376" s="912"/>
    </row>
    <row r="377" spans="1:5" ht="15.75" x14ac:dyDescent="0.25">
      <c r="A377" s="869"/>
      <c r="B377" s="912"/>
      <c r="C377" s="912"/>
      <c r="D377" s="912"/>
      <c r="E377" s="912"/>
    </row>
    <row r="378" spans="1:5" ht="15.75" x14ac:dyDescent="0.25">
      <c r="A378" s="869"/>
      <c r="B378" s="912"/>
      <c r="C378" s="912"/>
      <c r="D378" s="912"/>
      <c r="E378" s="912"/>
    </row>
    <row r="379" spans="1:5" ht="15.75" x14ac:dyDescent="0.25">
      <c r="A379" s="869"/>
      <c r="B379" s="912"/>
      <c r="C379" s="912"/>
      <c r="D379" s="912"/>
      <c r="E379" s="912"/>
    </row>
    <row r="380" spans="1:5" ht="15.75" x14ac:dyDescent="0.25">
      <c r="A380" s="869"/>
      <c r="B380" s="912"/>
      <c r="C380" s="912"/>
      <c r="D380" s="912"/>
      <c r="E380" s="912"/>
    </row>
    <row r="381" spans="1:5" ht="15.75" x14ac:dyDescent="0.25">
      <c r="A381" s="869"/>
      <c r="B381" s="912"/>
      <c r="C381" s="912"/>
      <c r="D381" s="912"/>
      <c r="E381" s="912"/>
    </row>
    <row r="382" spans="1:5" ht="15.75" x14ac:dyDescent="0.25">
      <c r="A382" s="869"/>
      <c r="B382" s="912"/>
      <c r="C382" s="912"/>
      <c r="D382" s="912"/>
      <c r="E382" s="912"/>
    </row>
    <row r="383" spans="1:5" ht="15.75" x14ac:dyDescent="0.25">
      <c r="A383" s="869"/>
      <c r="B383" s="912"/>
      <c r="C383" s="912"/>
      <c r="D383" s="912"/>
      <c r="E383" s="912"/>
    </row>
    <row r="384" spans="1:5" ht="15.75" x14ac:dyDescent="0.25">
      <c r="A384" s="869"/>
      <c r="B384" s="912"/>
      <c r="C384" s="912"/>
      <c r="D384" s="912"/>
      <c r="E384" s="912"/>
    </row>
    <row r="385" spans="1:5" ht="15.75" x14ac:dyDescent="0.25">
      <c r="A385" s="869"/>
      <c r="B385" s="912"/>
      <c r="C385" s="912"/>
      <c r="D385" s="912"/>
      <c r="E385" s="912"/>
    </row>
    <row r="386" spans="1:5" ht="15.75" x14ac:dyDescent="0.25">
      <c r="A386" s="869"/>
      <c r="B386" s="912"/>
      <c r="C386" s="912"/>
      <c r="D386" s="912"/>
      <c r="E386" s="912"/>
    </row>
    <row r="387" spans="1:5" ht="15.75" x14ac:dyDescent="0.25">
      <c r="A387" s="869"/>
      <c r="B387" s="912"/>
      <c r="C387" s="912"/>
      <c r="D387" s="912"/>
      <c r="E387" s="912"/>
    </row>
    <row r="388" spans="1:5" ht="15.75" x14ac:dyDescent="0.25">
      <c r="A388" s="869"/>
      <c r="B388" s="912"/>
      <c r="C388" s="912"/>
      <c r="D388" s="912"/>
      <c r="E388" s="912"/>
    </row>
    <row r="389" spans="1:5" ht="15.75" x14ac:dyDescent="0.25">
      <c r="A389" s="869"/>
      <c r="B389" s="912"/>
      <c r="C389" s="912"/>
      <c r="D389" s="912"/>
      <c r="E389" s="912"/>
    </row>
    <row r="390" spans="1:5" ht="15.75" x14ac:dyDescent="0.25">
      <c r="A390" s="869"/>
      <c r="B390" s="912"/>
      <c r="C390" s="912"/>
      <c r="D390" s="912"/>
      <c r="E390" s="912"/>
    </row>
    <row r="391" spans="1:5" ht="15.75" x14ac:dyDescent="0.25">
      <c r="A391" s="869"/>
      <c r="B391" s="912"/>
      <c r="C391" s="912"/>
      <c r="D391" s="912"/>
      <c r="E391" s="912"/>
    </row>
    <row r="392" spans="1:5" ht="15.75" x14ac:dyDescent="0.25">
      <c r="A392" s="869"/>
      <c r="B392" s="912"/>
      <c r="C392" s="912"/>
      <c r="D392" s="912"/>
      <c r="E392" s="912"/>
    </row>
    <row r="393" spans="1:5" ht="15.75" x14ac:dyDescent="0.25">
      <c r="A393" s="869"/>
      <c r="B393" s="912"/>
      <c r="C393" s="912"/>
      <c r="D393" s="912"/>
      <c r="E393" s="912"/>
    </row>
    <row r="394" spans="1:5" ht="15.75" x14ac:dyDescent="0.25">
      <c r="A394" s="869"/>
      <c r="B394" s="912"/>
      <c r="C394" s="912"/>
      <c r="D394" s="912"/>
      <c r="E394" s="912"/>
    </row>
    <row r="395" spans="1:5" ht="15.75" x14ac:dyDescent="0.25">
      <c r="A395" s="869"/>
      <c r="B395" s="912"/>
      <c r="C395" s="912"/>
      <c r="D395" s="912"/>
      <c r="E395" s="912"/>
    </row>
    <row r="396" spans="1:5" ht="15.75" x14ac:dyDescent="0.25">
      <c r="A396" s="869"/>
      <c r="B396" s="912"/>
      <c r="C396" s="912"/>
      <c r="D396" s="912"/>
      <c r="E396" s="912"/>
    </row>
    <row r="397" spans="1:5" ht="15.75" x14ac:dyDescent="0.25">
      <c r="A397" s="869"/>
      <c r="B397" s="912"/>
      <c r="C397" s="912"/>
      <c r="D397" s="912"/>
      <c r="E397" s="912"/>
    </row>
    <row r="398" spans="1:5" ht="15.75" x14ac:dyDescent="0.25">
      <c r="A398" s="869"/>
      <c r="B398" s="912"/>
      <c r="C398" s="912"/>
      <c r="D398" s="912"/>
      <c r="E398" s="912"/>
    </row>
    <row r="399" spans="1:5" ht="15.75" x14ac:dyDescent="0.25">
      <c r="A399" s="869"/>
      <c r="B399" s="912"/>
      <c r="C399" s="912"/>
      <c r="D399" s="912"/>
      <c r="E399" s="912"/>
    </row>
    <row r="400" spans="1:5" ht="15.75" x14ac:dyDescent="0.25">
      <c r="A400" s="869"/>
      <c r="B400" s="912"/>
      <c r="C400" s="912"/>
      <c r="D400" s="912"/>
      <c r="E400" s="912"/>
    </row>
    <row r="401" spans="1:5" ht="15.75" x14ac:dyDescent="0.25">
      <c r="A401" s="869"/>
      <c r="B401" s="912"/>
      <c r="C401" s="912"/>
      <c r="D401" s="912"/>
      <c r="E401" s="912"/>
    </row>
    <row r="402" spans="1:5" ht="15.75" x14ac:dyDescent="0.25">
      <c r="A402" s="869"/>
      <c r="B402" s="912"/>
      <c r="C402" s="912"/>
      <c r="D402" s="912"/>
      <c r="E402" s="912"/>
    </row>
    <row r="403" spans="1:5" ht="15.75" x14ac:dyDescent="0.25">
      <c r="A403" s="869"/>
      <c r="B403" s="912"/>
      <c r="C403" s="912"/>
      <c r="D403" s="912"/>
      <c r="E403" s="912"/>
    </row>
    <row r="404" spans="1:5" ht="15.75" x14ac:dyDescent="0.25">
      <c r="A404" s="869"/>
      <c r="B404" s="912"/>
      <c r="C404" s="912"/>
      <c r="D404" s="912"/>
      <c r="E404" s="912"/>
    </row>
    <row r="405" spans="1:5" ht="15.75" x14ac:dyDescent="0.25">
      <c r="A405" s="869"/>
      <c r="B405" s="912"/>
      <c r="C405" s="912"/>
      <c r="D405" s="912"/>
      <c r="E405" s="912"/>
    </row>
    <row r="406" spans="1:5" ht="15.75" x14ac:dyDescent="0.25">
      <c r="A406" s="869"/>
      <c r="B406" s="912"/>
      <c r="C406" s="912"/>
      <c r="D406" s="912"/>
      <c r="E406" s="912"/>
    </row>
    <row r="407" spans="1:5" ht="15.75" x14ac:dyDescent="0.25">
      <c r="A407" s="869"/>
      <c r="B407" s="912"/>
      <c r="C407" s="912"/>
      <c r="D407" s="912"/>
      <c r="E407" s="912"/>
    </row>
    <row r="408" spans="1:5" ht="15.75" x14ac:dyDescent="0.25">
      <c r="A408" s="869"/>
      <c r="B408" s="912"/>
      <c r="C408" s="912"/>
      <c r="D408" s="912"/>
      <c r="E408" s="912"/>
    </row>
    <row r="409" spans="1:5" ht="15.75" x14ac:dyDescent="0.25">
      <c r="A409" s="869"/>
      <c r="B409" s="912"/>
      <c r="C409" s="912"/>
      <c r="D409" s="912"/>
      <c r="E409" s="912"/>
    </row>
    <row r="410" spans="1:5" ht="15.75" x14ac:dyDescent="0.25">
      <c r="A410" s="869"/>
      <c r="B410" s="912"/>
      <c r="C410" s="912"/>
      <c r="D410" s="912"/>
      <c r="E410" s="912"/>
    </row>
    <row r="411" spans="1:5" ht="15.75" x14ac:dyDescent="0.25">
      <c r="A411" s="869"/>
      <c r="B411" s="912"/>
      <c r="C411" s="912"/>
      <c r="D411" s="912"/>
      <c r="E411" s="912"/>
    </row>
    <row r="412" spans="1:5" ht="15.75" x14ac:dyDescent="0.25">
      <c r="A412" s="869"/>
      <c r="B412" s="912"/>
      <c r="C412" s="912"/>
      <c r="D412" s="912"/>
      <c r="E412" s="912"/>
    </row>
    <row r="413" spans="1:5" ht="15.75" x14ac:dyDescent="0.25">
      <c r="A413" s="869"/>
      <c r="B413" s="912"/>
      <c r="C413" s="912"/>
      <c r="D413" s="912"/>
      <c r="E413" s="912"/>
    </row>
    <row r="414" spans="1:5" ht="15.75" x14ac:dyDescent="0.25">
      <c r="A414" s="869"/>
      <c r="B414" s="912"/>
      <c r="C414" s="912"/>
      <c r="D414" s="912"/>
      <c r="E414" s="912"/>
    </row>
    <row r="415" spans="1:5" ht="15.75" x14ac:dyDescent="0.25">
      <c r="A415" s="869"/>
      <c r="B415" s="912"/>
      <c r="C415" s="912"/>
      <c r="D415" s="912"/>
      <c r="E415" s="912"/>
    </row>
    <row r="416" spans="1:5" ht="15.75" x14ac:dyDescent="0.25">
      <c r="A416" s="869"/>
      <c r="B416" s="912"/>
      <c r="C416" s="912"/>
      <c r="D416" s="912"/>
      <c r="E416" s="912"/>
    </row>
    <row r="417" spans="1:5" ht="15.75" x14ac:dyDescent="0.25">
      <c r="A417" s="869"/>
      <c r="B417" s="912"/>
      <c r="C417" s="912"/>
      <c r="D417" s="912"/>
      <c r="E417" s="912"/>
    </row>
    <row r="418" spans="1:5" ht="15.75" x14ac:dyDescent="0.25">
      <c r="A418" s="869"/>
      <c r="B418" s="912"/>
      <c r="C418" s="912"/>
      <c r="D418" s="912"/>
      <c r="E418" s="912"/>
    </row>
    <row r="419" spans="1:5" ht="15.75" x14ac:dyDescent="0.25">
      <c r="A419" s="869"/>
      <c r="B419" s="912"/>
      <c r="C419" s="912"/>
      <c r="D419" s="912"/>
      <c r="E419" s="912"/>
    </row>
    <row r="420" spans="1:5" ht="15.75" x14ac:dyDescent="0.25">
      <c r="A420" s="869"/>
      <c r="B420" s="912"/>
      <c r="C420" s="912"/>
      <c r="D420" s="912"/>
      <c r="E420" s="912"/>
    </row>
    <row r="421" spans="1:5" ht="15.75" x14ac:dyDescent="0.25">
      <c r="A421" s="869"/>
      <c r="B421" s="912"/>
      <c r="C421" s="912"/>
      <c r="D421" s="912"/>
      <c r="E421" s="912"/>
    </row>
    <row r="422" spans="1:5" ht="15.75" x14ac:dyDescent="0.25">
      <c r="A422" s="869"/>
      <c r="B422" s="912"/>
      <c r="C422" s="912"/>
      <c r="D422" s="912"/>
      <c r="E422" s="912"/>
    </row>
    <row r="423" spans="1:5" ht="15.75" x14ac:dyDescent="0.25">
      <c r="A423" s="869"/>
      <c r="B423" s="912"/>
      <c r="C423" s="912"/>
      <c r="D423" s="912"/>
      <c r="E423" s="912"/>
    </row>
    <row r="424" spans="1:5" ht="15.75" x14ac:dyDescent="0.25">
      <c r="A424" s="869"/>
      <c r="B424" s="912"/>
      <c r="C424" s="912"/>
      <c r="D424" s="912"/>
      <c r="E424" s="912"/>
    </row>
    <row r="425" spans="1:5" ht="15.75" x14ac:dyDescent="0.25">
      <c r="A425" s="869"/>
      <c r="B425" s="912"/>
      <c r="C425" s="912"/>
      <c r="D425" s="912"/>
      <c r="E425" s="912"/>
    </row>
    <row r="426" spans="1:5" ht="15.75" x14ac:dyDescent="0.25">
      <c r="A426" s="869"/>
      <c r="B426" s="912"/>
      <c r="C426" s="912"/>
      <c r="D426" s="912"/>
      <c r="E426" s="912"/>
    </row>
    <row r="427" spans="1:5" ht="15.75" x14ac:dyDescent="0.25">
      <c r="A427" s="869"/>
      <c r="B427" s="912"/>
      <c r="C427" s="912"/>
      <c r="D427" s="912"/>
      <c r="E427" s="912"/>
    </row>
    <row r="428" spans="1:5" ht="15.75" x14ac:dyDescent="0.25">
      <c r="A428" s="869"/>
      <c r="B428" s="912"/>
      <c r="C428" s="912"/>
      <c r="D428" s="912"/>
      <c r="E428" s="912"/>
    </row>
    <row r="429" spans="1:5" ht="15.75" x14ac:dyDescent="0.25">
      <c r="A429" s="869"/>
      <c r="B429" s="912"/>
      <c r="C429" s="912"/>
      <c r="D429" s="912"/>
      <c r="E429" s="912"/>
    </row>
    <row r="430" spans="1:5" ht="15.75" x14ac:dyDescent="0.25">
      <c r="A430" s="869"/>
      <c r="B430" s="912"/>
      <c r="C430" s="912"/>
      <c r="D430" s="912"/>
      <c r="E430" s="912"/>
    </row>
    <row r="431" spans="1:5" ht="15.75" x14ac:dyDescent="0.25">
      <c r="A431" s="869"/>
      <c r="B431" s="912"/>
      <c r="C431" s="912"/>
      <c r="D431" s="912"/>
      <c r="E431" s="912"/>
    </row>
    <row r="432" spans="1:5" ht="15.75" x14ac:dyDescent="0.25">
      <c r="A432" s="869"/>
      <c r="B432" s="912"/>
      <c r="C432" s="912"/>
      <c r="D432" s="912"/>
      <c r="E432" s="912"/>
    </row>
    <row r="433" spans="1:5" ht="15.75" x14ac:dyDescent="0.25">
      <c r="A433" s="869"/>
      <c r="B433" s="912"/>
      <c r="C433" s="912"/>
      <c r="D433" s="912"/>
      <c r="E433" s="912"/>
    </row>
    <row r="434" spans="1:5" ht="15.75" x14ac:dyDescent="0.25">
      <c r="A434" s="869"/>
      <c r="B434" s="912"/>
      <c r="C434" s="912"/>
      <c r="D434" s="912"/>
      <c r="E434" s="912"/>
    </row>
    <row r="435" spans="1:5" ht="15.75" x14ac:dyDescent="0.25">
      <c r="A435" s="869"/>
      <c r="B435" s="912"/>
      <c r="C435" s="912"/>
      <c r="D435" s="912"/>
      <c r="E435" s="912"/>
    </row>
    <row r="436" spans="1:5" ht="15.75" x14ac:dyDescent="0.25">
      <c r="A436" s="869"/>
      <c r="B436" s="912"/>
      <c r="C436" s="912"/>
      <c r="D436" s="912"/>
      <c r="E436" s="912"/>
    </row>
    <row r="437" spans="1:5" ht="15.75" x14ac:dyDescent="0.25">
      <c r="A437" s="869"/>
      <c r="B437" s="912"/>
      <c r="C437" s="912"/>
      <c r="D437" s="912"/>
      <c r="E437" s="912"/>
    </row>
    <row r="438" spans="1:5" ht="15.75" x14ac:dyDescent="0.25">
      <c r="A438" s="869"/>
      <c r="B438" s="912"/>
      <c r="C438" s="912"/>
      <c r="D438" s="912"/>
      <c r="E438" s="912"/>
    </row>
    <row r="439" spans="1:5" ht="15.75" x14ac:dyDescent="0.25">
      <c r="A439" s="869"/>
      <c r="B439" s="912"/>
      <c r="C439" s="912"/>
      <c r="D439" s="912"/>
      <c r="E439" s="912"/>
    </row>
    <row r="440" spans="1:5" ht="15.75" x14ac:dyDescent="0.25">
      <c r="A440" s="869"/>
      <c r="B440" s="912"/>
      <c r="C440" s="912"/>
      <c r="D440" s="912"/>
      <c r="E440" s="912"/>
    </row>
    <row r="441" spans="1:5" ht="15.75" x14ac:dyDescent="0.25">
      <c r="A441" s="869"/>
      <c r="B441" s="912"/>
      <c r="C441" s="912"/>
      <c r="D441" s="912"/>
      <c r="E441" s="912"/>
    </row>
    <row r="442" spans="1:5" ht="15.75" x14ac:dyDescent="0.25">
      <c r="A442" s="869"/>
      <c r="B442" s="912"/>
      <c r="C442" s="912"/>
      <c r="D442" s="912"/>
      <c r="E442" s="912"/>
    </row>
    <row r="443" spans="1:5" ht="15.75" x14ac:dyDescent="0.25">
      <c r="A443" s="869"/>
      <c r="B443" s="912"/>
      <c r="C443" s="912"/>
      <c r="D443" s="912"/>
      <c r="E443" s="912"/>
    </row>
    <row r="444" spans="1:5" ht="15.75" x14ac:dyDescent="0.25">
      <c r="A444" s="869"/>
      <c r="B444" s="912"/>
      <c r="C444" s="912"/>
      <c r="D444" s="912"/>
      <c r="E444" s="912"/>
    </row>
    <row r="445" spans="1:5" ht="15.75" x14ac:dyDescent="0.25">
      <c r="A445" s="869"/>
      <c r="B445" s="912"/>
      <c r="C445" s="912"/>
      <c r="D445" s="912"/>
      <c r="E445" s="912"/>
    </row>
    <row r="446" spans="1:5" ht="15.75" x14ac:dyDescent="0.25">
      <c r="A446" s="869"/>
      <c r="B446" s="912"/>
      <c r="C446" s="912"/>
      <c r="D446" s="912"/>
      <c r="E446" s="912"/>
    </row>
    <row r="447" spans="1:5" ht="15.75" x14ac:dyDescent="0.25">
      <c r="A447" s="869"/>
      <c r="B447" s="912"/>
      <c r="C447" s="912"/>
      <c r="D447" s="912"/>
      <c r="E447" s="912"/>
    </row>
    <row r="448" spans="1:5" ht="15.75" x14ac:dyDescent="0.25">
      <c r="A448" s="869"/>
      <c r="B448" s="912"/>
      <c r="C448" s="912"/>
      <c r="D448" s="912"/>
      <c r="E448" s="912"/>
    </row>
    <row r="449" spans="1:5" ht="15.75" x14ac:dyDescent="0.25">
      <c r="A449" s="869"/>
      <c r="B449" s="912"/>
      <c r="C449" s="912"/>
      <c r="D449" s="912"/>
      <c r="E449" s="912"/>
    </row>
    <row r="450" spans="1:5" ht="15.75" x14ac:dyDescent="0.25">
      <c r="A450" s="869"/>
      <c r="B450" s="912"/>
      <c r="C450" s="912"/>
      <c r="D450" s="912"/>
      <c r="E450" s="912"/>
    </row>
    <row r="451" spans="1:5" ht="15.75" x14ac:dyDescent="0.25">
      <c r="A451" s="869"/>
      <c r="B451" s="912"/>
      <c r="C451" s="912"/>
      <c r="D451" s="912"/>
      <c r="E451" s="912"/>
    </row>
    <row r="452" spans="1:5" ht="15.75" x14ac:dyDescent="0.25">
      <c r="A452" s="869"/>
      <c r="B452" s="912"/>
      <c r="C452" s="912"/>
      <c r="D452" s="912"/>
      <c r="E452" s="912"/>
    </row>
    <row r="453" spans="1:5" ht="15.75" x14ac:dyDescent="0.25">
      <c r="A453" s="869"/>
      <c r="B453" s="912"/>
      <c r="C453" s="912"/>
      <c r="D453" s="912"/>
      <c r="E453" s="912"/>
    </row>
    <row r="454" spans="1:5" ht="15.75" x14ac:dyDescent="0.25">
      <c r="A454" s="869"/>
      <c r="B454" s="912"/>
      <c r="C454" s="912"/>
      <c r="D454" s="912"/>
      <c r="E454" s="912"/>
    </row>
    <row r="455" spans="1:5" ht="15.75" x14ac:dyDescent="0.25">
      <c r="A455" s="869"/>
      <c r="B455" s="912"/>
      <c r="C455" s="912"/>
      <c r="D455" s="912"/>
      <c r="E455" s="912"/>
    </row>
    <row r="456" spans="1:5" ht="15.75" x14ac:dyDescent="0.25">
      <c r="A456" s="869"/>
      <c r="B456" s="912"/>
      <c r="C456" s="912"/>
      <c r="D456" s="912"/>
      <c r="E456" s="912"/>
    </row>
    <row r="457" spans="1:5" ht="15.75" x14ac:dyDescent="0.25">
      <c r="A457" s="869"/>
      <c r="B457" s="912"/>
      <c r="C457" s="912"/>
      <c r="D457" s="912"/>
      <c r="E457" s="912"/>
    </row>
    <row r="458" spans="1:5" ht="15.75" x14ac:dyDescent="0.25">
      <c r="A458" s="869"/>
      <c r="B458" s="912"/>
      <c r="C458" s="912"/>
      <c r="D458" s="912"/>
      <c r="E458" s="912"/>
    </row>
    <row r="459" spans="1:5" ht="15.75" x14ac:dyDescent="0.25">
      <c r="A459" s="869"/>
      <c r="B459" s="912"/>
      <c r="C459" s="912"/>
      <c r="D459" s="912"/>
      <c r="E459" s="912"/>
    </row>
    <row r="460" spans="1:5" ht="15.75" x14ac:dyDescent="0.25">
      <c r="A460" s="869"/>
      <c r="B460" s="912"/>
      <c r="C460" s="912"/>
      <c r="D460" s="912"/>
      <c r="E460" s="912"/>
    </row>
    <row r="461" spans="1:5" ht="15.75" x14ac:dyDescent="0.25">
      <c r="A461" s="869"/>
      <c r="B461" s="912"/>
      <c r="C461" s="912"/>
      <c r="D461" s="912"/>
      <c r="E461" s="912"/>
    </row>
    <row r="462" spans="1:5" ht="15.75" x14ac:dyDescent="0.25">
      <c r="A462" s="869"/>
      <c r="B462" s="912"/>
      <c r="C462" s="912"/>
      <c r="D462" s="912"/>
      <c r="E462" s="912"/>
    </row>
    <row r="463" spans="1:5" ht="15.75" x14ac:dyDescent="0.25">
      <c r="A463" s="869"/>
      <c r="B463" s="912"/>
      <c r="C463" s="912"/>
      <c r="D463" s="912"/>
      <c r="E463" s="912"/>
    </row>
    <row r="464" spans="1:5" ht="15.75" x14ac:dyDescent="0.25">
      <c r="A464" s="869"/>
      <c r="B464" s="912"/>
      <c r="C464" s="912"/>
      <c r="D464" s="912"/>
      <c r="E464" s="912"/>
    </row>
    <row r="465" spans="1:5" ht="15.75" x14ac:dyDescent="0.25">
      <c r="A465" s="869"/>
      <c r="B465" s="912"/>
      <c r="C465" s="912"/>
      <c r="D465" s="912"/>
      <c r="E465" s="912"/>
    </row>
    <row r="466" spans="1:5" ht="15.75" x14ac:dyDescent="0.25">
      <c r="A466" s="869"/>
      <c r="B466" s="912"/>
      <c r="C466" s="912"/>
      <c r="D466" s="912"/>
      <c r="E466" s="912"/>
    </row>
    <row r="467" spans="1:5" ht="15.75" x14ac:dyDescent="0.25">
      <c r="A467" s="869"/>
      <c r="B467" s="912"/>
      <c r="C467" s="912"/>
      <c r="D467" s="912"/>
      <c r="E467" s="912"/>
    </row>
    <row r="468" spans="1:5" ht="15.75" x14ac:dyDescent="0.25">
      <c r="A468" s="869"/>
      <c r="B468" s="912"/>
      <c r="C468" s="912"/>
      <c r="D468" s="912"/>
      <c r="E468" s="912"/>
    </row>
    <row r="469" spans="1:5" ht="15.75" x14ac:dyDescent="0.25">
      <c r="A469" s="869"/>
      <c r="B469" s="912"/>
      <c r="C469" s="912"/>
      <c r="D469" s="912"/>
      <c r="E469" s="912"/>
    </row>
    <row r="470" spans="1:5" ht="15.75" x14ac:dyDescent="0.25">
      <c r="A470" s="869"/>
      <c r="B470" s="912"/>
      <c r="C470" s="912"/>
      <c r="D470" s="912"/>
      <c r="E470" s="912"/>
    </row>
    <row r="471" spans="1:5" ht="15.75" x14ac:dyDescent="0.25">
      <c r="A471" s="869"/>
      <c r="B471" s="912"/>
      <c r="C471" s="912"/>
      <c r="D471" s="912"/>
      <c r="E471" s="912"/>
    </row>
    <row r="472" spans="1:5" ht="15.75" x14ac:dyDescent="0.25">
      <c r="A472" s="869"/>
      <c r="B472" s="912"/>
      <c r="C472" s="912"/>
      <c r="D472" s="912"/>
      <c r="E472" s="912"/>
    </row>
    <row r="473" spans="1:5" ht="15.75" x14ac:dyDescent="0.25">
      <c r="A473" s="869"/>
      <c r="B473" s="912"/>
      <c r="C473" s="912"/>
      <c r="D473" s="912"/>
      <c r="E473" s="912"/>
    </row>
    <row r="474" spans="1:5" ht="15.75" x14ac:dyDescent="0.25">
      <c r="A474" s="869"/>
      <c r="B474" s="912"/>
      <c r="C474" s="912"/>
      <c r="D474" s="912"/>
      <c r="E474" s="912"/>
    </row>
    <row r="475" spans="1:5" ht="15.75" x14ac:dyDescent="0.25">
      <c r="A475" s="869"/>
      <c r="B475" s="912"/>
      <c r="C475" s="912"/>
      <c r="D475" s="912"/>
      <c r="E475" s="912"/>
    </row>
    <row r="476" spans="1:5" ht="15.75" x14ac:dyDescent="0.25">
      <c r="A476" s="869"/>
      <c r="B476" s="912"/>
      <c r="C476" s="912"/>
      <c r="D476" s="912"/>
      <c r="E476" s="912"/>
    </row>
    <row r="477" spans="1:5" ht="15.75" x14ac:dyDescent="0.25">
      <c r="A477" s="869"/>
      <c r="B477" s="912"/>
      <c r="C477" s="912"/>
      <c r="D477" s="912"/>
      <c r="E477" s="912"/>
    </row>
    <row r="478" spans="1:5" ht="15.75" x14ac:dyDescent="0.25">
      <c r="A478" s="869"/>
      <c r="B478" s="912"/>
      <c r="C478" s="912"/>
      <c r="D478" s="912"/>
      <c r="E478" s="912"/>
    </row>
    <row r="479" spans="1:5" ht="15.75" x14ac:dyDescent="0.25">
      <c r="A479" s="869"/>
      <c r="B479" s="912"/>
      <c r="C479" s="912"/>
      <c r="D479" s="912"/>
      <c r="E479" s="912"/>
    </row>
    <row r="480" spans="1:5" ht="15.75" x14ac:dyDescent="0.25">
      <c r="A480" s="869"/>
      <c r="B480" s="912"/>
      <c r="C480" s="912"/>
      <c r="D480" s="912"/>
      <c r="E480" s="912"/>
    </row>
    <row r="481" spans="1:5" ht="15.75" x14ac:dyDescent="0.25">
      <c r="A481" s="869"/>
      <c r="B481" s="912"/>
      <c r="C481" s="912"/>
      <c r="D481" s="912"/>
      <c r="E481" s="912"/>
    </row>
    <row r="482" spans="1:5" ht="15.75" x14ac:dyDescent="0.25">
      <c r="A482" s="869"/>
      <c r="B482" s="912"/>
      <c r="C482" s="912"/>
      <c r="D482" s="912"/>
      <c r="E482" s="912"/>
    </row>
    <row r="483" spans="1:5" ht="15.75" x14ac:dyDescent="0.25">
      <c r="A483" s="869"/>
      <c r="B483" s="912"/>
      <c r="C483" s="912"/>
      <c r="D483" s="912"/>
      <c r="E483" s="912"/>
    </row>
    <row r="484" spans="1:5" ht="15.75" x14ac:dyDescent="0.25">
      <c r="A484" s="869"/>
      <c r="B484" s="912"/>
      <c r="C484" s="912"/>
      <c r="D484" s="912"/>
      <c r="E484" s="912"/>
    </row>
    <row r="485" spans="1:5" ht="15.75" x14ac:dyDescent="0.25">
      <c r="A485" s="869"/>
      <c r="B485" s="912"/>
      <c r="C485" s="912"/>
      <c r="D485" s="912"/>
      <c r="E485" s="912"/>
    </row>
    <row r="486" spans="1:5" ht="15.75" x14ac:dyDescent="0.25">
      <c r="A486" s="869"/>
      <c r="B486" s="912"/>
      <c r="C486" s="912"/>
      <c r="D486" s="912"/>
      <c r="E486" s="912"/>
    </row>
    <row r="487" spans="1:5" ht="15.75" x14ac:dyDescent="0.25">
      <c r="A487" s="869"/>
      <c r="B487" s="912"/>
      <c r="C487" s="912"/>
      <c r="D487" s="912"/>
      <c r="E487" s="912"/>
    </row>
    <row r="488" spans="1:5" ht="15.75" x14ac:dyDescent="0.25">
      <c r="A488" s="869"/>
      <c r="B488" s="912"/>
      <c r="C488" s="912"/>
      <c r="D488" s="912"/>
      <c r="E488" s="912"/>
    </row>
    <row r="489" spans="1:5" ht="15.75" x14ac:dyDescent="0.25">
      <c r="A489" s="869"/>
      <c r="B489" s="912"/>
      <c r="C489" s="912"/>
      <c r="D489" s="912"/>
      <c r="E489" s="912"/>
    </row>
    <row r="490" spans="1:5" ht="15.75" x14ac:dyDescent="0.25">
      <c r="A490" s="869"/>
      <c r="B490" s="912"/>
      <c r="C490" s="912"/>
      <c r="D490" s="912"/>
      <c r="E490" s="912"/>
    </row>
    <row r="491" spans="1:5" ht="15.75" x14ac:dyDescent="0.25">
      <c r="A491" s="869"/>
      <c r="B491" s="912"/>
      <c r="C491" s="912"/>
      <c r="D491" s="912"/>
      <c r="E491" s="912"/>
    </row>
    <row r="492" spans="1:5" ht="15.75" x14ac:dyDescent="0.25">
      <c r="A492" s="869"/>
      <c r="B492" s="912"/>
      <c r="C492" s="912"/>
      <c r="D492" s="912"/>
      <c r="E492" s="912"/>
    </row>
    <row r="493" spans="1:5" ht="15.75" x14ac:dyDescent="0.25">
      <c r="A493" s="869"/>
      <c r="B493" s="912"/>
      <c r="C493" s="912"/>
      <c r="D493" s="912"/>
      <c r="E493" s="912"/>
    </row>
    <row r="494" spans="1:5" ht="15.75" x14ac:dyDescent="0.25">
      <c r="A494" s="869"/>
      <c r="B494" s="912"/>
      <c r="C494" s="912"/>
      <c r="D494" s="912"/>
      <c r="E494" s="912"/>
    </row>
    <row r="495" spans="1:5" ht="15.75" x14ac:dyDescent="0.25">
      <c r="A495" s="869"/>
      <c r="B495" s="912"/>
      <c r="C495" s="912"/>
      <c r="D495" s="912"/>
      <c r="E495" s="912"/>
    </row>
    <row r="496" spans="1:5" ht="15.75" x14ac:dyDescent="0.25">
      <c r="A496" s="869"/>
      <c r="B496" s="912"/>
      <c r="C496" s="912"/>
      <c r="D496" s="912"/>
      <c r="E496" s="912"/>
    </row>
    <row r="497" spans="1:5" ht="15.75" x14ac:dyDescent="0.25">
      <c r="A497" s="869"/>
      <c r="B497" s="912"/>
      <c r="C497" s="912"/>
      <c r="D497" s="912"/>
      <c r="E497" s="912"/>
    </row>
    <row r="498" spans="1:5" ht="15.75" x14ac:dyDescent="0.25">
      <c r="A498" s="869"/>
      <c r="B498" s="912"/>
      <c r="C498" s="912"/>
      <c r="D498" s="912"/>
      <c r="E498" s="912"/>
    </row>
    <row r="499" spans="1:5" ht="15.75" x14ac:dyDescent="0.25">
      <c r="A499" s="869"/>
      <c r="B499" s="912"/>
      <c r="C499" s="912"/>
      <c r="D499" s="912"/>
      <c r="E499" s="912"/>
    </row>
    <row r="500" spans="1:5" ht="15.75" x14ac:dyDescent="0.25">
      <c r="A500" s="869"/>
      <c r="B500" s="912"/>
      <c r="C500" s="912"/>
      <c r="D500" s="912"/>
      <c r="E500" s="912"/>
    </row>
    <row r="501" spans="1:5" ht="15.75" x14ac:dyDescent="0.25">
      <c r="A501" s="869"/>
      <c r="B501" s="912"/>
      <c r="C501" s="912"/>
      <c r="D501" s="912"/>
      <c r="E501" s="912"/>
    </row>
    <row r="502" spans="1:5" ht="15.75" x14ac:dyDescent="0.25">
      <c r="A502" s="869"/>
      <c r="B502" s="912"/>
      <c r="C502" s="912"/>
      <c r="D502" s="912"/>
      <c r="E502" s="912"/>
    </row>
    <row r="503" spans="1:5" ht="15.75" x14ac:dyDescent="0.25">
      <c r="A503" s="869"/>
      <c r="B503" s="912"/>
      <c r="C503" s="912"/>
      <c r="D503" s="912"/>
      <c r="E503" s="912"/>
    </row>
    <row r="504" spans="1:5" ht="15.75" x14ac:dyDescent="0.25">
      <c r="A504" s="869"/>
      <c r="B504" s="912"/>
      <c r="C504" s="912"/>
      <c r="D504" s="912"/>
      <c r="E504" s="912"/>
    </row>
    <row r="505" spans="1:5" ht="15.75" x14ac:dyDescent="0.25">
      <c r="A505" s="869"/>
      <c r="B505" s="912"/>
      <c r="C505" s="912"/>
      <c r="D505" s="912"/>
      <c r="E505" s="912"/>
    </row>
    <row r="506" spans="1:5" ht="15.75" x14ac:dyDescent="0.25">
      <c r="A506" s="869"/>
      <c r="B506" s="912"/>
      <c r="C506" s="912"/>
      <c r="D506" s="912"/>
      <c r="E506" s="912"/>
    </row>
    <row r="507" spans="1:5" ht="15.75" x14ac:dyDescent="0.25">
      <c r="A507" s="869"/>
      <c r="B507" s="912"/>
      <c r="C507" s="912"/>
      <c r="D507" s="912"/>
      <c r="E507" s="912"/>
    </row>
    <row r="508" spans="1:5" ht="15.75" x14ac:dyDescent="0.25">
      <c r="A508" s="869"/>
      <c r="B508" s="912"/>
      <c r="C508" s="912"/>
      <c r="D508" s="912"/>
      <c r="E508" s="912"/>
    </row>
    <row r="509" spans="1:5" ht="15.75" x14ac:dyDescent="0.25">
      <c r="A509" s="869"/>
      <c r="B509" s="912"/>
      <c r="C509" s="912"/>
      <c r="D509" s="912"/>
      <c r="E509" s="912"/>
    </row>
    <row r="510" spans="1:5" ht="15.75" x14ac:dyDescent="0.25">
      <c r="A510" s="869"/>
      <c r="B510" s="912"/>
      <c r="C510" s="912"/>
      <c r="D510" s="912"/>
      <c r="E510" s="912"/>
    </row>
    <row r="511" spans="1:5" ht="15.75" x14ac:dyDescent="0.25">
      <c r="A511" s="869"/>
      <c r="B511" s="912"/>
      <c r="C511" s="912"/>
      <c r="D511" s="912"/>
      <c r="E511" s="912"/>
    </row>
    <row r="512" spans="1:5" ht="15.75" x14ac:dyDescent="0.25">
      <c r="A512" s="869"/>
      <c r="B512" s="912"/>
      <c r="C512" s="912"/>
      <c r="D512" s="912"/>
      <c r="E512" s="912"/>
    </row>
    <row r="513" spans="1:5" ht="15.75" x14ac:dyDescent="0.25">
      <c r="A513" s="869"/>
      <c r="B513" s="912"/>
      <c r="C513" s="912"/>
      <c r="D513" s="912"/>
      <c r="E513" s="912"/>
    </row>
    <row r="514" spans="1:5" ht="15.75" x14ac:dyDescent="0.25">
      <c r="A514" s="869"/>
      <c r="B514" s="912"/>
      <c r="C514" s="912"/>
      <c r="D514" s="912"/>
      <c r="E514" s="912"/>
    </row>
    <row r="515" spans="1:5" ht="15.75" x14ac:dyDescent="0.25">
      <c r="A515" s="869"/>
      <c r="B515" s="912"/>
      <c r="C515" s="912"/>
      <c r="D515" s="912"/>
      <c r="E515" s="912"/>
    </row>
    <row r="516" spans="1:5" ht="15.75" x14ac:dyDescent="0.25">
      <c r="A516" s="869"/>
      <c r="B516" s="912"/>
      <c r="C516" s="912"/>
      <c r="D516" s="912"/>
      <c r="E516" s="912"/>
    </row>
    <row r="517" spans="1:5" ht="15.75" x14ac:dyDescent="0.25">
      <c r="A517" s="869"/>
      <c r="B517" s="912"/>
      <c r="C517" s="912"/>
      <c r="D517" s="912"/>
      <c r="E517" s="912"/>
    </row>
    <row r="518" spans="1:5" ht="15.75" x14ac:dyDescent="0.25">
      <c r="A518" s="869"/>
      <c r="B518" s="912"/>
      <c r="C518" s="912"/>
      <c r="D518" s="912"/>
      <c r="E518" s="912"/>
    </row>
    <row r="519" spans="1:5" ht="15.75" x14ac:dyDescent="0.25">
      <c r="A519" s="869"/>
      <c r="B519" s="912"/>
      <c r="C519" s="912"/>
      <c r="D519" s="912"/>
      <c r="E519" s="912"/>
    </row>
    <row r="520" spans="1:5" ht="15.75" x14ac:dyDescent="0.25">
      <c r="A520" s="869"/>
      <c r="B520" s="912"/>
      <c r="C520" s="912"/>
      <c r="D520" s="912"/>
      <c r="E520" s="912"/>
    </row>
    <row r="521" spans="1:5" ht="15.75" x14ac:dyDescent="0.25">
      <c r="A521" s="869"/>
      <c r="B521" s="912"/>
      <c r="C521" s="912"/>
      <c r="D521" s="912"/>
      <c r="E521" s="912"/>
    </row>
    <row r="522" spans="1:5" ht="15.75" x14ac:dyDescent="0.25">
      <c r="A522" s="869"/>
      <c r="B522" s="912"/>
      <c r="C522" s="912"/>
      <c r="D522" s="912"/>
      <c r="E522" s="912"/>
    </row>
    <row r="523" spans="1:5" ht="15.75" x14ac:dyDescent="0.25">
      <c r="A523" s="869"/>
      <c r="B523" s="912"/>
      <c r="C523" s="912"/>
      <c r="D523" s="912"/>
      <c r="E523" s="912"/>
    </row>
    <row r="524" spans="1:5" ht="15.75" x14ac:dyDescent="0.25">
      <c r="A524" s="869"/>
      <c r="B524" s="912"/>
      <c r="C524" s="912"/>
      <c r="D524" s="912"/>
      <c r="E524" s="912"/>
    </row>
    <row r="525" spans="1:5" ht="15.75" x14ac:dyDescent="0.25">
      <c r="A525" s="869"/>
      <c r="B525" s="912"/>
      <c r="C525" s="912"/>
      <c r="D525" s="912"/>
      <c r="E525" s="912"/>
    </row>
    <row r="526" spans="1:5" ht="15.75" x14ac:dyDescent="0.25">
      <c r="A526" s="869"/>
      <c r="B526" s="912"/>
      <c r="C526" s="912"/>
      <c r="D526" s="912"/>
      <c r="E526" s="912"/>
    </row>
    <row r="527" spans="1:5" ht="15.75" x14ac:dyDescent="0.25">
      <c r="A527" s="869"/>
      <c r="B527" s="912"/>
      <c r="C527" s="912"/>
      <c r="D527" s="912"/>
      <c r="E527" s="912"/>
    </row>
    <row r="528" spans="1:5" ht="15.75" x14ac:dyDescent="0.25">
      <c r="A528" s="869"/>
      <c r="B528" s="912"/>
      <c r="C528" s="912"/>
      <c r="D528" s="912"/>
      <c r="E528" s="912"/>
    </row>
    <row r="529" spans="1:5" ht="15.75" x14ac:dyDescent="0.25">
      <c r="A529" s="869"/>
      <c r="B529" s="912"/>
      <c r="C529" s="912"/>
      <c r="D529" s="912"/>
      <c r="E529" s="912"/>
    </row>
    <row r="530" spans="1:5" ht="15.75" x14ac:dyDescent="0.25">
      <c r="A530" s="869"/>
      <c r="B530" s="912"/>
      <c r="C530" s="912"/>
      <c r="D530" s="912"/>
      <c r="E530" s="912"/>
    </row>
    <row r="531" spans="1:5" ht="15.75" x14ac:dyDescent="0.25">
      <c r="A531" s="869"/>
      <c r="B531" s="912"/>
      <c r="C531" s="912"/>
      <c r="D531" s="912"/>
      <c r="E531" s="912"/>
    </row>
    <row r="532" spans="1:5" ht="15.75" x14ac:dyDescent="0.25">
      <c r="A532" s="869"/>
      <c r="B532" s="912"/>
      <c r="C532" s="912"/>
      <c r="D532" s="912"/>
      <c r="E532" s="912"/>
    </row>
    <row r="533" spans="1:5" ht="15.75" x14ac:dyDescent="0.25">
      <c r="A533" s="869"/>
      <c r="B533" s="912"/>
      <c r="C533" s="912"/>
      <c r="D533" s="912"/>
      <c r="E533" s="912"/>
    </row>
    <row r="534" spans="1:5" ht="15.75" x14ac:dyDescent="0.25">
      <c r="A534" s="869"/>
      <c r="B534" s="912"/>
      <c r="C534" s="912"/>
      <c r="D534" s="912"/>
      <c r="E534" s="912"/>
    </row>
    <row r="535" spans="1:5" ht="15.75" x14ac:dyDescent="0.25">
      <c r="A535" s="869"/>
      <c r="B535" s="912"/>
      <c r="C535" s="912"/>
      <c r="D535" s="912"/>
      <c r="E535" s="912"/>
    </row>
    <row r="536" spans="1:5" ht="15.75" x14ac:dyDescent="0.25">
      <c r="A536" s="869"/>
      <c r="B536" s="912"/>
      <c r="C536" s="912"/>
      <c r="D536" s="912"/>
      <c r="E536" s="912"/>
    </row>
    <row r="537" spans="1:5" ht="15.75" x14ac:dyDescent="0.25">
      <c r="A537" s="869"/>
      <c r="B537" s="912"/>
      <c r="C537" s="912"/>
      <c r="D537" s="912"/>
      <c r="E537" s="912"/>
    </row>
    <row r="538" spans="1:5" ht="15.75" x14ac:dyDescent="0.25">
      <c r="A538" s="869"/>
      <c r="B538" s="912"/>
      <c r="C538" s="912"/>
      <c r="D538" s="912"/>
      <c r="E538" s="912"/>
    </row>
    <row r="539" spans="1:5" ht="15.75" x14ac:dyDescent="0.25">
      <c r="A539" s="869"/>
      <c r="B539" s="912"/>
      <c r="C539" s="912"/>
      <c r="D539" s="912"/>
      <c r="E539" s="912"/>
    </row>
    <row r="540" spans="1:5" ht="15.75" x14ac:dyDescent="0.25">
      <c r="A540" s="869"/>
      <c r="B540" s="912"/>
      <c r="C540" s="912"/>
      <c r="D540" s="912"/>
      <c r="E540" s="912"/>
    </row>
    <row r="541" spans="1:5" ht="15.75" x14ac:dyDescent="0.25">
      <c r="A541" s="869"/>
      <c r="B541" s="912"/>
      <c r="C541" s="912"/>
      <c r="D541" s="912"/>
      <c r="E541" s="912"/>
    </row>
    <row r="542" spans="1:5" ht="15.75" x14ac:dyDescent="0.25">
      <c r="A542" s="869"/>
      <c r="B542" s="912"/>
      <c r="C542" s="912"/>
      <c r="D542" s="912"/>
      <c r="E542" s="912"/>
    </row>
    <row r="543" spans="1:5" ht="15.75" x14ac:dyDescent="0.25">
      <c r="A543" s="869"/>
      <c r="B543" s="912"/>
      <c r="C543" s="912"/>
      <c r="D543" s="912"/>
      <c r="E543" s="912"/>
    </row>
    <row r="544" spans="1:5" ht="15.75" x14ac:dyDescent="0.25">
      <c r="A544" s="869"/>
      <c r="B544" s="912"/>
      <c r="C544" s="912"/>
      <c r="D544" s="912"/>
      <c r="E544" s="912"/>
    </row>
    <row r="545" spans="1:5" ht="15.75" x14ac:dyDescent="0.25">
      <c r="A545" s="869"/>
      <c r="B545" s="912"/>
      <c r="C545" s="912"/>
      <c r="D545" s="912"/>
      <c r="E545" s="912"/>
    </row>
    <row r="546" spans="1:5" ht="15.75" x14ac:dyDescent="0.25">
      <c r="A546" s="869"/>
      <c r="B546" s="912"/>
      <c r="C546" s="912"/>
      <c r="D546" s="912"/>
      <c r="E546" s="912"/>
    </row>
    <row r="547" spans="1:5" ht="15.75" x14ac:dyDescent="0.25">
      <c r="A547" s="869"/>
      <c r="B547" s="912"/>
      <c r="C547" s="912"/>
      <c r="D547" s="912"/>
      <c r="E547" s="912"/>
    </row>
    <row r="548" spans="1:5" ht="15.75" x14ac:dyDescent="0.25">
      <c r="A548" s="869"/>
      <c r="B548" s="912"/>
      <c r="C548" s="912"/>
      <c r="D548" s="912"/>
      <c r="E548" s="912"/>
    </row>
    <row r="549" spans="1:5" ht="15.75" x14ac:dyDescent="0.25">
      <c r="A549" s="869"/>
      <c r="B549" s="912"/>
      <c r="C549" s="912"/>
      <c r="D549" s="912"/>
      <c r="E549" s="912"/>
    </row>
    <row r="550" spans="1:5" ht="15.75" x14ac:dyDescent="0.25">
      <c r="A550" s="869"/>
      <c r="B550" s="912"/>
      <c r="C550" s="912"/>
      <c r="D550" s="912"/>
      <c r="E550" s="912"/>
    </row>
    <row r="551" spans="1:5" ht="15.75" x14ac:dyDescent="0.25">
      <c r="A551" s="869"/>
      <c r="B551" s="912"/>
      <c r="C551" s="912"/>
      <c r="D551" s="912"/>
      <c r="E551" s="912"/>
    </row>
    <row r="552" spans="1:5" ht="15.75" x14ac:dyDescent="0.25">
      <c r="A552" s="869"/>
      <c r="B552" s="912"/>
      <c r="C552" s="912"/>
      <c r="D552" s="912"/>
      <c r="E552" s="912"/>
    </row>
    <row r="553" spans="1:5" ht="15.75" x14ac:dyDescent="0.25">
      <c r="A553" s="869"/>
      <c r="B553" s="912"/>
      <c r="C553" s="912"/>
      <c r="D553" s="912"/>
      <c r="E553" s="912"/>
    </row>
    <row r="554" spans="1:5" ht="15.75" x14ac:dyDescent="0.25">
      <c r="A554" s="869"/>
      <c r="B554" s="912"/>
      <c r="C554" s="912"/>
      <c r="D554" s="912"/>
      <c r="E554" s="912"/>
    </row>
    <row r="555" spans="1:5" ht="15.75" x14ac:dyDescent="0.25">
      <c r="A555" s="869"/>
      <c r="B555" s="912"/>
      <c r="C555" s="912"/>
      <c r="D555" s="912"/>
      <c r="E555" s="912"/>
    </row>
    <row r="556" spans="1:5" ht="15.75" x14ac:dyDescent="0.25">
      <c r="A556" s="869"/>
      <c r="B556" s="912"/>
      <c r="C556" s="912"/>
      <c r="D556" s="912"/>
      <c r="E556" s="912"/>
    </row>
    <row r="557" spans="1:5" ht="15.75" x14ac:dyDescent="0.25">
      <c r="A557" s="869"/>
      <c r="B557" s="912"/>
      <c r="C557" s="912"/>
      <c r="D557" s="912"/>
      <c r="E557" s="912"/>
    </row>
    <row r="558" spans="1:5" ht="15.75" x14ac:dyDescent="0.25">
      <c r="A558" s="869"/>
      <c r="B558" s="912"/>
      <c r="C558" s="912"/>
      <c r="D558" s="912"/>
      <c r="E558" s="912"/>
    </row>
    <row r="559" spans="1:5" ht="15.75" x14ac:dyDescent="0.25">
      <c r="A559" s="869"/>
      <c r="B559" s="912"/>
      <c r="C559" s="912"/>
      <c r="D559" s="912"/>
      <c r="E559" s="912"/>
    </row>
    <row r="560" spans="1:5" ht="15.75" x14ac:dyDescent="0.25">
      <c r="A560" s="869"/>
      <c r="B560" s="912"/>
      <c r="C560" s="912"/>
      <c r="D560" s="912"/>
      <c r="E560" s="912"/>
    </row>
    <row r="561" spans="1:5" ht="15.75" x14ac:dyDescent="0.25">
      <c r="A561" s="869"/>
      <c r="B561" s="912"/>
      <c r="C561" s="912"/>
      <c r="D561" s="912"/>
      <c r="E561" s="912"/>
    </row>
    <row r="562" spans="1:5" ht="15.75" x14ac:dyDescent="0.25">
      <c r="A562" s="869"/>
      <c r="B562" s="912"/>
      <c r="C562" s="912"/>
      <c r="D562" s="912"/>
      <c r="E562" s="912"/>
    </row>
    <row r="563" spans="1:5" ht="15.75" x14ac:dyDescent="0.25">
      <c r="A563" s="869"/>
      <c r="B563" s="912"/>
      <c r="C563" s="912"/>
      <c r="D563" s="912"/>
      <c r="E563" s="912"/>
    </row>
    <row r="564" spans="1:5" ht="15.75" x14ac:dyDescent="0.25">
      <c r="A564" s="869"/>
      <c r="B564" s="912"/>
      <c r="C564" s="912"/>
      <c r="D564" s="912"/>
      <c r="E564" s="912"/>
    </row>
    <row r="565" spans="1:5" ht="15.75" x14ac:dyDescent="0.25">
      <c r="A565" s="869"/>
      <c r="B565" s="912"/>
      <c r="C565" s="912"/>
      <c r="D565" s="912"/>
      <c r="E565" s="912"/>
    </row>
    <row r="566" spans="1:5" ht="15.75" x14ac:dyDescent="0.25">
      <c r="A566" s="869"/>
      <c r="B566" s="912"/>
      <c r="C566" s="912"/>
      <c r="D566" s="912"/>
      <c r="E566" s="912"/>
    </row>
    <row r="567" spans="1:5" ht="15.75" x14ac:dyDescent="0.25">
      <c r="A567" s="869"/>
      <c r="B567" s="912"/>
      <c r="C567" s="912"/>
      <c r="D567" s="912"/>
      <c r="E567" s="912"/>
    </row>
    <row r="568" spans="1:5" ht="15.75" x14ac:dyDescent="0.25">
      <c r="A568" s="869"/>
      <c r="B568" s="912"/>
      <c r="C568" s="912"/>
      <c r="D568" s="912"/>
      <c r="E568" s="912"/>
    </row>
    <row r="569" spans="1:5" ht="15.75" x14ac:dyDescent="0.25">
      <c r="A569" s="869"/>
      <c r="B569" s="912"/>
      <c r="C569" s="912"/>
      <c r="D569" s="912"/>
      <c r="E569" s="912"/>
    </row>
    <row r="570" spans="1:5" ht="15.75" x14ac:dyDescent="0.25">
      <c r="A570" s="869"/>
      <c r="B570" s="912"/>
      <c r="C570" s="912"/>
      <c r="D570" s="912"/>
      <c r="E570" s="912"/>
    </row>
    <row r="571" spans="1:5" ht="15.75" x14ac:dyDescent="0.25">
      <c r="A571" s="869"/>
      <c r="B571" s="912"/>
      <c r="C571" s="912"/>
      <c r="D571" s="912"/>
      <c r="E571" s="912"/>
    </row>
    <row r="572" spans="1:5" ht="15.75" x14ac:dyDescent="0.25">
      <c r="A572" s="869"/>
      <c r="B572" s="912"/>
      <c r="C572" s="912"/>
      <c r="D572" s="912"/>
      <c r="E572" s="912"/>
    </row>
    <row r="573" spans="1:5" ht="15.75" x14ac:dyDescent="0.25">
      <c r="A573" s="869"/>
      <c r="B573" s="912"/>
      <c r="C573" s="912"/>
      <c r="D573" s="912"/>
      <c r="E573" s="912"/>
    </row>
    <row r="574" spans="1:5" ht="15.75" x14ac:dyDescent="0.25">
      <c r="A574" s="869"/>
      <c r="B574" s="912"/>
      <c r="C574" s="912"/>
      <c r="D574" s="912"/>
      <c r="E574" s="912"/>
    </row>
    <row r="575" spans="1:5" ht="15.75" x14ac:dyDescent="0.25">
      <c r="A575" s="869"/>
      <c r="B575" s="912"/>
      <c r="C575" s="912"/>
      <c r="D575" s="912"/>
      <c r="E575" s="912"/>
    </row>
    <row r="576" spans="1:5" ht="15.75" x14ac:dyDescent="0.25">
      <c r="A576" s="869"/>
      <c r="B576" s="912"/>
      <c r="C576" s="912"/>
      <c r="D576" s="912"/>
      <c r="E576" s="912"/>
    </row>
    <row r="577" spans="1:5" ht="15.75" x14ac:dyDescent="0.25">
      <c r="A577" s="869"/>
      <c r="B577" s="912"/>
      <c r="C577" s="912"/>
      <c r="D577" s="912"/>
      <c r="E577" s="912"/>
    </row>
    <row r="578" spans="1:5" ht="15.75" x14ac:dyDescent="0.25">
      <c r="A578" s="869"/>
      <c r="B578" s="912"/>
      <c r="C578" s="912"/>
      <c r="D578" s="912"/>
      <c r="E578" s="912"/>
    </row>
    <row r="579" spans="1:5" ht="15.75" x14ac:dyDescent="0.25">
      <c r="A579" s="869"/>
      <c r="B579" s="912"/>
      <c r="C579" s="912"/>
      <c r="D579" s="912"/>
      <c r="E579" s="912"/>
    </row>
    <row r="580" spans="1:5" ht="15.75" x14ac:dyDescent="0.25">
      <c r="A580" s="869"/>
      <c r="B580" s="912"/>
      <c r="C580" s="912"/>
      <c r="D580" s="912"/>
      <c r="E580" s="912"/>
    </row>
    <row r="581" spans="1:5" ht="15.75" x14ac:dyDescent="0.25">
      <c r="A581" s="869"/>
      <c r="B581" s="912"/>
      <c r="C581" s="912"/>
      <c r="D581" s="912"/>
      <c r="E581" s="912"/>
    </row>
    <row r="582" spans="1:5" ht="15.75" x14ac:dyDescent="0.25">
      <c r="A582" s="869"/>
      <c r="B582" s="912"/>
      <c r="C582" s="912"/>
      <c r="D582" s="912"/>
      <c r="E582" s="912"/>
    </row>
    <row r="583" spans="1:5" ht="15.75" x14ac:dyDescent="0.25">
      <c r="A583" s="869"/>
      <c r="B583" s="912"/>
      <c r="C583" s="912"/>
      <c r="D583" s="912"/>
      <c r="E583" s="912"/>
    </row>
    <row r="584" spans="1:5" ht="15.75" x14ac:dyDescent="0.25">
      <c r="A584" s="869"/>
      <c r="B584" s="912"/>
      <c r="C584" s="912"/>
      <c r="D584" s="912"/>
      <c r="E584" s="912"/>
    </row>
    <row r="585" spans="1:5" ht="15.75" x14ac:dyDescent="0.25">
      <c r="A585" s="869"/>
      <c r="B585" s="912"/>
      <c r="C585" s="912"/>
      <c r="D585" s="912"/>
      <c r="E585" s="912"/>
    </row>
    <row r="586" spans="1:5" ht="15.75" x14ac:dyDescent="0.25">
      <c r="A586" s="869"/>
      <c r="B586" s="912"/>
      <c r="C586" s="912"/>
      <c r="D586" s="912"/>
      <c r="E586" s="912"/>
    </row>
    <row r="587" spans="1:5" ht="15.75" x14ac:dyDescent="0.25">
      <c r="A587" s="869"/>
      <c r="B587" s="912"/>
      <c r="C587" s="912"/>
      <c r="D587" s="912"/>
      <c r="E587" s="912"/>
    </row>
    <row r="588" spans="1:5" ht="15.75" x14ac:dyDescent="0.25">
      <c r="A588" s="869"/>
      <c r="B588" s="912"/>
      <c r="C588" s="912"/>
      <c r="D588" s="912"/>
      <c r="E588" s="912"/>
    </row>
    <row r="589" spans="1:5" ht="15.75" x14ac:dyDescent="0.25">
      <c r="A589" s="869"/>
      <c r="B589" s="912"/>
      <c r="C589" s="912"/>
      <c r="D589" s="912"/>
      <c r="E589" s="912"/>
    </row>
    <row r="590" spans="1:5" ht="15.75" x14ac:dyDescent="0.25">
      <c r="A590" s="869"/>
      <c r="B590" s="912"/>
      <c r="C590" s="912"/>
      <c r="D590" s="912"/>
      <c r="E590" s="912"/>
    </row>
    <row r="591" spans="1:5" ht="15.75" x14ac:dyDescent="0.25">
      <c r="A591" s="869"/>
      <c r="B591" s="912"/>
      <c r="C591" s="912"/>
      <c r="D591" s="912"/>
      <c r="E591" s="912"/>
    </row>
    <row r="592" spans="1:5" ht="15.75" x14ac:dyDescent="0.25">
      <c r="A592" s="869"/>
      <c r="B592" s="912"/>
      <c r="C592" s="912"/>
      <c r="D592" s="912"/>
      <c r="E592" s="912"/>
    </row>
    <row r="593" spans="1:5" ht="15.75" x14ac:dyDescent="0.25">
      <c r="A593" s="869"/>
      <c r="B593" s="912"/>
      <c r="C593" s="912"/>
      <c r="D593" s="912"/>
      <c r="E593" s="912"/>
    </row>
    <row r="594" spans="1:5" ht="15.75" x14ac:dyDescent="0.25">
      <c r="A594" s="869"/>
      <c r="B594" s="912"/>
      <c r="C594" s="912"/>
      <c r="D594" s="912"/>
      <c r="E594" s="912"/>
    </row>
    <row r="595" spans="1:5" ht="15.75" x14ac:dyDescent="0.25">
      <c r="A595" s="869"/>
      <c r="B595" s="912"/>
      <c r="C595" s="912"/>
      <c r="D595" s="912"/>
      <c r="E595" s="912"/>
    </row>
    <row r="596" spans="1:5" ht="15.75" x14ac:dyDescent="0.25">
      <c r="A596" s="869"/>
      <c r="B596" s="912"/>
      <c r="C596" s="912"/>
      <c r="D596" s="912"/>
      <c r="E596" s="912"/>
    </row>
    <row r="597" spans="1:5" ht="15.75" x14ac:dyDescent="0.25">
      <c r="A597" s="869"/>
      <c r="B597" s="912"/>
      <c r="C597" s="912"/>
      <c r="D597" s="912"/>
      <c r="E597" s="912"/>
    </row>
    <row r="598" spans="1:5" ht="15.75" x14ac:dyDescent="0.25">
      <c r="A598" s="869"/>
      <c r="B598" s="912"/>
      <c r="C598" s="912"/>
      <c r="D598" s="912"/>
      <c r="E598" s="912"/>
    </row>
    <row r="599" spans="1:5" ht="15.75" x14ac:dyDescent="0.25">
      <c r="A599" s="869"/>
      <c r="B599" s="912"/>
      <c r="C599" s="912"/>
      <c r="D599" s="912"/>
      <c r="E599" s="912"/>
    </row>
    <row r="600" spans="1:5" ht="15.75" x14ac:dyDescent="0.25">
      <c r="A600" s="869"/>
      <c r="B600" s="912"/>
      <c r="C600" s="912"/>
      <c r="D600" s="912"/>
      <c r="E600" s="912"/>
    </row>
    <row r="601" spans="1:5" ht="15.75" x14ac:dyDescent="0.25">
      <c r="A601" s="869"/>
      <c r="B601" s="912"/>
      <c r="C601" s="912"/>
      <c r="D601" s="912"/>
      <c r="E601" s="912"/>
    </row>
    <row r="602" spans="1:5" ht="15.75" x14ac:dyDescent="0.25">
      <c r="A602" s="869"/>
      <c r="B602" s="912"/>
      <c r="C602" s="912"/>
      <c r="D602" s="912"/>
      <c r="E602" s="912"/>
    </row>
    <row r="603" spans="1:5" ht="15.75" x14ac:dyDescent="0.25">
      <c r="A603" s="869"/>
      <c r="B603" s="912"/>
      <c r="C603" s="912"/>
      <c r="D603" s="912"/>
      <c r="E603" s="912"/>
    </row>
    <row r="604" spans="1:5" ht="15.75" x14ac:dyDescent="0.25">
      <c r="A604" s="869"/>
      <c r="B604" s="912"/>
      <c r="C604" s="912"/>
      <c r="D604" s="912"/>
      <c r="E604" s="912"/>
    </row>
    <row r="605" spans="1:5" ht="15.75" x14ac:dyDescent="0.25">
      <c r="A605" s="869"/>
      <c r="B605" s="912"/>
      <c r="C605" s="912"/>
      <c r="D605" s="912"/>
      <c r="E605" s="912"/>
    </row>
    <row r="606" spans="1:5" ht="15.75" x14ac:dyDescent="0.25">
      <c r="A606" s="869"/>
      <c r="B606" s="912"/>
      <c r="C606" s="912"/>
      <c r="D606" s="912"/>
      <c r="E606" s="912"/>
    </row>
    <row r="607" spans="1:5" ht="15.75" x14ac:dyDescent="0.25">
      <c r="A607" s="869"/>
      <c r="B607" s="912"/>
      <c r="C607" s="912"/>
      <c r="D607" s="912"/>
      <c r="E607" s="912"/>
    </row>
    <row r="608" spans="1:5" ht="15.75" x14ac:dyDescent="0.25">
      <c r="A608" s="869"/>
      <c r="B608" s="912"/>
      <c r="C608" s="912"/>
      <c r="D608" s="912"/>
      <c r="E608" s="912"/>
    </row>
    <row r="609" spans="1:5" ht="15.75" x14ac:dyDescent="0.25">
      <c r="A609" s="869"/>
      <c r="B609" s="912"/>
      <c r="C609" s="912"/>
      <c r="D609" s="912"/>
      <c r="E609" s="912"/>
    </row>
    <row r="610" spans="1:5" ht="15.75" x14ac:dyDescent="0.25">
      <c r="A610" s="869"/>
      <c r="B610" s="912"/>
      <c r="C610" s="912"/>
      <c r="D610" s="912"/>
      <c r="E610" s="912"/>
    </row>
    <row r="611" spans="1:5" ht="15.75" x14ac:dyDescent="0.25">
      <c r="A611" s="869"/>
      <c r="B611" s="912"/>
      <c r="C611" s="912"/>
      <c r="D611" s="912"/>
      <c r="E611" s="912"/>
    </row>
    <row r="612" spans="1:5" ht="15.75" x14ac:dyDescent="0.25">
      <c r="A612" s="869"/>
      <c r="B612" s="912"/>
      <c r="C612" s="912"/>
      <c r="D612" s="912"/>
      <c r="E612" s="912"/>
    </row>
    <row r="613" spans="1:5" ht="15.75" x14ac:dyDescent="0.25">
      <c r="A613" s="869"/>
      <c r="B613" s="912"/>
      <c r="C613" s="912"/>
      <c r="D613" s="912"/>
      <c r="E613" s="912"/>
    </row>
    <row r="614" spans="1:5" ht="15.75" x14ac:dyDescent="0.25">
      <c r="A614" s="869"/>
      <c r="B614" s="912"/>
      <c r="C614" s="912"/>
      <c r="D614" s="912"/>
      <c r="E614" s="912"/>
    </row>
    <row r="615" spans="1:5" ht="15.75" x14ac:dyDescent="0.25">
      <c r="A615" s="869"/>
      <c r="B615" s="912"/>
      <c r="C615" s="912"/>
      <c r="D615" s="912"/>
      <c r="E615" s="912"/>
    </row>
    <row r="616" spans="1:5" ht="15.75" x14ac:dyDescent="0.25">
      <c r="A616" s="869"/>
      <c r="B616" s="912"/>
      <c r="C616" s="912"/>
      <c r="D616" s="912"/>
      <c r="E616" s="912"/>
    </row>
    <row r="617" spans="1:5" ht="15.75" x14ac:dyDescent="0.25">
      <c r="A617" s="869"/>
      <c r="B617" s="912"/>
      <c r="C617" s="912"/>
      <c r="D617" s="912"/>
      <c r="E617" s="912"/>
    </row>
    <row r="618" spans="1:5" ht="15.75" x14ac:dyDescent="0.25">
      <c r="A618" s="869"/>
      <c r="B618" s="912"/>
      <c r="C618" s="912"/>
      <c r="D618" s="912"/>
      <c r="E618" s="912"/>
    </row>
    <row r="619" spans="1:5" ht="15.75" x14ac:dyDescent="0.25">
      <c r="A619" s="869"/>
      <c r="B619" s="912"/>
      <c r="C619" s="912"/>
      <c r="D619" s="912"/>
      <c r="E619" s="912"/>
    </row>
    <row r="620" spans="1:5" ht="15.75" x14ac:dyDescent="0.25">
      <c r="A620" s="869"/>
      <c r="B620" s="912"/>
      <c r="C620" s="912"/>
      <c r="D620" s="912"/>
      <c r="E620" s="912"/>
    </row>
    <row r="621" spans="1:5" ht="15.75" x14ac:dyDescent="0.25">
      <c r="A621" s="869"/>
      <c r="B621" s="912"/>
      <c r="C621" s="912"/>
      <c r="D621" s="912"/>
      <c r="E621" s="912"/>
    </row>
    <row r="622" spans="1:5" ht="15.75" x14ac:dyDescent="0.25">
      <c r="A622" s="869"/>
      <c r="B622" s="912"/>
      <c r="C622" s="912"/>
      <c r="D622" s="912"/>
      <c r="E622" s="912"/>
    </row>
    <row r="623" spans="1:5" ht="15.75" x14ac:dyDescent="0.25">
      <c r="A623" s="869"/>
      <c r="B623" s="912"/>
      <c r="C623" s="912"/>
      <c r="D623" s="912"/>
      <c r="E623" s="912"/>
    </row>
    <row r="624" spans="1:5" ht="15.75" x14ac:dyDescent="0.25">
      <c r="A624" s="869"/>
      <c r="B624" s="912"/>
      <c r="C624" s="912"/>
      <c r="D624" s="912"/>
      <c r="E624" s="912"/>
    </row>
    <row r="625" spans="1:5" ht="15.75" x14ac:dyDescent="0.25">
      <c r="A625" s="869"/>
      <c r="B625" s="912"/>
      <c r="C625" s="912"/>
      <c r="D625" s="912"/>
      <c r="E625" s="912"/>
    </row>
    <row r="626" spans="1:5" ht="15.75" x14ac:dyDescent="0.25">
      <c r="A626" s="869"/>
      <c r="B626" s="912"/>
      <c r="C626" s="912"/>
      <c r="D626" s="912"/>
      <c r="E626" s="912"/>
    </row>
    <row r="627" spans="1:5" ht="15.75" x14ac:dyDescent="0.25">
      <c r="A627" s="869"/>
      <c r="B627" s="912"/>
      <c r="C627" s="912"/>
      <c r="D627" s="912"/>
      <c r="E627" s="912"/>
    </row>
    <row r="628" spans="1:5" ht="15.75" x14ac:dyDescent="0.25">
      <c r="A628" s="869"/>
      <c r="B628" s="912"/>
      <c r="C628" s="912"/>
      <c r="D628" s="912"/>
      <c r="E628" s="912"/>
    </row>
    <row r="629" spans="1:5" ht="15.75" x14ac:dyDescent="0.25">
      <c r="A629" s="869"/>
      <c r="B629" s="912"/>
      <c r="C629" s="912"/>
      <c r="D629" s="912"/>
      <c r="E629" s="912"/>
    </row>
    <row r="630" spans="1:5" ht="15.75" x14ac:dyDescent="0.25">
      <c r="A630" s="869"/>
      <c r="B630" s="912"/>
      <c r="C630" s="912"/>
      <c r="D630" s="912"/>
      <c r="E630" s="912"/>
    </row>
    <row r="631" spans="1:5" ht="15.75" x14ac:dyDescent="0.25">
      <c r="A631" s="869"/>
      <c r="B631" s="912"/>
      <c r="C631" s="912"/>
      <c r="D631" s="912"/>
      <c r="E631" s="912"/>
    </row>
    <row r="632" spans="1:5" ht="15.75" x14ac:dyDescent="0.25">
      <c r="A632" s="869"/>
      <c r="B632" s="912"/>
      <c r="C632" s="912"/>
      <c r="D632" s="912"/>
      <c r="E632" s="912"/>
    </row>
    <row r="633" spans="1:5" ht="15.75" x14ac:dyDescent="0.25">
      <c r="A633" s="869"/>
      <c r="B633" s="912"/>
      <c r="C633" s="912"/>
      <c r="D633" s="912"/>
      <c r="E633" s="912"/>
    </row>
    <row r="634" spans="1:5" ht="15.75" x14ac:dyDescent="0.25">
      <c r="A634" s="869"/>
      <c r="B634" s="912"/>
      <c r="C634" s="912"/>
      <c r="D634" s="912"/>
      <c r="E634" s="912"/>
    </row>
    <row r="635" spans="1:5" ht="15.75" x14ac:dyDescent="0.25">
      <c r="A635" s="869"/>
      <c r="B635" s="912"/>
      <c r="C635" s="912"/>
      <c r="D635" s="912"/>
      <c r="E635" s="912"/>
    </row>
    <row r="636" spans="1:5" ht="15.75" x14ac:dyDescent="0.25">
      <c r="A636" s="869"/>
      <c r="B636" s="912"/>
      <c r="C636" s="912"/>
      <c r="D636" s="912"/>
      <c r="E636" s="912"/>
    </row>
    <row r="637" spans="1:5" ht="15.75" x14ac:dyDescent="0.25">
      <c r="A637" s="869"/>
      <c r="B637" s="912"/>
      <c r="C637" s="912"/>
      <c r="D637" s="912"/>
      <c r="E637" s="912"/>
    </row>
    <row r="638" spans="1:5" ht="15.75" x14ac:dyDescent="0.25">
      <c r="A638" s="869"/>
      <c r="B638" s="912"/>
      <c r="C638" s="912"/>
      <c r="D638" s="912"/>
      <c r="E638" s="912"/>
    </row>
    <row r="639" spans="1:5" ht="15.75" x14ac:dyDescent="0.25">
      <c r="A639" s="869"/>
      <c r="B639" s="912"/>
      <c r="C639" s="912"/>
      <c r="D639" s="912"/>
      <c r="E639" s="912"/>
    </row>
    <row r="640" spans="1:5" ht="15.75" x14ac:dyDescent="0.25">
      <c r="A640" s="869"/>
      <c r="B640" s="912"/>
      <c r="C640" s="912"/>
      <c r="D640" s="912"/>
      <c r="E640" s="912"/>
    </row>
    <row r="641" spans="1:5" ht="15.75" x14ac:dyDescent="0.25">
      <c r="A641" s="869"/>
      <c r="B641" s="912"/>
      <c r="C641" s="912"/>
      <c r="D641" s="912"/>
      <c r="E641" s="912"/>
    </row>
    <row r="642" spans="1:5" ht="15.75" x14ac:dyDescent="0.25">
      <c r="A642" s="869"/>
      <c r="B642" s="912"/>
      <c r="C642" s="912"/>
      <c r="D642" s="912"/>
      <c r="E642" s="912"/>
    </row>
    <row r="643" spans="1:5" ht="15.75" x14ac:dyDescent="0.25">
      <c r="A643" s="869"/>
      <c r="B643" s="912"/>
      <c r="C643" s="912"/>
      <c r="D643" s="912"/>
      <c r="E643" s="912"/>
    </row>
    <row r="644" spans="1:5" ht="15.75" x14ac:dyDescent="0.25">
      <c r="A644" s="869"/>
      <c r="B644" s="912"/>
      <c r="C644" s="912"/>
      <c r="D644" s="912"/>
      <c r="E644" s="912"/>
    </row>
    <row r="645" spans="1:5" ht="15.75" x14ac:dyDescent="0.25">
      <c r="A645" s="869"/>
      <c r="B645" s="912"/>
      <c r="C645" s="912"/>
      <c r="D645" s="912"/>
      <c r="E645" s="912"/>
    </row>
    <row r="646" spans="1:5" ht="15.75" x14ac:dyDescent="0.25">
      <c r="A646" s="869"/>
      <c r="B646" s="912"/>
      <c r="C646" s="912"/>
      <c r="D646" s="912"/>
      <c r="E646" s="912"/>
    </row>
    <row r="647" spans="1:5" ht="15.75" x14ac:dyDescent="0.25">
      <c r="A647" s="869"/>
      <c r="B647" s="912"/>
      <c r="C647" s="912"/>
      <c r="D647" s="912"/>
      <c r="E647" s="912"/>
    </row>
    <row r="648" spans="1:5" ht="15.75" x14ac:dyDescent="0.25">
      <c r="A648" s="869"/>
      <c r="B648" s="912"/>
      <c r="C648" s="912"/>
      <c r="D648" s="912"/>
      <c r="E648" s="912"/>
    </row>
    <row r="649" spans="1:5" ht="15.75" x14ac:dyDescent="0.25">
      <c r="A649" s="869"/>
      <c r="B649" s="912"/>
      <c r="C649" s="912"/>
      <c r="D649" s="912"/>
      <c r="E649" s="912"/>
    </row>
    <row r="650" spans="1:5" ht="15.75" x14ac:dyDescent="0.25">
      <c r="A650" s="869"/>
      <c r="B650" s="912"/>
      <c r="C650" s="912"/>
      <c r="D650" s="912"/>
      <c r="E650" s="912"/>
    </row>
    <row r="651" spans="1:5" ht="15.75" x14ac:dyDescent="0.25">
      <c r="A651" s="869"/>
      <c r="B651" s="912"/>
      <c r="C651" s="912"/>
      <c r="D651" s="912"/>
      <c r="E651" s="912"/>
    </row>
    <row r="652" spans="1:5" ht="15.75" x14ac:dyDescent="0.25">
      <c r="A652" s="869"/>
      <c r="B652" s="912"/>
      <c r="C652" s="912"/>
      <c r="D652" s="912"/>
      <c r="E652" s="912"/>
    </row>
    <row r="653" spans="1:5" ht="15.75" x14ac:dyDescent="0.25">
      <c r="A653" s="869"/>
      <c r="B653" s="912"/>
      <c r="C653" s="912"/>
      <c r="D653" s="912"/>
      <c r="E653" s="912"/>
    </row>
    <row r="654" spans="1:5" ht="15.75" x14ac:dyDescent="0.25">
      <c r="A654" s="869"/>
      <c r="B654" s="912"/>
      <c r="C654" s="912"/>
      <c r="D654" s="912"/>
      <c r="E654" s="912"/>
    </row>
    <row r="655" spans="1:5" ht="15.75" x14ac:dyDescent="0.25">
      <c r="A655" s="869"/>
      <c r="B655" s="912"/>
      <c r="C655" s="912"/>
      <c r="D655" s="912"/>
      <c r="E655" s="912"/>
    </row>
    <row r="656" spans="1:5" ht="15.75" x14ac:dyDescent="0.25">
      <c r="A656" s="869"/>
      <c r="B656" s="912"/>
      <c r="C656" s="912"/>
      <c r="D656" s="912"/>
      <c r="E656" s="912"/>
    </row>
    <row r="657" spans="1:5" ht="15.75" x14ac:dyDescent="0.25">
      <c r="A657" s="869"/>
      <c r="B657" s="912"/>
      <c r="C657" s="912"/>
      <c r="D657" s="912"/>
      <c r="E657" s="912"/>
    </row>
    <row r="658" spans="1:5" ht="15.75" x14ac:dyDescent="0.25">
      <c r="A658" s="869"/>
      <c r="B658" s="912"/>
      <c r="C658" s="912"/>
      <c r="D658" s="912"/>
      <c r="E658" s="912"/>
    </row>
    <row r="659" spans="1:5" ht="15.75" x14ac:dyDescent="0.25">
      <c r="A659" s="869"/>
      <c r="B659" s="912"/>
      <c r="C659" s="912"/>
      <c r="D659" s="912"/>
      <c r="E659" s="912"/>
    </row>
    <row r="660" spans="1:5" ht="15.75" x14ac:dyDescent="0.25">
      <c r="A660" s="869"/>
      <c r="B660" s="912"/>
      <c r="C660" s="912"/>
      <c r="D660" s="912"/>
      <c r="E660" s="912"/>
    </row>
    <row r="661" spans="1:5" ht="15.75" x14ac:dyDescent="0.25">
      <c r="A661" s="869"/>
      <c r="B661" s="912"/>
      <c r="C661" s="912"/>
      <c r="D661" s="912"/>
      <c r="E661" s="912"/>
    </row>
    <row r="662" spans="1:5" ht="15.75" x14ac:dyDescent="0.25">
      <c r="A662" s="869"/>
      <c r="B662" s="912"/>
      <c r="C662" s="912"/>
      <c r="D662" s="912"/>
      <c r="E662" s="912"/>
    </row>
    <row r="663" spans="1:5" ht="15.75" x14ac:dyDescent="0.25">
      <c r="A663" s="869"/>
      <c r="B663" s="912"/>
      <c r="C663" s="912"/>
      <c r="D663" s="912"/>
      <c r="E663" s="912"/>
    </row>
    <row r="664" spans="1:5" ht="15.75" x14ac:dyDescent="0.25">
      <c r="A664" s="869"/>
      <c r="B664" s="912"/>
      <c r="C664" s="912"/>
      <c r="D664" s="912"/>
      <c r="E664" s="912"/>
    </row>
    <row r="665" spans="1:5" ht="15.75" x14ac:dyDescent="0.25">
      <c r="A665" s="869"/>
      <c r="B665" s="912"/>
      <c r="C665" s="912"/>
      <c r="D665" s="912"/>
      <c r="E665" s="912"/>
    </row>
    <row r="666" spans="1:5" ht="15.75" x14ac:dyDescent="0.25">
      <c r="A666" s="869"/>
      <c r="B666" s="912"/>
      <c r="C666" s="912"/>
      <c r="D666" s="912"/>
      <c r="E666" s="912"/>
    </row>
    <row r="667" spans="1:5" ht="15.75" x14ac:dyDescent="0.25">
      <c r="A667" s="869"/>
      <c r="B667" s="912"/>
      <c r="C667" s="912"/>
      <c r="D667" s="912"/>
      <c r="E667" s="912"/>
    </row>
    <row r="668" spans="1:5" ht="15.75" x14ac:dyDescent="0.25">
      <c r="A668" s="869"/>
      <c r="B668" s="912"/>
      <c r="C668" s="912"/>
      <c r="D668" s="912"/>
      <c r="E668" s="912"/>
    </row>
    <row r="669" spans="1:5" ht="15.75" x14ac:dyDescent="0.25">
      <c r="A669" s="869"/>
      <c r="B669" s="912"/>
      <c r="C669" s="912"/>
      <c r="D669" s="912"/>
      <c r="E669" s="912"/>
    </row>
    <row r="670" spans="1:5" ht="15.75" x14ac:dyDescent="0.25">
      <c r="A670" s="869"/>
      <c r="B670" s="912"/>
      <c r="C670" s="912"/>
      <c r="D670" s="912"/>
      <c r="E670" s="912"/>
    </row>
    <row r="671" spans="1:5" ht="15.75" x14ac:dyDescent="0.25">
      <c r="A671" s="869"/>
      <c r="B671" s="912"/>
      <c r="C671" s="912"/>
      <c r="D671" s="912"/>
      <c r="E671" s="912"/>
    </row>
    <row r="672" spans="1:5" ht="15.75" x14ac:dyDescent="0.25">
      <c r="A672" s="869"/>
      <c r="B672" s="912"/>
      <c r="C672" s="912"/>
      <c r="D672" s="912"/>
      <c r="E672" s="912"/>
    </row>
    <row r="673" spans="1:5" ht="15.75" x14ac:dyDescent="0.25">
      <c r="A673" s="869"/>
      <c r="B673" s="912"/>
      <c r="C673" s="912"/>
      <c r="D673" s="912"/>
      <c r="E673" s="912"/>
    </row>
    <row r="674" spans="1:5" ht="15.75" x14ac:dyDescent="0.25">
      <c r="A674" s="869"/>
      <c r="B674" s="912"/>
      <c r="C674" s="912"/>
      <c r="D674" s="912"/>
      <c r="E674" s="912"/>
    </row>
    <row r="675" spans="1:5" ht="15.75" x14ac:dyDescent="0.25">
      <c r="A675" s="869"/>
      <c r="B675" s="912"/>
      <c r="C675" s="912"/>
      <c r="D675" s="912"/>
      <c r="E675" s="912"/>
    </row>
    <row r="676" spans="1:5" ht="15.75" x14ac:dyDescent="0.25">
      <c r="A676" s="869"/>
      <c r="B676" s="912"/>
      <c r="C676" s="912"/>
      <c r="D676" s="912"/>
      <c r="E676" s="912"/>
    </row>
    <row r="677" spans="1:5" ht="15.75" x14ac:dyDescent="0.25">
      <c r="A677" s="869"/>
      <c r="B677" s="912"/>
      <c r="C677" s="912"/>
      <c r="D677" s="912"/>
      <c r="E677" s="912"/>
    </row>
    <row r="678" spans="1:5" ht="15.75" x14ac:dyDescent="0.25">
      <c r="A678" s="869"/>
      <c r="B678" s="912"/>
      <c r="C678" s="912"/>
      <c r="D678" s="912"/>
      <c r="E678" s="912"/>
    </row>
    <row r="679" spans="1:5" ht="15.75" x14ac:dyDescent="0.25">
      <c r="A679" s="869"/>
      <c r="B679" s="912"/>
      <c r="C679" s="912"/>
      <c r="D679" s="912"/>
      <c r="E679" s="912"/>
    </row>
    <row r="680" spans="1:5" ht="15.75" x14ac:dyDescent="0.25">
      <c r="A680" s="869"/>
      <c r="B680" s="912"/>
      <c r="C680" s="912"/>
      <c r="D680" s="912"/>
      <c r="E680" s="912"/>
    </row>
    <row r="681" spans="1:5" ht="15.75" x14ac:dyDescent="0.25">
      <c r="A681" s="869"/>
      <c r="B681" s="912"/>
      <c r="C681" s="912"/>
      <c r="D681" s="912"/>
      <c r="E681" s="912"/>
    </row>
    <row r="682" spans="1:5" ht="15.75" x14ac:dyDescent="0.25">
      <c r="A682" s="869"/>
      <c r="B682" s="912"/>
      <c r="C682" s="912"/>
      <c r="D682" s="912"/>
      <c r="E682" s="912"/>
    </row>
    <row r="683" spans="1:5" ht="15.75" x14ac:dyDescent="0.25">
      <c r="A683" s="869"/>
      <c r="B683" s="912"/>
      <c r="C683" s="912"/>
      <c r="D683" s="912"/>
      <c r="E683" s="912"/>
    </row>
    <row r="684" spans="1:5" ht="15.75" x14ac:dyDescent="0.25">
      <c r="A684" s="869"/>
      <c r="B684" s="912"/>
      <c r="C684" s="912"/>
      <c r="D684" s="912"/>
      <c r="E684" s="912"/>
    </row>
    <row r="685" spans="1:5" ht="15.75" x14ac:dyDescent="0.25">
      <c r="A685" s="869"/>
      <c r="B685" s="912"/>
      <c r="C685" s="912"/>
      <c r="D685" s="912"/>
      <c r="E685" s="912"/>
    </row>
    <row r="686" spans="1:5" ht="15.75" x14ac:dyDescent="0.25">
      <c r="A686" s="869"/>
      <c r="B686" s="912"/>
      <c r="C686" s="912"/>
      <c r="D686" s="912"/>
      <c r="E686" s="912"/>
    </row>
    <row r="687" spans="1:5" ht="15.75" x14ac:dyDescent="0.25">
      <c r="A687" s="869"/>
      <c r="B687" s="912"/>
      <c r="C687" s="912"/>
      <c r="D687" s="912"/>
      <c r="E687" s="912"/>
    </row>
    <row r="688" spans="1:5" ht="15.75" x14ac:dyDescent="0.25">
      <c r="A688" s="869"/>
      <c r="B688" s="912"/>
      <c r="C688" s="912"/>
      <c r="D688" s="912"/>
      <c r="E688" s="912"/>
    </row>
    <row r="689" spans="1:5" ht="15.75" x14ac:dyDescent="0.25">
      <c r="A689" s="869"/>
      <c r="B689" s="912"/>
      <c r="C689" s="912"/>
      <c r="D689" s="912"/>
      <c r="E689" s="912"/>
    </row>
    <row r="690" spans="1:5" ht="15.75" x14ac:dyDescent="0.25">
      <c r="A690" s="869"/>
      <c r="B690" s="912"/>
      <c r="C690" s="912"/>
      <c r="D690" s="912"/>
      <c r="E690" s="912"/>
    </row>
    <row r="691" spans="1:5" ht="15.75" x14ac:dyDescent="0.25">
      <c r="A691" s="869"/>
      <c r="B691" s="912"/>
      <c r="C691" s="912"/>
      <c r="D691" s="912"/>
      <c r="E691" s="912"/>
    </row>
    <row r="692" spans="1:5" ht="15.75" x14ac:dyDescent="0.25">
      <c r="A692" s="869"/>
      <c r="B692" s="912"/>
      <c r="C692" s="912"/>
      <c r="D692" s="912"/>
      <c r="E692" s="912"/>
    </row>
    <row r="693" spans="1:5" ht="15.75" x14ac:dyDescent="0.25">
      <c r="A693" s="869"/>
      <c r="B693" s="912"/>
      <c r="C693" s="912"/>
      <c r="D693" s="912"/>
      <c r="E693" s="912"/>
    </row>
    <row r="694" spans="1:5" ht="15.75" x14ac:dyDescent="0.25">
      <c r="A694" s="869"/>
      <c r="B694" s="912"/>
      <c r="C694" s="912"/>
      <c r="D694" s="912"/>
      <c r="E694" s="912"/>
    </row>
    <row r="695" spans="1:5" ht="15.75" x14ac:dyDescent="0.25">
      <c r="A695" s="869"/>
      <c r="B695" s="912"/>
      <c r="C695" s="912"/>
      <c r="D695" s="912"/>
      <c r="E695" s="912"/>
    </row>
    <row r="696" spans="1:5" ht="15.75" x14ac:dyDescent="0.25">
      <c r="A696" s="869"/>
      <c r="B696" s="912"/>
      <c r="C696" s="912"/>
      <c r="D696" s="912"/>
      <c r="E696" s="912"/>
    </row>
    <row r="697" spans="1:5" ht="15.75" x14ac:dyDescent="0.25">
      <c r="A697" s="869"/>
      <c r="B697" s="912"/>
      <c r="C697" s="912"/>
      <c r="D697" s="912"/>
      <c r="E697" s="912"/>
    </row>
    <row r="698" spans="1:5" ht="15.75" x14ac:dyDescent="0.25">
      <c r="A698" s="869"/>
      <c r="B698" s="912"/>
      <c r="C698" s="912"/>
      <c r="D698" s="912"/>
      <c r="E698" s="912"/>
    </row>
    <row r="699" spans="1:5" ht="15.75" x14ac:dyDescent="0.25">
      <c r="A699" s="869"/>
      <c r="B699" s="912"/>
      <c r="C699" s="912"/>
      <c r="D699" s="912"/>
      <c r="E699" s="912"/>
    </row>
    <row r="700" spans="1:5" ht="15.75" x14ac:dyDescent="0.25">
      <c r="A700" s="869"/>
      <c r="B700" s="912"/>
      <c r="C700" s="912"/>
      <c r="D700" s="912"/>
      <c r="E700" s="912"/>
    </row>
    <row r="701" spans="1:5" ht="15.75" x14ac:dyDescent="0.25">
      <c r="A701" s="869"/>
      <c r="B701" s="912"/>
      <c r="C701" s="912"/>
      <c r="D701" s="912"/>
      <c r="E701" s="912"/>
    </row>
    <row r="702" spans="1:5" ht="15.75" x14ac:dyDescent="0.25">
      <c r="A702" s="869"/>
      <c r="B702" s="912"/>
      <c r="C702" s="912"/>
      <c r="D702" s="912"/>
      <c r="E702" s="912"/>
    </row>
    <row r="703" spans="1:5" ht="15.75" x14ac:dyDescent="0.25">
      <c r="A703" s="869"/>
      <c r="B703" s="912"/>
      <c r="C703" s="912"/>
      <c r="D703" s="912"/>
      <c r="E703" s="912"/>
    </row>
    <row r="704" spans="1:5" ht="15.75" x14ac:dyDescent="0.25">
      <c r="A704" s="869"/>
      <c r="B704" s="912"/>
      <c r="C704" s="912"/>
      <c r="D704" s="912"/>
      <c r="E704" s="912"/>
    </row>
    <row r="705" spans="1:5" ht="15.75" x14ac:dyDescent="0.25">
      <c r="A705" s="869"/>
      <c r="B705" s="912"/>
      <c r="C705" s="912"/>
      <c r="D705" s="912"/>
      <c r="E705" s="912"/>
    </row>
    <row r="706" spans="1:5" ht="15.75" x14ac:dyDescent="0.25">
      <c r="A706" s="869"/>
      <c r="B706" s="912"/>
      <c r="C706" s="912"/>
      <c r="D706" s="912"/>
      <c r="E706" s="912"/>
    </row>
    <row r="707" spans="1:5" ht="15.75" x14ac:dyDescent="0.25">
      <c r="A707" s="869"/>
      <c r="B707" s="912"/>
      <c r="C707" s="912"/>
      <c r="D707" s="912"/>
      <c r="E707" s="912"/>
    </row>
    <row r="708" spans="1:5" ht="15.75" x14ac:dyDescent="0.25">
      <c r="A708" s="869"/>
      <c r="B708" s="912"/>
      <c r="C708" s="912"/>
      <c r="D708" s="912"/>
      <c r="E708" s="912"/>
    </row>
    <row r="709" spans="1:5" ht="15.75" x14ac:dyDescent="0.25">
      <c r="A709" s="869"/>
      <c r="B709" s="912"/>
      <c r="C709" s="912"/>
      <c r="D709" s="912"/>
      <c r="E709" s="912"/>
    </row>
    <row r="710" spans="1:5" ht="15.75" x14ac:dyDescent="0.25">
      <c r="A710" s="869"/>
      <c r="B710" s="912"/>
      <c r="C710" s="912"/>
      <c r="D710" s="912"/>
      <c r="E710" s="912"/>
    </row>
    <row r="711" spans="1:5" ht="15.75" x14ac:dyDescent="0.25">
      <c r="A711" s="869"/>
      <c r="B711" s="912"/>
      <c r="C711" s="912"/>
      <c r="D711" s="912"/>
      <c r="E711" s="912"/>
    </row>
    <row r="712" spans="1:5" ht="15.75" x14ac:dyDescent="0.25">
      <c r="A712" s="869"/>
      <c r="B712" s="912"/>
      <c r="C712" s="912"/>
      <c r="D712" s="912"/>
      <c r="E712" s="912"/>
    </row>
    <row r="713" spans="1:5" ht="15.75" x14ac:dyDescent="0.25">
      <c r="A713" s="869"/>
      <c r="B713" s="912"/>
      <c r="C713" s="912"/>
      <c r="D713" s="912"/>
      <c r="E713" s="912"/>
    </row>
    <row r="714" spans="1:5" ht="15.75" x14ac:dyDescent="0.25">
      <c r="A714" s="869"/>
      <c r="B714" s="912"/>
      <c r="C714" s="912"/>
      <c r="D714" s="912"/>
      <c r="E714" s="912"/>
    </row>
    <row r="715" spans="1:5" ht="15.75" x14ac:dyDescent="0.25">
      <c r="A715" s="869"/>
      <c r="B715" s="912"/>
      <c r="C715" s="912"/>
      <c r="D715" s="912"/>
      <c r="E715" s="912"/>
    </row>
    <row r="716" spans="1:5" ht="15.75" x14ac:dyDescent="0.25">
      <c r="A716" s="869"/>
      <c r="B716" s="912"/>
      <c r="C716" s="912"/>
      <c r="D716" s="912"/>
      <c r="E716" s="912"/>
    </row>
    <row r="717" spans="1:5" ht="15.75" x14ac:dyDescent="0.25">
      <c r="A717" s="869"/>
      <c r="B717" s="912"/>
      <c r="C717" s="912"/>
      <c r="D717" s="912"/>
      <c r="E717" s="912"/>
    </row>
    <row r="718" spans="1:5" ht="15.75" x14ac:dyDescent="0.25">
      <c r="A718" s="869"/>
      <c r="B718" s="912"/>
      <c r="C718" s="912"/>
      <c r="D718" s="912"/>
      <c r="E718" s="912"/>
    </row>
    <row r="719" spans="1:5" ht="15.75" x14ac:dyDescent="0.25">
      <c r="A719" s="869"/>
      <c r="B719" s="912"/>
      <c r="C719" s="912"/>
      <c r="D719" s="912"/>
      <c r="E719" s="912"/>
    </row>
    <row r="720" spans="1:5" ht="15.75" x14ac:dyDescent="0.25">
      <c r="A720" s="869"/>
      <c r="B720" s="912"/>
      <c r="C720" s="912"/>
      <c r="D720" s="912"/>
      <c r="E720" s="912"/>
    </row>
    <row r="721" spans="1:5" ht="15.75" x14ac:dyDescent="0.25">
      <c r="A721" s="869"/>
      <c r="B721" s="912"/>
      <c r="C721" s="912"/>
      <c r="D721" s="912"/>
      <c r="E721" s="912"/>
    </row>
    <row r="722" spans="1:5" ht="15.75" x14ac:dyDescent="0.25">
      <c r="A722" s="869"/>
      <c r="B722" s="912"/>
      <c r="C722" s="912"/>
      <c r="D722" s="912"/>
      <c r="E722" s="912"/>
    </row>
    <row r="723" spans="1:5" ht="15.75" x14ac:dyDescent="0.25">
      <c r="A723" s="869"/>
      <c r="B723" s="912"/>
      <c r="C723" s="912"/>
      <c r="D723" s="912"/>
      <c r="E723" s="912"/>
    </row>
    <row r="724" spans="1:5" ht="15.75" x14ac:dyDescent="0.25">
      <c r="A724" s="869"/>
      <c r="B724" s="912"/>
      <c r="C724" s="912"/>
      <c r="D724" s="912"/>
      <c r="E724" s="912"/>
    </row>
    <row r="725" spans="1:5" ht="15.75" x14ac:dyDescent="0.25">
      <c r="A725" s="869"/>
      <c r="B725" s="912"/>
      <c r="C725" s="912"/>
      <c r="D725" s="912"/>
      <c r="E725" s="912"/>
    </row>
    <row r="726" spans="1:5" ht="15.75" x14ac:dyDescent="0.25">
      <c r="A726" s="869"/>
      <c r="B726" s="912"/>
      <c r="C726" s="912"/>
      <c r="D726" s="912"/>
      <c r="E726" s="912"/>
    </row>
    <row r="727" spans="1:5" ht="15.75" x14ac:dyDescent="0.25">
      <c r="A727" s="869"/>
      <c r="B727" s="912"/>
      <c r="C727" s="912"/>
      <c r="D727" s="912"/>
      <c r="E727" s="912"/>
    </row>
    <row r="728" spans="1:5" ht="15.75" x14ac:dyDescent="0.25">
      <c r="A728" s="869"/>
      <c r="B728" s="912"/>
      <c r="C728" s="912"/>
      <c r="D728" s="912"/>
      <c r="E728" s="912"/>
    </row>
    <row r="729" spans="1:5" ht="15.75" x14ac:dyDescent="0.25">
      <c r="A729" s="869"/>
      <c r="B729" s="912"/>
      <c r="C729" s="912"/>
      <c r="D729" s="912"/>
      <c r="E729" s="912"/>
    </row>
    <row r="730" spans="1:5" ht="15.75" x14ac:dyDescent="0.25">
      <c r="A730" s="869"/>
      <c r="B730" s="912"/>
      <c r="C730" s="912"/>
      <c r="D730" s="912"/>
      <c r="E730" s="912"/>
    </row>
    <row r="731" spans="1:5" ht="15.75" x14ac:dyDescent="0.25">
      <c r="A731" s="869"/>
      <c r="B731" s="912"/>
      <c r="C731" s="912"/>
      <c r="D731" s="912"/>
      <c r="E731" s="912"/>
    </row>
    <row r="732" spans="1:5" ht="15.75" x14ac:dyDescent="0.25">
      <c r="A732" s="869"/>
      <c r="B732" s="912"/>
      <c r="C732" s="912"/>
      <c r="D732" s="912"/>
      <c r="E732" s="912"/>
    </row>
    <row r="733" spans="1:5" ht="15.75" x14ac:dyDescent="0.25">
      <c r="A733" s="869"/>
      <c r="B733" s="912"/>
      <c r="C733" s="912"/>
      <c r="D733" s="912"/>
      <c r="E733" s="912"/>
    </row>
    <row r="734" spans="1:5" ht="15.75" x14ac:dyDescent="0.25">
      <c r="A734" s="869"/>
      <c r="B734" s="912"/>
      <c r="C734" s="912"/>
      <c r="D734" s="912"/>
      <c r="E734" s="912"/>
    </row>
    <row r="735" spans="1:5" ht="15.75" x14ac:dyDescent="0.25">
      <c r="A735" s="869"/>
      <c r="B735" s="912"/>
      <c r="C735" s="912"/>
      <c r="D735" s="912"/>
      <c r="E735" s="912"/>
    </row>
    <row r="736" spans="1:5" ht="15.75" x14ac:dyDescent="0.25">
      <c r="A736" s="869"/>
      <c r="B736" s="912"/>
      <c r="C736" s="912"/>
      <c r="D736" s="912"/>
      <c r="E736" s="912"/>
    </row>
    <row r="737" spans="1:5" ht="15.75" x14ac:dyDescent="0.25">
      <c r="A737" s="869"/>
      <c r="B737" s="912"/>
      <c r="C737" s="912"/>
      <c r="D737" s="912"/>
      <c r="E737" s="912"/>
    </row>
    <row r="738" spans="1:5" ht="15.75" x14ac:dyDescent="0.25">
      <c r="A738" s="869"/>
      <c r="B738" s="912"/>
      <c r="C738" s="912"/>
      <c r="D738" s="912"/>
      <c r="E738" s="912"/>
    </row>
    <row r="739" spans="1:5" ht="15.75" x14ac:dyDescent="0.25">
      <c r="A739" s="869"/>
      <c r="B739" s="912"/>
      <c r="C739" s="912"/>
      <c r="D739" s="912"/>
      <c r="E739" s="912"/>
    </row>
    <row r="740" spans="1:5" ht="15.75" x14ac:dyDescent="0.25">
      <c r="A740" s="869"/>
      <c r="B740" s="912"/>
      <c r="C740" s="912"/>
      <c r="D740" s="912"/>
      <c r="E740" s="912"/>
    </row>
    <row r="741" spans="1:5" ht="15.75" x14ac:dyDescent="0.25">
      <c r="A741" s="869"/>
      <c r="B741" s="912"/>
      <c r="C741" s="912"/>
      <c r="D741" s="912"/>
      <c r="E741" s="912"/>
    </row>
    <row r="742" spans="1:5" ht="15.75" x14ac:dyDescent="0.25">
      <c r="A742" s="869"/>
      <c r="B742" s="912"/>
      <c r="C742" s="912"/>
      <c r="D742" s="912"/>
      <c r="E742" s="912"/>
    </row>
    <row r="743" spans="1:5" ht="15.75" x14ac:dyDescent="0.25">
      <c r="A743" s="869"/>
      <c r="B743" s="912"/>
      <c r="C743" s="912"/>
      <c r="D743" s="912"/>
      <c r="E743" s="912"/>
    </row>
    <row r="744" spans="1:5" ht="15.75" x14ac:dyDescent="0.25">
      <c r="A744" s="869"/>
      <c r="B744" s="912"/>
      <c r="C744" s="912"/>
      <c r="D744" s="912"/>
      <c r="E744" s="912"/>
    </row>
    <row r="745" spans="1:5" ht="15.75" x14ac:dyDescent="0.25">
      <c r="A745" s="869"/>
      <c r="B745" s="912"/>
      <c r="C745" s="912"/>
      <c r="D745" s="912"/>
      <c r="E745" s="912"/>
    </row>
    <row r="746" spans="1:5" ht="15.75" x14ac:dyDescent="0.25">
      <c r="A746" s="869"/>
      <c r="B746" s="912"/>
      <c r="C746" s="912"/>
      <c r="D746" s="912"/>
      <c r="E746" s="912"/>
    </row>
    <row r="747" spans="1:5" ht="15.75" x14ac:dyDescent="0.25">
      <c r="A747" s="869"/>
      <c r="B747" s="912"/>
      <c r="C747" s="912"/>
      <c r="D747" s="912"/>
      <c r="E747" s="912"/>
    </row>
    <row r="748" spans="1:5" ht="15.75" x14ac:dyDescent="0.25">
      <c r="A748" s="869"/>
      <c r="B748" s="912"/>
      <c r="C748" s="912"/>
      <c r="D748" s="912"/>
      <c r="E748" s="912"/>
    </row>
    <row r="749" spans="1:5" ht="15.75" x14ac:dyDescent="0.25">
      <c r="A749" s="869"/>
      <c r="B749" s="912"/>
      <c r="C749" s="912"/>
      <c r="D749" s="912"/>
      <c r="E749" s="912"/>
    </row>
    <row r="750" spans="1:5" ht="15.75" x14ac:dyDescent="0.25">
      <c r="A750" s="869"/>
      <c r="B750" s="912"/>
      <c r="C750" s="912"/>
      <c r="D750" s="912"/>
      <c r="E750" s="912"/>
    </row>
    <row r="751" spans="1:5" ht="15.75" x14ac:dyDescent="0.25">
      <c r="A751" s="869"/>
      <c r="B751" s="912"/>
      <c r="C751" s="912"/>
      <c r="D751" s="912"/>
      <c r="E751" s="912"/>
    </row>
    <row r="752" spans="1:5" ht="15.75" x14ac:dyDescent="0.25">
      <c r="A752" s="869"/>
      <c r="B752" s="912"/>
      <c r="C752" s="912"/>
      <c r="D752" s="912"/>
      <c r="E752" s="912"/>
    </row>
    <row r="753" spans="1:5" ht="15.75" x14ac:dyDescent="0.25">
      <c r="A753" s="869"/>
      <c r="B753" s="912"/>
      <c r="C753" s="912"/>
      <c r="D753" s="912"/>
      <c r="E753" s="912"/>
    </row>
    <row r="754" spans="1:5" ht="15.75" x14ac:dyDescent="0.25">
      <c r="A754" s="869"/>
      <c r="B754" s="912"/>
      <c r="C754" s="912"/>
      <c r="D754" s="912"/>
      <c r="E754" s="912"/>
    </row>
    <row r="755" spans="1:5" ht="15.75" x14ac:dyDescent="0.25">
      <c r="A755" s="869"/>
      <c r="B755" s="912"/>
      <c r="C755" s="912"/>
      <c r="D755" s="912"/>
      <c r="E755" s="912"/>
    </row>
    <row r="756" spans="1:5" ht="15.75" x14ac:dyDescent="0.25">
      <c r="A756" s="869"/>
      <c r="B756" s="912"/>
      <c r="C756" s="912"/>
      <c r="D756" s="912"/>
      <c r="E756" s="912"/>
    </row>
    <row r="757" spans="1:5" ht="15.75" x14ac:dyDescent="0.25">
      <c r="A757" s="869"/>
      <c r="B757" s="912"/>
      <c r="C757" s="912"/>
      <c r="D757" s="912"/>
      <c r="E757" s="912"/>
    </row>
    <row r="758" spans="1:5" ht="15.75" x14ac:dyDescent="0.25">
      <c r="A758" s="869"/>
      <c r="B758" s="912"/>
      <c r="C758" s="912"/>
      <c r="D758" s="912"/>
      <c r="E758" s="912"/>
    </row>
    <row r="759" spans="1:5" ht="15.75" x14ac:dyDescent="0.25">
      <c r="A759" s="869"/>
      <c r="B759" s="912"/>
      <c r="C759" s="912"/>
      <c r="D759" s="912"/>
      <c r="E759" s="912"/>
    </row>
    <row r="760" spans="1:5" ht="15.75" x14ac:dyDescent="0.25">
      <c r="A760" s="869"/>
      <c r="B760" s="912"/>
      <c r="C760" s="912"/>
      <c r="D760" s="912"/>
      <c r="E760" s="912"/>
    </row>
    <row r="761" spans="1:5" ht="15.75" x14ac:dyDescent="0.25">
      <c r="A761" s="869"/>
      <c r="B761" s="912"/>
      <c r="C761" s="912"/>
      <c r="D761" s="912"/>
      <c r="E761" s="912"/>
    </row>
    <row r="762" spans="1:5" ht="15.75" x14ac:dyDescent="0.25">
      <c r="A762" s="869"/>
      <c r="B762" s="912"/>
      <c r="C762" s="912"/>
      <c r="D762" s="912"/>
      <c r="E762" s="912"/>
    </row>
    <row r="763" spans="1:5" ht="15.75" x14ac:dyDescent="0.25">
      <c r="A763" s="869"/>
      <c r="B763" s="912"/>
      <c r="C763" s="912"/>
      <c r="D763" s="912"/>
      <c r="E763" s="912"/>
    </row>
    <row r="764" spans="1:5" ht="15.75" x14ac:dyDescent="0.25">
      <c r="A764" s="869"/>
      <c r="B764" s="912"/>
      <c r="C764" s="912"/>
      <c r="D764" s="912"/>
      <c r="E764" s="912"/>
    </row>
    <row r="765" spans="1:5" ht="15.75" x14ac:dyDescent="0.25">
      <c r="A765" s="869"/>
      <c r="B765" s="912"/>
      <c r="C765" s="912"/>
      <c r="D765" s="912"/>
      <c r="E765" s="912"/>
    </row>
    <row r="766" spans="1:5" ht="15.75" x14ac:dyDescent="0.25">
      <c r="A766" s="869"/>
      <c r="B766" s="912"/>
      <c r="C766" s="912"/>
      <c r="D766" s="912"/>
      <c r="E766" s="912"/>
    </row>
    <row r="767" spans="1:5" ht="15.75" x14ac:dyDescent="0.25">
      <c r="A767" s="869"/>
      <c r="B767" s="912"/>
      <c r="C767" s="912"/>
      <c r="D767" s="912"/>
      <c r="E767" s="912"/>
    </row>
    <row r="768" spans="1:5" ht="15.75" x14ac:dyDescent="0.25">
      <c r="A768" s="869"/>
      <c r="B768" s="912"/>
      <c r="C768" s="912"/>
      <c r="D768" s="912"/>
      <c r="E768" s="912"/>
    </row>
    <row r="769" spans="1:5" ht="15.75" x14ac:dyDescent="0.25">
      <c r="A769" s="869"/>
      <c r="B769" s="912"/>
      <c r="C769" s="912"/>
      <c r="D769" s="912"/>
      <c r="E769" s="912"/>
    </row>
    <row r="770" spans="1:5" ht="15.75" x14ac:dyDescent="0.25">
      <c r="A770" s="869"/>
      <c r="B770" s="912"/>
      <c r="C770" s="912"/>
      <c r="D770" s="912"/>
      <c r="E770" s="912"/>
    </row>
    <row r="771" spans="1:5" ht="15.75" x14ac:dyDescent="0.25">
      <c r="A771" s="869"/>
      <c r="B771" s="912"/>
      <c r="C771" s="912"/>
      <c r="D771" s="912"/>
      <c r="E771" s="912"/>
    </row>
    <row r="772" spans="1:5" ht="15.75" x14ac:dyDescent="0.25">
      <c r="A772" s="869"/>
      <c r="B772" s="912"/>
      <c r="C772" s="912"/>
      <c r="D772" s="912"/>
      <c r="E772" s="912"/>
    </row>
    <row r="773" spans="1:5" ht="15.75" x14ac:dyDescent="0.25">
      <c r="A773" s="869"/>
      <c r="B773" s="912"/>
      <c r="C773" s="912"/>
      <c r="D773" s="912"/>
      <c r="E773" s="912"/>
    </row>
    <row r="774" spans="1:5" ht="15.75" x14ac:dyDescent="0.25">
      <c r="A774" s="869"/>
      <c r="B774" s="912"/>
      <c r="C774" s="912"/>
      <c r="D774" s="912"/>
      <c r="E774" s="912"/>
    </row>
    <row r="775" spans="1:5" ht="15.75" x14ac:dyDescent="0.25">
      <c r="A775" s="869"/>
      <c r="B775" s="912"/>
      <c r="C775" s="912"/>
      <c r="D775" s="912"/>
      <c r="E775" s="912"/>
    </row>
    <row r="776" spans="1:5" ht="15.75" x14ac:dyDescent="0.25">
      <c r="A776" s="869"/>
      <c r="B776" s="912"/>
      <c r="C776" s="912"/>
      <c r="D776" s="912"/>
      <c r="E776" s="912"/>
    </row>
    <row r="777" spans="1:5" ht="15.75" x14ac:dyDescent="0.25">
      <c r="A777" s="869"/>
      <c r="B777" s="912"/>
      <c r="C777" s="912"/>
      <c r="D777" s="912"/>
      <c r="E777" s="912"/>
    </row>
    <row r="778" spans="1:5" ht="15.75" x14ac:dyDescent="0.25">
      <c r="A778" s="869"/>
      <c r="B778" s="912"/>
      <c r="C778" s="912"/>
      <c r="D778" s="912"/>
      <c r="E778" s="912"/>
    </row>
    <row r="779" spans="1:5" ht="15.75" x14ac:dyDescent="0.25">
      <c r="A779" s="869"/>
      <c r="B779" s="912"/>
      <c r="C779" s="912"/>
      <c r="D779" s="912"/>
      <c r="E779" s="912"/>
    </row>
    <row r="780" spans="1:5" ht="15.75" x14ac:dyDescent="0.25">
      <c r="A780" s="869"/>
      <c r="B780" s="912"/>
      <c r="C780" s="912"/>
      <c r="D780" s="912"/>
      <c r="E780" s="912"/>
    </row>
    <row r="781" spans="1:5" ht="15.75" x14ac:dyDescent="0.25">
      <c r="A781" s="869"/>
      <c r="B781" s="912"/>
      <c r="C781" s="912"/>
      <c r="D781" s="912"/>
      <c r="E781" s="912"/>
    </row>
    <row r="782" spans="1:5" ht="15.75" x14ac:dyDescent="0.25">
      <c r="A782" s="869"/>
      <c r="B782" s="912"/>
      <c r="C782" s="912"/>
      <c r="D782" s="912"/>
      <c r="E782" s="912"/>
    </row>
    <row r="783" spans="1:5" ht="15.75" x14ac:dyDescent="0.25">
      <c r="A783" s="869"/>
      <c r="B783" s="912"/>
      <c r="C783" s="912"/>
      <c r="D783" s="912"/>
      <c r="E783" s="912"/>
    </row>
    <row r="784" spans="1:5" ht="15.75" x14ac:dyDescent="0.25">
      <c r="A784" s="869"/>
      <c r="B784" s="912"/>
      <c r="C784" s="912"/>
      <c r="D784" s="912"/>
      <c r="E784" s="912"/>
    </row>
    <row r="785" spans="1:5" ht="15.75" x14ac:dyDescent="0.25">
      <c r="A785" s="869"/>
      <c r="B785" s="912"/>
      <c r="C785" s="912"/>
      <c r="D785" s="912"/>
      <c r="E785" s="912"/>
    </row>
    <row r="786" spans="1:5" ht="15.75" x14ac:dyDescent="0.25">
      <c r="A786" s="869"/>
      <c r="B786" s="912"/>
      <c r="C786" s="912"/>
      <c r="D786" s="912"/>
      <c r="E786" s="912"/>
    </row>
    <row r="787" spans="1:5" ht="15.75" x14ac:dyDescent="0.25">
      <c r="A787" s="869"/>
      <c r="B787" s="912"/>
      <c r="C787" s="912"/>
      <c r="D787" s="912"/>
      <c r="E787" s="912"/>
    </row>
    <row r="788" spans="1:5" ht="15.75" x14ac:dyDescent="0.25">
      <c r="A788" s="869"/>
      <c r="B788" s="912"/>
      <c r="C788" s="912"/>
      <c r="D788" s="912"/>
      <c r="E788" s="912"/>
    </row>
    <row r="789" spans="1:5" ht="15.75" x14ac:dyDescent="0.25">
      <c r="A789" s="869"/>
      <c r="B789" s="912"/>
      <c r="C789" s="912"/>
      <c r="D789" s="912"/>
      <c r="E789" s="912"/>
    </row>
    <row r="790" spans="1:5" ht="15.75" x14ac:dyDescent="0.25">
      <c r="A790" s="869"/>
      <c r="B790" s="912"/>
      <c r="C790" s="912"/>
      <c r="D790" s="912"/>
      <c r="E790" s="912"/>
    </row>
    <row r="791" spans="1:5" ht="15.75" x14ac:dyDescent="0.25">
      <c r="A791" s="869"/>
      <c r="B791" s="912"/>
      <c r="C791" s="912"/>
      <c r="D791" s="912"/>
      <c r="E791" s="912"/>
    </row>
    <row r="792" spans="1:5" ht="15.75" x14ac:dyDescent="0.25">
      <c r="A792" s="869"/>
      <c r="B792" s="912"/>
      <c r="C792" s="912"/>
      <c r="D792" s="912"/>
      <c r="E792" s="912"/>
    </row>
    <row r="793" spans="1:5" ht="15.75" x14ac:dyDescent="0.25">
      <c r="A793" s="869"/>
      <c r="B793" s="912"/>
      <c r="C793" s="912"/>
      <c r="D793" s="912"/>
      <c r="E793" s="912"/>
    </row>
    <row r="794" spans="1:5" ht="15.75" x14ac:dyDescent="0.25">
      <c r="A794" s="869"/>
      <c r="B794" s="912"/>
      <c r="C794" s="912"/>
      <c r="D794" s="912"/>
      <c r="E794" s="912"/>
    </row>
    <row r="795" spans="1:5" ht="15.75" x14ac:dyDescent="0.25">
      <c r="A795" s="869"/>
      <c r="B795" s="912"/>
      <c r="C795" s="912"/>
      <c r="D795" s="912"/>
      <c r="E795" s="912"/>
    </row>
    <row r="796" spans="1:5" ht="15.75" x14ac:dyDescent="0.25">
      <c r="A796" s="869"/>
      <c r="B796" s="912"/>
      <c r="C796" s="912"/>
      <c r="D796" s="912"/>
      <c r="E796" s="912"/>
    </row>
    <row r="797" spans="1:5" ht="15.75" x14ac:dyDescent="0.25">
      <c r="A797" s="869"/>
      <c r="B797" s="912"/>
      <c r="C797" s="912"/>
      <c r="D797" s="912"/>
      <c r="E797" s="912"/>
    </row>
    <row r="798" spans="1:5" ht="15.75" x14ac:dyDescent="0.25">
      <c r="A798" s="869"/>
      <c r="B798" s="912"/>
      <c r="C798" s="912"/>
      <c r="D798" s="912"/>
      <c r="E798" s="912"/>
    </row>
    <row r="799" spans="1:5" ht="15.75" x14ac:dyDescent="0.25">
      <c r="A799" s="869"/>
      <c r="B799" s="912"/>
      <c r="C799" s="912"/>
      <c r="D799" s="912"/>
      <c r="E799" s="912"/>
    </row>
    <row r="800" spans="1:5" ht="15.75" x14ac:dyDescent="0.25">
      <c r="A800" s="869"/>
      <c r="B800" s="912"/>
      <c r="C800" s="912"/>
      <c r="D800" s="912"/>
      <c r="E800" s="912"/>
    </row>
    <row r="801" spans="1:5" ht="15.75" x14ac:dyDescent="0.25">
      <c r="A801" s="869"/>
      <c r="B801" s="912"/>
      <c r="C801" s="912"/>
      <c r="D801" s="912"/>
      <c r="E801" s="912"/>
    </row>
    <row r="802" spans="1:5" ht="15.75" x14ac:dyDescent="0.25">
      <c r="A802" s="869"/>
      <c r="B802" s="912"/>
      <c r="C802" s="912"/>
      <c r="D802" s="912"/>
      <c r="E802" s="912"/>
    </row>
    <row r="803" spans="1:5" ht="15.75" x14ac:dyDescent="0.25">
      <c r="A803" s="869"/>
      <c r="B803" s="912"/>
      <c r="C803" s="912"/>
      <c r="D803" s="912"/>
      <c r="E803" s="912"/>
    </row>
    <row r="804" spans="1:5" ht="15.75" x14ac:dyDescent="0.25">
      <c r="A804" s="869"/>
      <c r="B804" s="912"/>
      <c r="C804" s="912"/>
      <c r="D804" s="912"/>
      <c r="E804" s="912"/>
    </row>
    <row r="805" spans="1:5" ht="15.75" x14ac:dyDescent="0.25">
      <c r="A805" s="869"/>
      <c r="B805" s="912"/>
      <c r="C805" s="912"/>
      <c r="D805" s="912"/>
      <c r="E805" s="912"/>
    </row>
    <row r="806" spans="1:5" ht="15.75" x14ac:dyDescent="0.25">
      <c r="A806" s="869"/>
      <c r="B806" s="912"/>
      <c r="C806" s="912"/>
      <c r="D806" s="912"/>
      <c r="E806" s="912"/>
    </row>
    <row r="807" spans="1:5" ht="15.75" x14ac:dyDescent="0.25">
      <c r="A807" s="869"/>
      <c r="B807" s="912"/>
      <c r="C807" s="912"/>
      <c r="D807" s="912"/>
      <c r="E807" s="912"/>
    </row>
    <row r="808" spans="1:5" ht="15.75" x14ac:dyDescent="0.25">
      <c r="A808" s="869"/>
      <c r="B808" s="912"/>
      <c r="C808" s="912"/>
      <c r="D808" s="912"/>
      <c r="E808" s="912"/>
    </row>
    <row r="809" spans="1:5" ht="15.75" x14ac:dyDescent="0.25">
      <c r="A809" s="869"/>
      <c r="B809" s="912"/>
      <c r="C809" s="912"/>
      <c r="D809" s="912"/>
      <c r="E809" s="912"/>
    </row>
    <row r="810" spans="1:5" ht="15.75" x14ac:dyDescent="0.25">
      <c r="A810" s="869"/>
      <c r="B810" s="912"/>
      <c r="C810" s="912"/>
      <c r="D810" s="912"/>
      <c r="E810" s="912"/>
    </row>
    <row r="811" spans="1:5" ht="15.75" x14ac:dyDescent="0.25">
      <c r="A811" s="869"/>
      <c r="B811" s="912"/>
      <c r="C811" s="912"/>
      <c r="D811" s="912"/>
      <c r="E811" s="912"/>
    </row>
    <row r="812" spans="1:5" ht="15.75" x14ac:dyDescent="0.25">
      <c r="A812" s="869"/>
      <c r="B812" s="912"/>
      <c r="C812" s="912"/>
      <c r="D812" s="912"/>
      <c r="E812" s="912"/>
    </row>
    <row r="813" spans="1:5" ht="15.75" x14ac:dyDescent="0.25">
      <c r="A813" s="869"/>
      <c r="B813" s="912"/>
      <c r="C813" s="912"/>
      <c r="D813" s="912"/>
      <c r="E813" s="912"/>
    </row>
    <row r="814" spans="1:5" ht="15.75" x14ac:dyDescent="0.25">
      <c r="A814" s="869"/>
      <c r="B814" s="912"/>
      <c r="C814" s="912"/>
      <c r="D814" s="912"/>
      <c r="E814" s="912"/>
    </row>
    <row r="815" spans="1:5" ht="15.75" x14ac:dyDescent="0.25">
      <c r="A815" s="869"/>
      <c r="B815" s="912"/>
      <c r="C815" s="912"/>
      <c r="D815" s="912"/>
      <c r="E815" s="912"/>
    </row>
    <row r="816" spans="1:5" ht="15.75" x14ac:dyDescent="0.25">
      <c r="A816" s="869"/>
      <c r="B816" s="912"/>
      <c r="C816" s="912"/>
      <c r="D816" s="912"/>
      <c r="E816" s="912"/>
    </row>
    <row r="817" spans="1:5" ht="15.75" x14ac:dyDescent="0.25">
      <c r="A817" s="869"/>
      <c r="B817" s="912"/>
      <c r="C817" s="912"/>
      <c r="D817" s="912"/>
      <c r="E817" s="912"/>
    </row>
    <row r="818" spans="1:5" ht="15.75" x14ac:dyDescent="0.25">
      <c r="A818" s="869"/>
      <c r="B818" s="912"/>
      <c r="C818" s="912"/>
      <c r="D818" s="912"/>
      <c r="E818" s="912"/>
    </row>
    <row r="819" spans="1:5" ht="15.75" x14ac:dyDescent="0.25">
      <c r="A819" s="869"/>
      <c r="B819" s="912"/>
      <c r="C819" s="912"/>
      <c r="D819" s="912"/>
      <c r="E819" s="912"/>
    </row>
    <row r="820" spans="1:5" ht="15.75" x14ac:dyDescent="0.25">
      <c r="A820" s="869"/>
      <c r="B820" s="912"/>
      <c r="C820" s="912"/>
      <c r="D820" s="912"/>
      <c r="E820" s="912"/>
    </row>
    <row r="821" spans="1:5" ht="15.75" x14ac:dyDescent="0.25">
      <c r="A821" s="869"/>
      <c r="B821" s="912"/>
      <c r="C821" s="912"/>
      <c r="D821" s="912"/>
      <c r="E821" s="912"/>
    </row>
    <row r="822" spans="1:5" ht="15.75" x14ac:dyDescent="0.25">
      <c r="A822" s="869"/>
      <c r="B822" s="912"/>
      <c r="C822" s="912"/>
      <c r="D822" s="912"/>
      <c r="E822" s="912"/>
    </row>
    <row r="823" spans="1:5" ht="15.75" x14ac:dyDescent="0.25">
      <c r="A823" s="869"/>
      <c r="B823" s="912"/>
      <c r="C823" s="912"/>
      <c r="D823" s="912"/>
      <c r="E823" s="912"/>
    </row>
    <row r="824" spans="1:5" ht="15.75" x14ac:dyDescent="0.25">
      <c r="A824" s="869"/>
      <c r="B824" s="912"/>
      <c r="C824" s="912"/>
      <c r="D824" s="912"/>
      <c r="E824" s="912"/>
    </row>
    <row r="825" spans="1:5" ht="15.75" x14ac:dyDescent="0.25">
      <c r="A825" s="869"/>
      <c r="B825" s="912"/>
      <c r="C825" s="912"/>
      <c r="D825" s="912"/>
      <c r="E825" s="912"/>
    </row>
    <row r="826" spans="1:5" ht="15.75" x14ac:dyDescent="0.25">
      <c r="A826" s="869"/>
      <c r="B826" s="912"/>
      <c r="C826" s="912"/>
      <c r="D826" s="912"/>
      <c r="E826" s="912"/>
    </row>
    <row r="827" spans="1:5" ht="15.75" x14ac:dyDescent="0.25">
      <c r="A827" s="869"/>
      <c r="B827" s="912"/>
      <c r="C827" s="912"/>
      <c r="D827" s="912"/>
      <c r="E827" s="912"/>
    </row>
    <row r="828" spans="1:5" ht="15.75" x14ac:dyDescent="0.25">
      <c r="A828" s="869"/>
      <c r="B828" s="912"/>
      <c r="C828" s="912"/>
      <c r="D828" s="912"/>
      <c r="E828" s="912"/>
    </row>
    <row r="829" spans="1:5" ht="15.75" x14ac:dyDescent="0.25">
      <c r="A829" s="869"/>
      <c r="B829" s="912"/>
      <c r="C829" s="912"/>
      <c r="D829" s="912"/>
      <c r="E829" s="912"/>
    </row>
    <row r="830" spans="1:5" ht="15.75" x14ac:dyDescent="0.25">
      <c r="A830" s="869"/>
      <c r="B830" s="912"/>
      <c r="C830" s="912"/>
      <c r="D830" s="912"/>
      <c r="E830" s="912"/>
    </row>
    <row r="831" spans="1:5" ht="15.75" x14ac:dyDescent="0.25">
      <c r="A831" s="869"/>
      <c r="B831" s="912"/>
      <c r="C831" s="912"/>
      <c r="D831" s="912"/>
      <c r="E831" s="912"/>
    </row>
    <row r="832" spans="1:5" ht="15.75" x14ac:dyDescent="0.25">
      <c r="A832" s="869"/>
      <c r="B832" s="912"/>
      <c r="C832" s="912"/>
      <c r="D832" s="912"/>
      <c r="E832" s="912"/>
    </row>
    <row r="833" spans="1:5" ht="15.75" x14ac:dyDescent="0.25">
      <c r="A833" s="869"/>
      <c r="B833" s="912"/>
      <c r="C833" s="912"/>
      <c r="D833" s="912"/>
      <c r="E833" s="912"/>
    </row>
    <row r="834" spans="1:5" ht="15.75" x14ac:dyDescent="0.25">
      <c r="A834" s="869"/>
      <c r="B834" s="912"/>
      <c r="C834" s="912"/>
      <c r="D834" s="912"/>
      <c r="E834" s="912"/>
    </row>
    <row r="835" spans="1:5" ht="15.75" x14ac:dyDescent="0.25">
      <c r="A835" s="869"/>
      <c r="B835" s="912"/>
      <c r="C835" s="912"/>
      <c r="D835" s="912"/>
      <c r="E835" s="912"/>
    </row>
    <row r="836" spans="1:5" ht="15.75" x14ac:dyDescent="0.25">
      <c r="A836" s="869"/>
      <c r="B836" s="912"/>
      <c r="C836" s="912"/>
      <c r="D836" s="912"/>
      <c r="E836" s="912"/>
    </row>
    <row r="837" spans="1:5" ht="15.75" x14ac:dyDescent="0.25">
      <c r="A837" s="869"/>
      <c r="B837" s="912"/>
      <c r="C837" s="912"/>
      <c r="D837" s="912"/>
      <c r="E837" s="912"/>
    </row>
    <row r="838" spans="1:5" ht="15.75" x14ac:dyDescent="0.25">
      <c r="A838" s="869"/>
      <c r="B838" s="912"/>
      <c r="C838" s="912"/>
      <c r="D838" s="912"/>
      <c r="E838" s="912"/>
    </row>
    <row r="839" spans="1:5" ht="15.75" x14ac:dyDescent="0.25">
      <c r="A839" s="869"/>
      <c r="B839" s="912"/>
      <c r="C839" s="912"/>
      <c r="D839" s="912"/>
      <c r="E839" s="912"/>
    </row>
    <row r="840" spans="1:5" ht="15.75" x14ac:dyDescent="0.25">
      <c r="A840" s="869"/>
      <c r="B840" s="912"/>
      <c r="C840" s="912"/>
      <c r="D840" s="912"/>
      <c r="E840" s="912"/>
    </row>
    <row r="841" spans="1:5" ht="15.75" x14ac:dyDescent="0.25">
      <c r="A841" s="869"/>
      <c r="B841" s="912"/>
      <c r="C841" s="912"/>
      <c r="D841" s="912"/>
      <c r="E841" s="912"/>
    </row>
    <row r="842" spans="1:5" ht="15.75" x14ac:dyDescent="0.25">
      <c r="A842" s="869"/>
      <c r="B842" s="912"/>
      <c r="C842" s="912"/>
      <c r="D842" s="912"/>
      <c r="E842" s="912"/>
    </row>
    <row r="843" spans="1:5" ht="15.75" x14ac:dyDescent="0.25">
      <c r="A843" s="869"/>
      <c r="B843" s="912"/>
      <c r="C843" s="912"/>
      <c r="D843" s="912"/>
      <c r="E843" s="912"/>
    </row>
    <row r="844" spans="1:5" ht="15.75" x14ac:dyDescent="0.25">
      <c r="A844" s="869"/>
      <c r="B844" s="912"/>
      <c r="C844" s="912"/>
      <c r="D844" s="912"/>
      <c r="E844" s="912"/>
    </row>
    <row r="845" spans="1:5" ht="15.75" x14ac:dyDescent="0.25">
      <c r="A845" s="869"/>
      <c r="B845" s="912"/>
      <c r="C845" s="912"/>
      <c r="D845" s="912"/>
      <c r="E845" s="912"/>
    </row>
    <row r="846" spans="1:5" ht="15.75" x14ac:dyDescent="0.25">
      <c r="A846" s="869"/>
      <c r="B846" s="912"/>
      <c r="C846" s="912"/>
      <c r="D846" s="912"/>
      <c r="E846" s="912"/>
    </row>
    <row r="847" spans="1:5" ht="15.75" x14ac:dyDescent="0.25">
      <c r="A847" s="869"/>
      <c r="B847" s="912"/>
      <c r="C847" s="912"/>
      <c r="D847" s="912"/>
      <c r="E847" s="912"/>
    </row>
    <row r="848" spans="1:5" ht="15.75" x14ac:dyDescent="0.25">
      <c r="A848" s="869"/>
      <c r="B848" s="912"/>
      <c r="C848" s="912"/>
      <c r="D848" s="912"/>
      <c r="E848" s="912"/>
    </row>
    <row r="849" spans="1:5" ht="15.75" x14ac:dyDescent="0.25">
      <c r="A849" s="869"/>
      <c r="B849" s="912"/>
      <c r="C849" s="912"/>
      <c r="D849" s="912"/>
      <c r="E849" s="912"/>
    </row>
    <row r="850" spans="1:5" ht="15.75" x14ac:dyDescent="0.25">
      <c r="A850" s="869"/>
      <c r="B850" s="912"/>
      <c r="C850" s="912"/>
      <c r="D850" s="912"/>
      <c r="E850" s="912"/>
    </row>
    <row r="851" spans="1:5" ht="15.75" x14ac:dyDescent="0.25">
      <c r="A851" s="869"/>
      <c r="B851" s="912"/>
      <c r="C851" s="912"/>
      <c r="D851" s="912"/>
      <c r="E851" s="912"/>
    </row>
    <row r="852" spans="1:5" ht="15.75" x14ac:dyDescent="0.25">
      <c r="A852" s="869"/>
      <c r="B852" s="912"/>
      <c r="C852" s="912"/>
      <c r="D852" s="912"/>
      <c r="E852" s="912"/>
    </row>
    <row r="853" spans="1:5" ht="15.75" x14ac:dyDescent="0.25">
      <c r="A853" s="869"/>
      <c r="B853" s="912"/>
      <c r="C853" s="912"/>
      <c r="D853" s="912"/>
      <c r="E853" s="912"/>
    </row>
    <row r="854" spans="1:5" ht="15.75" x14ac:dyDescent="0.25">
      <c r="A854" s="869"/>
      <c r="B854" s="912"/>
      <c r="C854" s="912"/>
      <c r="D854" s="912"/>
      <c r="E854" s="912"/>
    </row>
    <row r="855" spans="1:5" ht="15.75" x14ac:dyDescent="0.25">
      <c r="A855" s="869"/>
      <c r="B855" s="912"/>
      <c r="C855" s="912"/>
      <c r="D855" s="912"/>
      <c r="E855" s="912"/>
    </row>
    <row r="856" spans="1:5" ht="15.75" x14ac:dyDescent="0.25">
      <c r="A856" s="869"/>
      <c r="B856" s="912"/>
      <c r="C856" s="912"/>
      <c r="D856" s="912"/>
      <c r="E856" s="912"/>
    </row>
    <row r="857" spans="1:5" ht="15.75" x14ac:dyDescent="0.25">
      <c r="A857" s="869"/>
      <c r="B857" s="912"/>
      <c r="C857" s="912"/>
      <c r="D857" s="912"/>
      <c r="E857" s="912"/>
    </row>
    <row r="858" spans="1:5" ht="15.75" x14ac:dyDescent="0.25">
      <c r="A858" s="869"/>
      <c r="B858" s="912"/>
      <c r="C858" s="912"/>
      <c r="D858" s="912"/>
      <c r="E858" s="912"/>
    </row>
    <row r="859" spans="1:5" ht="15.75" x14ac:dyDescent="0.25">
      <c r="A859" s="869"/>
      <c r="B859" s="912"/>
      <c r="C859" s="912"/>
      <c r="D859" s="912"/>
      <c r="E859" s="912"/>
    </row>
    <row r="860" spans="1:5" ht="15.75" x14ac:dyDescent="0.25">
      <c r="A860" s="869"/>
      <c r="B860" s="912"/>
      <c r="C860" s="912"/>
      <c r="D860" s="912"/>
      <c r="E860" s="912"/>
    </row>
    <row r="861" spans="1:5" ht="15.75" x14ac:dyDescent="0.25">
      <c r="A861" s="869"/>
      <c r="B861" s="912"/>
      <c r="C861" s="912"/>
      <c r="D861" s="912"/>
      <c r="E861" s="912"/>
    </row>
    <row r="862" spans="1:5" ht="15.75" x14ac:dyDescent="0.25">
      <c r="A862" s="869"/>
      <c r="B862" s="912"/>
      <c r="C862" s="912"/>
      <c r="D862" s="912"/>
      <c r="E862" s="912"/>
    </row>
    <row r="863" spans="1:5" ht="15.75" x14ac:dyDescent="0.25">
      <c r="A863" s="869"/>
      <c r="B863" s="912"/>
      <c r="C863" s="912"/>
      <c r="D863" s="912"/>
      <c r="E863" s="912"/>
    </row>
    <row r="864" spans="1:5" ht="15.75" x14ac:dyDescent="0.25">
      <c r="A864" s="869"/>
      <c r="B864" s="912"/>
      <c r="C864" s="912"/>
      <c r="D864" s="912"/>
      <c r="E864" s="912"/>
    </row>
    <row r="865" spans="1:5" ht="15.75" x14ac:dyDescent="0.25">
      <c r="A865" s="869"/>
      <c r="B865" s="912"/>
      <c r="C865" s="912"/>
      <c r="D865" s="912"/>
      <c r="E865" s="912"/>
    </row>
    <row r="866" spans="1:5" ht="15.75" x14ac:dyDescent="0.25">
      <c r="A866" s="869"/>
      <c r="B866" s="912"/>
      <c r="C866" s="912"/>
      <c r="D866" s="912"/>
      <c r="E866" s="912"/>
    </row>
    <row r="867" spans="1:5" ht="15.75" x14ac:dyDescent="0.25">
      <c r="A867" s="869"/>
      <c r="B867" s="912"/>
      <c r="C867" s="912"/>
      <c r="D867" s="912"/>
      <c r="E867" s="912"/>
    </row>
    <row r="868" spans="1:5" ht="15.75" x14ac:dyDescent="0.25">
      <c r="A868" s="869"/>
      <c r="B868" s="912"/>
      <c r="C868" s="912"/>
      <c r="D868" s="912"/>
      <c r="E868" s="912"/>
    </row>
    <row r="869" spans="1:5" ht="15.75" x14ac:dyDescent="0.25">
      <c r="A869" s="869"/>
      <c r="B869" s="912"/>
      <c r="C869" s="912"/>
      <c r="D869" s="912"/>
      <c r="E869" s="912"/>
    </row>
    <row r="870" spans="1:5" ht="15.75" x14ac:dyDescent="0.25">
      <c r="A870" s="869"/>
      <c r="B870" s="912"/>
      <c r="C870" s="912"/>
      <c r="D870" s="912"/>
      <c r="E870" s="912"/>
    </row>
    <row r="871" spans="1:5" ht="15.75" x14ac:dyDescent="0.25">
      <c r="A871" s="869"/>
      <c r="B871" s="912"/>
      <c r="C871" s="912"/>
      <c r="D871" s="912"/>
      <c r="E871" s="912"/>
    </row>
    <row r="872" spans="1:5" ht="15.75" x14ac:dyDescent="0.25">
      <c r="A872" s="869"/>
      <c r="B872" s="912"/>
      <c r="C872" s="912"/>
      <c r="D872" s="912"/>
      <c r="E872" s="912"/>
    </row>
    <row r="873" spans="1:5" ht="15.75" x14ac:dyDescent="0.25">
      <c r="A873" s="869"/>
      <c r="B873" s="912"/>
      <c r="C873" s="912"/>
      <c r="D873" s="912"/>
      <c r="E873" s="912"/>
    </row>
    <row r="874" spans="1:5" ht="15.75" x14ac:dyDescent="0.25">
      <c r="A874" s="869"/>
      <c r="B874" s="912"/>
      <c r="C874" s="912"/>
      <c r="D874" s="912"/>
      <c r="E874" s="912"/>
    </row>
    <row r="875" spans="1:5" ht="15.75" x14ac:dyDescent="0.25">
      <c r="A875" s="869"/>
      <c r="B875" s="912"/>
      <c r="C875" s="912"/>
      <c r="D875" s="912"/>
      <c r="E875" s="912"/>
    </row>
    <row r="876" spans="1:5" ht="15.75" x14ac:dyDescent="0.25">
      <c r="A876" s="869"/>
      <c r="B876" s="912"/>
      <c r="C876" s="912"/>
      <c r="D876" s="912"/>
      <c r="E876" s="912"/>
    </row>
    <row r="877" spans="1:5" ht="15.75" x14ac:dyDescent="0.25">
      <c r="A877" s="869"/>
      <c r="B877" s="912"/>
      <c r="C877" s="912"/>
      <c r="D877" s="912"/>
      <c r="E877" s="912"/>
    </row>
    <row r="878" spans="1:5" ht="15.75" x14ac:dyDescent="0.25">
      <c r="A878" s="869"/>
      <c r="B878" s="912"/>
      <c r="C878" s="912"/>
      <c r="D878" s="912"/>
      <c r="E878" s="912"/>
    </row>
    <row r="879" spans="1:5" ht="15.75" x14ac:dyDescent="0.25">
      <c r="A879" s="869"/>
      <c r="B879" s="912"/>
      <c r="C879" s="912"/>
      <c r="D879" s="912"/>
      <c r="E879" s="912"/>
    </row>
    <row r="880" spans="1:5" ht="15.75" x14ac:dyDescent="0.25">
      <c r="A880" s="869"/>
      <c r="B880" s="912"/>
      <c r="C880" s="912"/>
      <c r="D880" s="912"/>
      <c r="E880" s="912"/>
    </row>
    <row r="881" spans="1:5" ht="15.75" x14ac:dyDescent="0.25">
      <c r="A881" s="869"/>
      <c r="B881" s="912"/>
      <c r="C881" s="912"/>
      <c r="D881" s="912"/>
      <c r="E881" s="912"/>
    </row>
    <row r="882" spans="1:5" ht="15.75" x14ac:dyDescent="0.25">
      <c r="A882" s="869"/>
      <c r="B882" s="912"/>
      <c r="C882" s="912"/>
      <c r="D882" s="912"/>
      <c r="E882" s="912"/>
    </row>
    <row r="883" spans="1:5" ht="15.75" x14ac:dyDescent="0.25">
      <c r="A883" s="869"/>
      <c r="B883" s="912"/>
      <c r="C883" s="912"/>
      <c r="D883" s="912"/>
      <c r="E883" s="912"/>
    </row>
    <row r="884" spans="1:5" ht="15.75" x14ac:dyDescent="0.25">
      <c r="A884" s="869"/>
      <c r="B884" s="912"/>
      <c r="C884" s="912"/>
      <c r="D884" s="912"/>
      <c r="E884" s="912"/>
    </row>
    <row r="885" spans="1:5" ht="15.75" x14ac:dyDescent="0.25">
      <c r="A885" s="869"/>
      <c r="B885" s="912"/>
      <c r="C885" s="912"/>
      <c r="D885" s="912"/>
      <c r="E885" s="912"/>
    </row>
    <row r="886" spans="1:5" ht="15.75" x14ac:dyDescent="0.25">
      <c r="A886" s="869"/>
      <c r="B886" s="912"/>
      <c r="C886" s="912"/>
      <c r="D886" s="912"/>
      <c r="E886" s="912"/>
    </row>
    <row r="887" spans="1:5" ht="15.75" x14ac:dyDescent="0.25">
      <c r="A887" s="869"/>
      <c r="B887" s="912"/>
      <c r="C887" s="912"/>
      <c r="D887" s="912"/>
      <c r="E887" s="912"/>
    </row>
    <row r="888" spans="1:5" ht="15.75" x14ac:dyDescent="0.25">
      <c r="A888" s="869"/>
      <c r="B888" s="912"/>
      <c r="C888" s="912"/>
      <c r="D888" s="912"/>
      <c r="E888" s="912"/>
    </row>
    <row r="889" spans="1:5" ht="15.75" x14ac:dyDescent="0.25">
      <c r="A889" s="869"/>
      <c r="B889" s="912"/>
      <c r="C889" s="912"/>
      <c r="D889" s="912"/>
      <c r="E889" s="912"/>
    </row>
    <row r="890" spans="1:5" ht="15.75" x14ac:dyDescent="0.25">
      <c r="A890" s="869"/>
      <c r="B890" s="912"/>
      <c r="C890" s="912"/>
      <c r="D890" s="912"/>
      <c r="E890" s="912"/>
    </row>
    <row r="891" spans="1:5" ht="15.75" x14ac:dyDescent="0.25">
      <c r="A891" s="869"/>
      <c r="B891" s="912"/>
      <c r="C891" s="912"/>
      <c r="D891" s="912"/>
      <c r="E891" s="912"/>
    </row>
    <row r="892" spans="1:5" ht="15.75" x14ac:dyDescent="0.25">
      <c r="A892" s="869"/>
      <c r="B892" s="912"/>
      <c r="C892" s="912"/>
      <c r="D892" s="912"/>
      <c r="E892" s="912"/>
    </row>
    <row r="893" spans="1:5" ht="15.75" x14ac:dyDescent="0.25">
      <c r="A893" s="869"/>
      <c r="B893" s="912"/>
      <c r="C893" s="912"/>
      <c r="D893" s="912"/>
      <c r="E893" s="912"/>
    </row>
    <row r="894" spans="1:5" ht="15.75" x14ac:dyDescent="0.25">
      <c r="A894" s="869"/>
      <c r="B894" s="912"/>
      <c r="C894" s="912"/>
      <c r="D894" s="912"/>
      <c r="E894" s="912"/>
    </row>
    <row r="895" spans="1:5" ht="15.75" x14ac:dyDescent="0.25">
      <c r="A895" s="869"/>
      <c r="B895" s="912"/>
      <c r="C895" s="912"/>
      <c r="D895" s="912"/>
      <c r="E895" s="912"/>
    </row>
    <row r="896" spans="1:5" ht="15.75" x14ac:dyDescent="0.25">
      <c r="A896" s="869"/>
      <c r="B896" s="912"/>
      <c r="C896" s="912"/>
      <c r="D896" s="912"/>
      <c r="E896" s="912"/>
    </row>
    <row r="897" spans="1:5" ht="15.75" x14ac:dyDescent="0.25">
      <c r="A897" s="869"/>
      <c r="B897" s="912"/>
      <c r="C897" s="912"/>
      <c r="D897" s="912"/>
      <c r="E897" s="912"/>
    </row>
    <row r="898" spans="1:5" ht="15.75" x14ac:dyDescent="0.25">
      <c r="A898" s="869"/>
      <c r="B898" s="912"/>
      <c r="C898" s="912"/>
      <c r="D898" s="912"/>
      <c r="E898" s="912"/>
    </row>
    <row r="899" spans="1:5" ht="15.75" x14ac:dyDescent="0.25">
      <c r="A899" s="869"/>
      <c r="B899" s="912"/>
      <c r="C899" s="912"/>
      <c r="D899" s="912"/>
      <c r="E899" s="912"/>
    </row>
    <row r="900" spans="1:5" ht="15.75" x14ac:dyDescent="0.25">
      <c r="A900" s="869"/>
      <c r="B900" s="912"/>
      <c r="C900" s="912"/>
      <c r="D900" s="912"/>
      <c r="E900" s="912"/>
    </row>
    <row r="901" spans="1:5" ht="15.75" x14ac:dyDescent="0.25">
      <c r="A901" s="869"/>
      <c r="B901" s="912"/>
      <c r="C901" s="912"/>
      <c r="D901" s="912"/>
      <c r="E901" s="912"/>
    </row>
    <row r="902" spans="1:5" ht="15.75" x14ac:dyDescent="0.25">
      <c r="A902" s="869"/>
      <c r="B902" s="912"/>
      <c r="C902" s="912"/>
      <c r="D902" s="912"/>
      <c r="E902" s="912"/>
    </row>
    <row r="903" spans="1:5" ht="15.75" x14ac:dyDescent="0.25">
      <c r="A903" s="869"/>
      <c r="B903" s="912"/>
      <c r="C903" s="912"/>
      <c r="D903" s="912"/>
      <c r="E903" s="912"/>
    </row>
    <row r="904" spans="1:5" ht="15.75" x14ac:dyDescent="0.25">
      <c r="A904" s="869"/>
      <c r="B904" s="912"/>
      <c r="C904" s="912"/>
      <c r="D904" s="912"/>
      <c r="E904" s="912"/>
    </row>
    <row r="905" spans="1:5" ht="15.75" x14ac:dyDescent="0.25">
      <c r="A905" s="869"/>
      <c r="B905" s="912"/>
      <c r="C905" s="912"/>
      <c r="D905" s="912"/>
      <c r="E905" s="912"/>
    </row>
    <row r="906" spans="1:5" ht="15.75" x14ac:dyDescent="0.25">
      <c r="A906" s="869"/>
      <c r="B906" s="912"/>
      <c r="C906" s="912"/>
      <c r="D906" s="912"/>
      <c r="E906" s="912"/>
    </row>
    <row r="907" spans="1:5" ht="15.75" x14ac:dyDescent="0.25">
      <c r="A907" s="869"/>
      <c r="B907" s="912"/>
      <c r="C907" s="912"/>
      <c r="D907" s="912"/>
      <c r="E907" s="912"/>
    </row>
    <row r="908" spans="1:5" ht="15.75" x14ac:dyDescent="0.25">
      <c r="A908" s="869"/>
      <c r="B908" s="912"/>
      <c r="C908" s="912"/>
      <c r="D908" s="912"/>
      <c r="E908" s="912"/>
    </row>
    <row r="909" spans="1:5" ht="15.75" x14ac:dyDescent="0.25">
      <c r="A909" s="869"/>
      <c r="B909" s="912"/>
      <c r="C909" s="912"/>
      <c r="D909" s="912"/>
      <c r="E909" s="912"/>
    </row>
    <row r="910" spans="1:5" ht="15.75" x14ac:dyDescent="0.25">
      <c r="A910" s="869"/>
      <c r="B910" s="912"/>
      <c r="C910" s="912"/>
      <c r="D910" s="912"/>
      <c r="E910" s="912"/>
    </row>
    <row r="911" spans="1:5" ht="15.75" x14ac:dyDescent="0.25">
      <c r="A911" s="869"/>
      <c r="B911" s="912"/>
      <c r="C911" s="912"/>
      <c r="D911" s="912"/>
      <c r="E911" s="912"/>
    </row>
    <row r="912" spans="1:5" ht="15.75" x14ac:dyDescent="0.25">
      <c r="A912" s="869"/>
      <c r="B912" s="912"/>
      <c r="C912" s="912"/>
      <c r="D912" s="912"/>
      <c r="E912" s="912"/>
    </row>
    <row r="913" spans="1:5" ht="15.75" x14ac:dyDescent="0.25">
      <c r="A913" s="869"/>
      <c r="B913" s="912"/>
      <c r="C913" s="912"/>
      <c r="D913" s="912"/>
      <c r="E913" s="912"/>
    </row>
    <row r="914" spans="1:5" ht="15.75" x14ac:dyDescent="0.25">
      <c r="A914" s="869"/>
      <c r="B914" s="912"/>
      <c r="C914" s="912"/>
      <c r="D914" s="912"/>
      <c r="E914" s="912"/>
    </row>
    <row r="915" spans="1:5" ht="15.75" x14ac:dyDescent="0.25">
      <c r="A915" s="869"/>
      <c r="B915" s="912"/>
      <c r="C915" s="912"/>
      <c r="D915" s="912"/>
      <c r="E915" s="912"/>
    </row>
    <row r="916" spans="1:5" ht="15.75" x14ac:dyDescent="0.25">
      <c r="A916" s="869"/>
      <c r="B916" s="912"/>
      <c r="C916" s="912"/>
      <c r="D916" s="912"/>
      <c r="E916" s="912"/>
    </row>
    <row r="917" spans="1:5" ht="15.75" x14ac:dyDescent="0.25">
      <c r="A917" s="869"/>
      <c r="B917" s="912"/>
      <c r="C917" s="912"/>
      <c r="D917" s="912"/>
      <c r="E917" s="912"/>
    </row>
    <row r="918" spans="1:5" ht="15.75" x14ac:dyDescent="0.25">
      <c r="A918" s="869"/>
      <c r="B918" s="912"/>
      <c r="C918" s="912"/>
      <c r="D918" s="912"/>
      <c r="E918" s="912"/>
    </row>
    <row r="919" spans="1:5" ht="15.75" x14ac:dyDescent="0.25">
      <c r="A919" s="869"/>
      <c r="B919" s="912"/>
      <c r="C919" s="912"/>
      <c r="D919" s="912"/>
      <c r="E919" s="912"/>
    </row>
    <row r="920" spans="1:5" ht="15.75" x14ac:dyDescent="0.25">
      <c r="A920" s="869"/>
      <c r="B920" s="912"/>
      <c r="C920" s="912"/>
      <c r="D920" s="912"/>
      <c r="E920" s="912"/>
    </row>
    <row r="921" spans="1:5" ht="15.75" x14ac:dyDescent="0.25">
      <c r="A921" s="869"/>
      <c r="B921" s="912"/>
      <c r="C921" s="912"/>
      <c r="D921" s="912"/>
      <c r="E921" s="912"/>
    </row>
    <row r="922" spans="1:5" ht="15.75" x14ac:dyDescent="0.25">
      <c r="A922" s="869"/>
      <c r="B922" s="912"/>
      <c r="C922" s="912"/>
      <c r="D922" s="912"/>
      <c r="E922" s="912"/>
    </row>
    <row r="923" spans="1:5" ht="15.75" x14ac:dyDescent="0.25">
      <c r="A923" s="869"/>
      <c r="B923" s="912"/>
      <c r="C923" s="912"/>
      <c r="D923" s="912"/>
      <c r="E923" s="912"/>
    </row>
    <row r="924" spans="1:5" ht="15.75" x14ac:dyDescent="0.25">
      <c r="A924" s="869"/>
      <c r="B924" s="912"/>
      <c r="C924" s="912"/>
      <c r="D924" s="912"/>
      <c r="E924" s="912"/>
    </row>
    <row r="925" spans="1:5" ht="15.75" x14ac:dyDescent="0.25">
      <c r="A925" s="869"/>
      <c r="B925" s="912"/>
      <c r="C925" s="912"/>
      <c r="D925" s="912"/>
      <c r="E925" s="912"/>
    </row>
    <row r="926" spans="1:5" ht="15.75" x14ac:dyDescent="0.25">
      <c r="A926" s="869"/>
      <c r="B926" s="912"/>
      <c r="C926" s="912"/>
      <c r="D926" s="912"/>
      <c r="E926" s="912"/>
    </row>
    <row r="927" spans="1:5" ht="15.75" x14ac:dyDescent="0.25">
      <c r="A927" s="869"/>
      <c r="B927" s="912"/>
      <c r="C927" s="912"/>
      <c r="D927" s="912"/>
      <c r="E927" s="912"/>
    </row>
    <row r="928" spans="1:5" ht="15.75" x14ac:dyDescent="0.25">
      <c r="A928" s="869"/>
      <c r="B928" s="912"/>
      <c r="C928" s="912"/>
      <c r="D928" s="912"/>
      <c r="E928" s="912"/>
    </row>
    <row r="929" spans="1:5" ht="15.75" x14ac:dyDescent="0.25">
      <c r="A929" s="869"/>
      <c r="B929" s="912"/>
      <c r="C929" s="912"/>
      <c r="D929" s="912"/>
      <c r="E929" s="912"/>
    </row>
    <row r="930" spans="1:5" ht="15.75" x14ac:dyDescent="0.25">
      <c r="A930" s="869"/>
      <c r="B930" s="912"/>
      <c r="C930" s="912"/>
      <c r="D930" s="912"/>
      <c r="E930" s="912"/>
    </row>
    <row r="931" spans="1:5" ht="15.75" x14ac:dyDescent="0.25">
      <c r="A931" s="869"/>
      <c r="B931" s="912"/>
      <c r="C931" s="912"/>
      <c r="D931" s="912"/>
      <c r="E931" s="912"/>
    </row>
    <row r="932" spans="1:5" ht="15.75" x14ac:dyDescent="0.25">
      <c r="A932" s="869"/>
      <c r="B932" s="912"/>
      <c r="C932" s="912"/>
      <c r="D932" s="912"/>
      <c r="E932" s="912"/>
    </row>
    <row r="933" spans="1:5" ht="15.75" x14ac:dyDescent="0.25">
      <c r="A933" s="869"/>
      <c r="B933" s="912"/>
      <c r="C933" s="912"/>
      <c r="D933" s="912"/>
      <c r="E933" s="912"/>
    </row>
    <row r="934" spans="1:5" ht="15.75" x14ac:dyDescent="0.25">
      <c r="A934" s="869"/>
      <c r="B934" s="912"/>
      <c r="C934" s="912"/>
      <c r="D934" s="912"/>
      <c r="E934" s="912"/>
    </row>
    <row r="935" spans="1:5" ht="15.75" x14ac:dyDescent="0.25">
      <c r="A935" s="869"/>
      <c r="B935" s="912"/>
      <c r="C935" s="912"/>
      <c r="D935" s="912"/>
      <c r="E935" s="912"/>
    </row>
    <row r="936" spans="1:5" ht="15.75" x14ac:dyDescent="0.25">
      <c r="A936" s="869"/>
      <c r="B936" s="912"/>
      <c r="C936" s="912"/>
      <c r="D936" s="912"/>
      <c r="E936" s="912"/>
    </row>
    <row r="937" spans="1:5" ht="15.75" x14ac:dyDescent="0.25">
      <c r="A937" s="869"/>
      <c r="B937" s="912"/>
      <c r="C937" s="912"/>
      <c r="D937" s="912"/>
      <c r="E937" s="912"/>
    </row>
    <row r="938" spans="1:5" ht="15.75" x14ac:dyDescent="0.25">
      <c r="A938" s="869"/>
      <c r="B938" s="912"/>
      <c r="C938" s="912"/>
      <c r="D938" s="912"/>
      <c r="E938" s="912"/>
    </row>
    <row r="939" spans="1:5" ht="15.75" x14ac:dyDescent="0.25">
      <c r="A939" s="869"/>
      <c r="B939" s="912"/>
      <c r="C939" s="912"/>
      <c r="D939" s="912"/>
      <c r="E939" s="912"/>
    </row>
    <row r="940" spans="1:5" ht="15.75" x14ac:dyDescent="0.25">
      <c r="A940" s="869"/>
      <c r="B940" s="912"/>
      <c r="C940" s="912"/>
      <c r="D940" s="912"/>
      <c r="E940" s="912"/>
    </row>
    <row r="941" spans="1:5" ht="15.75" x14ac:dyDescent="0.25">
      <c r="A941" s="869"/>
      <c r="B941" s="912"/>
      <c r="C941" s="912"/>
      <c r="D941" s="912"/>
      <c r="E941" s="912"/>
    </row>
    <row r="942" spans="1:5" ht="15.75" x14ac:dyDescent="0.25">
      <c r="A942" s="869"/>
      <c r="B942" s="912"/>
      <c r="C942" s="912"/>
      <c r="D942" s="912"/>
      <c r="E942" s="912"/>
    </row>
    <row r="943" spans="1:5" ht="15.75" x14ac:dyDescent="0.25">
      <c r="A943" s="869"/>
      <c r="B943" s="912"/>
      <c r="C943" s="912"/>
      <c r="D943" s="912"/>
      <c r="E943" s="912"/>
    </row>
    <row r="944" spans="1:5" ht="15.75" x14ac:dyDescent="0.25">
      <c r="A944" s="869"/>
      <c r="B944" s="912"/>
      <c r="C944" s="912"/>
      <c r="D944" s="912"/>
      <c r="E944" s="912"/>
    </row>
    <row r="945" spans="1:5" ht="15.75" x14ac:dyDescent="0.25">
      <c r="A945" s="869"/>
      <c r="B945" s="912"/>
      <c r="C945" s="912"/>
      <c r="D945" s="912"/>
      <c r="E945" s="912"/>
    </row>
    <row r="946" spans="1:5" ht="15.75" x14ac:dyDescent="0.25">
      <c r="A946" s="869"/>
      <c r="B946" s="912"/>
      <c r="C946" s="912"/>
      <c r="D946" s="912"/>
      <c r="E946" s="912"/>
    </row>
    <row r="947" spans="1:5" ht="15.75" x14ac:dyDescent="0.25">
      <c r="A947" s="869"/>
      <c r="B947" s="912"/>
      <c r="C947" s="912"/>
      <c r="D947" s="912"/>
      <c r="E947" s="912"/>
    </row>
    <row r="948" spans="1:5" ht="15.75" x14ac:dyDescent="0.25">
      <c r="A948" s="869"/>
      <c r="B948" s="912"/>
      <c r="C948" s="912"/>
      <c r="D948" s="912"/>
      <c r="E948" s="912"/>
    </row>
    <row r="949" spans="1:5" ht="15.75" x14ac:dyDescent="0.25">
      <c r="A949" s="869"/>
      <c r="B949" s="912"/>
      <c r="C949" s="912"/>
      <c r="D949" s="912"/>
      <c r="E949" s="912"/>
    </row>
    <row r="950" spans="1:5" ht="15.75" x14ac:dyDescent="0.25">
      <c r="A950" s="869"/>
      <c r="B950" s="912"/>
      <c r="C950" s="912"/>
      <c r="D950" s="912"/>
      <c r="E950" s="912"/>
    </row>
    <row r="951" spans="1:5" ht="15.75" x14ac:dyDescent="0.25">
      <c r="A951" s="869"/>
      <c r="B951" s="912"/>
      <c r="C951" s="912"/>
      <c r="D951" s="912"/>
      <c r="E951" s="912"/>
    </row>
    <row r="952" spans="1:5" ht="15.75" x14ac:dyDescent="0.25">
      <c r="A952" s="869"/>
      <c r="B952" s="912"/>
      <c r="C952" s="912"/>
      <c r="D952" s="912"/>
      <c r="E952" s="912"/>
    </row>
    <row r="953" spans="1:5" ht="15.75" x14ac:dyDescent="0.25">
      <c r="A953" s="869"/>
      <c r="B953" s="912"/>
      <c r="C953" s="912"/>
      <c r="D953" s="912"/>
      <c r="E953" s="912"/>
    </row>
    <row r="954" spans="1:5" ht="15.75" x14ac:dyDescent="0.25">
      <c r="A954" s="869"/>
      <c r="B954" s="912"/>
      <c r="C954" s="912"/>
      <c r="D954" s="912"/>
      <c r="E954" s="912"/>
    </row>
    <row r="955" spans="1:5" ht="15.75" x14ac:dyDescent="0.25">
      <c r="A955" s="869"/>
      <c r="B955" s="912"/>
      <c r="C955" s="912"/>
      <c r="D955" s="912"/>
      <c r="E955" s="912"/>
    </row>
    <row r="956" spans="1:5" ht="15.75" x14ac:dyDescent="0.25">
      <c r="A956" s="869"/>
      <c r="B956" s="912"/>
      <c r="C956" s="912"/>
      <c r="D956" s="912"/>
      <c r="E956" s="912"/>
    </row>
    <row r="957" spans="1:5" ht="15.75" x14ac:dyDescent="0.25">
      <c r="A957" s="869"/>
      <c r="B957" s="912"/>
      <c r="C957" s="912"/>
      <c r="D957" s="912"/>
      <c r="E957" s="912"/>
    </row>
    <row r="958" spans="1:5" ht="15.75" x14ac:dyDescent="0.25">
      <c r="A958" s="869"/>
      <c r="B958" s="912"/>
      <c r="C958" s="912"/>
      <c r="D958" s="912"/>
      <c r="E958" s="912"/>
    </row>
    <row r="959" spans="1:5" ht="15.75" x14ac:dyDescent="0.25">
      <c r="A959" s="869"/>
      <c r="B959" s="912"/>
      <c r="C959" s="912"/>
      <c r="D959" s="912"/>
      <c r="E959" s="912"/>
    </row>
    <row r="960" spans="1:5" ht="15.75" x14ac:dyDescent="0.25">
      <c r="A960" s="869"/>
      <c r="B960" s="912"/>
      <c r="C960" s="912"/>
      <c r="D960" s="912"/>
      <c r="E960" s="912"/>
    </row>
    <row r="961" spans="1:5" ht="15.75" x14ac:dyDescent="0.25">
      <c r="A961" s="869"/>
      <c r="B961" s="912"/>
      <c r="C961" s="912"/>
      <c r="D961" s="912"/>
      <c r="E961" s="912"/>
    </row>
    <row r="962" spans="1:5" ht="15.75" x14ac:dyDescent="0.25">
      <c r="A962" s="869"/>
      <c r="B962" s="912"/>
      <c r="C962" s="912"/>
      <c r="D962" s="912"/>
      <c r="E962" s="912"/>
    </row>
    <row r="963" spans="1:5" ht="15.75" x14ac:dyDescent="0.25">
      <c r="A963" s="869"/>
      <c r="B963" s="912"/>
      <c r="C963" s="912"/>
      <c r="D963" s="912"/>
      <c r="E963" s="912"/>
    </row>
    <row r="964" spans="1:5" ht="15.75" x14ac:dyDescent="0.25">
      <c r="A964" s="869"/>
      <c r="B964" s="912"/>
      <c r="C964" s="912"/>
      <c r="D964" s="912"/>
      <c r="E964" s="912"/>
    </row>
    <row r="965" spans="1:5" ht="15.75" x14ac:dyDescent="0.25">
      <c r="A965" s="869"/>
      <c r="B965" s="912"/>
      <c r="C965" s="912"/>
      <c r="D965" s="912"/>
      <c r="E965" s="912"/>
    </row>
    <row r="966" spans="1:5" ht="15.75" x14ac:dyDescent="0.25">
      <c r="A966" s="869"/>
      <c r="B966" s="912"/>
      <c r="C966" s="912"/>
      <c r="D966" s="912"/>
      <c r="E966" s="912"/>
    </row>
    <row r="967" spans="1:5" ht="15.75" x14ac:dyDescent="0.25">
      <c r="A967" s="869"/>
      <c r="B967" s="912"/>
      <c r="C967" s="912"/>
      <c r="D967" s="912"/>
      <c r="E967" s="912"/>
    </row>
    <row r="968" spans="1:5" ht="15.75" x14ac:dyDescent="0.25">
      <c r="A968" s="869"/>
      <c r="B968" s="912"/>
      <c r="C968" s="912"/>
      <c r="D968" s="912"/>
      <c r="E968" s="912"/>
    </row>
    <row r="969" spans="1:5" ht="15.75" x14ac:dyDescent="0.25">
      <c r="A969" s="869"/>
      <c r="B969" s="912"/>
      <c r="C969" s="912"/>
      <c r="D969" s="912"/>
      <c r="E969" s="912"/>
    </row>
    <row r="970" spans="1:5" ht="15.75" x14ac:dyDescent="0.25">
      <c r="A970" s="869"/>
      <c r="B970" s="912"/>
      <c r="C970" s="912"/>
      <c r="D970" s="912"/>
      <c r="E970" s="912"/>
    </row>
    <row r="971" spans="1:5" ht="15.75" x14ac:dyDescent="0.25">
      <c r="A971" s="869"/>
      <c r="B971" s="912"/>
      <c r="C971" s="912"/>
      <c r="D971" s="912"/>
      <c r="E971" s="912"/>
    </row>
    <row r="972" spans="1:5" ht="15.75" x14ac:dyDescent="0.25">
      <c r="A972" s="869"/>
      <c r="B972" s="912"/>
      <c r="C972" s="912"/>
      <c r="D972" s="912"/>
      <c r="E972" s="912"/>
    </row>
    <row r="973" spans="1:5" ht="15.75" x14ac:dyDescent="0.25">
      <c r="A973" s="869"/>
      <c r="B973" s="912"/>
      <c r="C973" s="912"/>
      <c r="D973" s="912"/>
      <c r="E973" s="912"/>
    </row>
    <row r="974" spans="1:5" ht="15.75" x14ac:dyDescent="0.25">
      <c r="A974" s="869"/>
      <c r="B974" s="912"/>
      <c r="C974" s="912"/>
      <c r="D974" s="912"/>
      <c r="E974" s="912"/>
    </row>
    <row r="975" spans="1:5" ht="15.75" x14ac:dyDescent="0.25">
      <c r="A975" s="869"/>
      <c r="B975" s="912"/>
      <c r="C975" s="912"/>
      <c r="D975" s="912"/>
      <c r="E975" s="912"/>
    </row>
    <row r="976" spans="1:5" ht="15.75" x14ac:dyDescent="0.25">
      <c r="A976" s="869"/>
      <c r="B976" s="912"/>
      <c r="C976" s="912"/>
      <c r="D976" s="912"/>
      <c r="E976" s="912"/>
    </row>
    <row r="977" spans="1:5" ht="15.75" x14ac:dyDescent="0.25">
      <c r="A977" s="869"/>
      <c r="B977" s="912"/>
      <c r="C977" s="912"/>
      <c r="D977" s="912"/>
      <c r="E977" s="912"/>
    </row>
    <row r="978" spans="1:5" ht="15.75" x14ac:dyDescent="0.25">
      <c r="A978" s="869"/>
      <c r="B978" s="912"/>
      <c r="C978" s="912"/>
      <c r="D978" s="912"/>
      <c r="E978" s="912"/>
    </row>
    <row r="979" spans="1:5" ht="15.75" x14ac:dyDescent="0.25">
      <c r="A979" s="869"/>
      <c r="B979" s="912"/>
      <c r="C979" s="912"/>
      <c r="D979" s="912"/>
      <c r="E979" s="912"/>
    </row>
    <row r="980" spans="1:5" ht="15.75" x14ac:dyDescent="0.25">
      <c r="A980" s="869"/>
      <c r="B980" s="912"/>
      <c r="C980" s="912"/>
      <c r="D980" s="912"/>
      <c r="E980" s="912"/>
    </row>
    <row r="981" spans="1:5" ht="15.75" x14ac:dyDescent="0.25">
      <c r="A981" s="869"/>
      <c r="B981" s="912"/>
      <c r="C981" s="912"/>
      <c r="D981" s="912"/>
      <c r="E981" s="912"/>
    </row>
    <row r="982" spans="1:5" ht="15.75" x14ac:dyDescent="0.25">
      <c r="A982" s="869"/>
      <c r="B982" s="912"/>
      <c r="C982" s="912"/>
      <c r="D982" s="912"/>
      <c r="E982" s="912"/>
    </row>
    <row r="983" spans="1:5" ht="15.75" x14ac:dyDescent="0.25">
      <c r="A983" s="869"/>
      <c r="B983" s="912"/>
      <c r="C983" s="912"/>
      <c r="D983" s="912"/>
      <c r="E983" s="912"/>
    </row>
    <row r="984" spans="1:5" ht="15.75" x14ac:dyDescent="0.25">
      <c r="A984" s="869"/>
      <c r="B984" s="912"/>
      <c r="C984" s="912"/>
      <c r="D984" s="912"/>
      <c r="E984" s="912"/>
    </row>
    <row r="985" spans="1:5" ht="15.75" x14ac:dyDescent="0.25">
      <c r="A985" s="869"/>
      <c r="B985" s="912"/>
      <c r="C985" s="912"/>
      <c r="D985" s="912"/>
      <c r="E985" s="912"/>
    </row>
    <row r="986" spans="1:5" ht="15.75" x14ac:dyDescent="0.25">
      <c r="A986" s="869"/>
      <c r="B986" s="912"/>
      <c r="C986" s="912"/>
      <c r="D986" s="912"/>
      <c r="E986" s="912"/>
    </row>
    <row r="987" spans="1:5" ht="15.75" x14ac:dyDescent="0.25">
      <c r="A987" s="869"/>
      <c r="B987" s="912"/>
      <c r="C987" s="912"/>
      <c r="D987" s="912"/>
      <c r="E987" s="912"/>
    </row>
    <row r="988" spans="1:5" ht="15.75" x14ac:dyDescent="0.25">
      <c r="A988" s="869"/>
      <c r="B988" s="912"/>
      <c r="C988" s="912"/>
      <c r="D988" s="912"/>
      <c r="E988" s="912"/>
    </row>
    <row r="989" spans="1:5" ht="15.75" x14ac:dyDescent="0.25">
      <c r="A989" s="869"/>
      <c r="B989" s="912"/>
      <c r="C989" s="912"/>
      <c r="D989" s="912"/>
      <c r="E989" s="912"/>
    </row>
    <row r="990" spans="1:5" ht="15.75" x14ac:dyDescent="0.25">
      <c r="A990" s="869"/>
      <c r="B990" s="912"/>
      <c r="C990" s="912"/>
      <c r="D990" s="912"/>
      <c r="E990" s="912"/>
    </row>
    <row r="991" spans="1:5" ht="15.75" x14ac:dyDescent="0.25">
      <c r="A991" s="869"/>
      <c r="B991" s="912"/>
      <c r="C991" s="912"/>
      <c r="D991" s="912"/>
      <c r="E991" s="912"/>
    </row>
    <row r="992" spans="1:5" ht="15.75" x14ac:dyDescent="0.25">
      <c r="A992" s="869"/>
      <c r="B992" s="912"/>
      <c r="C992" s="912"/>
      <c r="D992" s="912"/>
      <c r="E992" s="912"/>
    </row>
    <row r="993" spans="1:5" ht="15.75" x14ac:dyDescent="0.25">
      <c r="A993" s="869"/>
      <c r="B993" s="912"/>
      <c r="C993" s="912"/>
      <c r="D993" s="912"/>
      <c r="E993" s="912"/>
    </row>
    <row r="994" spans="1:5" ht="15.75" x14ac:dyDescent="0.25">
      <c r="A994" s="869"/>
      <c r="B994" s="912"/>
      <c r="C994" s="912"/>
      <c r="D994" s="912"/>
      <c r="E994" s="912"/>
    </row>
    <row r="995" spans="1:5" ht="15.75" x14ac:dyDescent="0.25">
      <c r="A995" s="869"/>
      <c r="B995" s="912"/>
      <c r="C995" s="912"/>
      <c r="D995" s="912"/>
      <c r="E995" s="912"/>
    </row>
    <row r="996" spans="1:5" ht="15.75" x14ac:dyDescent="0.25">
      <c r="A996" s="869"/>
      <c r="B996" s="912"/>
      <c r="C996" s="912"/>
      <c r="D996" s="912"/>
      <c r="E996" s="912"/>
    </row>
    <row r="997" spans="1:5" ht="15.75" x14ac:dyDescent="0.25">
      <c r="A997" s="869"/>
      <c r="B997" s="912"/>
      <c r="C997" s="912"/>
      <c r="D997" s="912"/>
      <c r="E997" s="912"/>
    </row>
    <row r="998" spans="1:5" ht="15.75" x14ac:dyDescent="0.25">
      <c r="A998" s="869"/>
      <c r="B998" s="912"/>
      <c r="C998" s="912"/>
      <c r="D998" s="912"/>
      <c r="E998" s="912"/>
    </row>
    <row r="999" spans="1:5" ht="15.75" x14ac:dyDescent="0.25">
      <c r="A999" s="869"/>
      <c r="B999" s="912"/>
      <c r="C999" s="912"/>
      <c r="D999" s="912"/>
      <c r="E999" s="912"/>
    </row>
    <row r="1000" spans="1:5" ht="15.75" x14ac:dyDescent="0.25">
      <c r="A1000" s="869"/>
      <c r="B1000" s="912"/>
      <c r="C1000" s="912"/>
      <c r="D1000" s="912"/>
      <c r="E1000" s="912"/>
    </row>
    <row r="1001" spans="1:5" ht="15.75" x14ac:dyDescent="0.25">
      <c r="A1001" s="869"/>
      <c r="B1001" s="912"/>
      <c r="C1001" s="912"/>
      <c r="D1001" s="912"/>
      <c r="E1001" s="912"/>
    </row>
    <row r="1002" spans="1:5" ht="15.75" x14ac:dyDescent="0.25">
      <c r="A1002" s="869"/>
      <c r="B1002" s="912"/>
      <c r="C1002" s="912"/>
      <c r="D1002" s="912"/>
      <c r="E1002" s="912"/>
    </row>
    <row r="1003" spans="1:5" ht="15.75" x14ac:dyDescent="0.25">
      <c r="A1003" s="869"/>
      <c r="B1003" s="912"/>
      <c r="C1003" s="912"/>
      <c r="D1003" s="912"/>
      <c r="E1003" s="912"/>
    </row>
    <row r="1004" spans="1:5" ht="15.75" x14ac:dyDescent="0.25">
      <c r="A1004" s="869"/>
      <c r="B1004" s="912"/>
      <c r="C1004" s="912"/>
      <c r="D1004" s="912"/>
      <c r="E1004" s="912"/>
    </row>
    <row r="1005" spans="1:5" ht="15.75" x14ac:dyDescent="0.25">
      <c r="A1005" s="869"/>
      <c r="B1005" s="912"/>
      <c r="C1005" s="912"/>
      <c r="D1005" s="912"/>
      <c r="E1005" s="912"/>
    </row>
    <row r="1006" spans="1:5" ht="15.75" x14ac:dyDescent="0.25">
      <c r="A1006" s="869"/>
      <c r="B1006" s="912"/>
      <c r="C1006" s="912"/>
      <c r="D1006" s="912"/>
      <c r="E1006" s="912"/>
    </row>
    <row r="1007" spans="1:5" ht="15.75" x14ac:dyDescent="0.25">
      <c r="A1007" s="869"/>
      <c r="B1007" s="912"/>
      <c r="C1007" s="912"/>
      <c r="D1007" s="912"/>
      <c r="E1007" s="912"/>
    </row>
    <row r="1008" spans="1:5" ht="15.75" x14ac:dyDescent="0.25">
      <c r="A1008" s="869"/>
      <c r="B1008" s="912"/>
      <c r="C1008" s="912"/>
      <c r="D1008" s="912"/>
      <c r="E1008" s="912"/>
    </row>
    <row r="1009" spans="1:5" ht="15.75" x14ac:dyDescent="0.25">
      <c r="A1009" s="869"/>
      <c r="B1009" s="912"/>
      <c r="C1009" s="912"/>
      <c r="D1009" s="912"/>
      <c r="E1009" s="912"/>
    </row>
    <row r="1010" spans="1:5" ht="15.75" x14ac:dyDescent="0.25">
      <c r="A1010" s="869"/>
      <c r="B1010" s="912"/>
      <c r="C1010" s="912"/>
      <c r="D1010" s="912"/>
      <c r="E1010" s="912"/>
    </row>
    <row r="1011" spans="1:5" ht="15.75" x14ac:dyDescent="0.25">
      <c r="A1011" s="869"/>
      <c r="B1011" s="912"/>
      <c r="C1011" s="912"/>
      <c r="D1011" s="912"/>
      <c r="E1011" s="912"/>
    </row>
    <row r="1012" spans="1:5" ht="15.75" x14ac:dyDescent="0.25">
      <c r="A1012" s="869"/>
      <c r="B1012" s="912"/>
      <c r="C1012" s="912"/>
      <c r="D1012" s="912"/>
      <c r="E1012" s="912"/>
    </row>
    <row r="1013" spans="1:5" ht="15.75" x14ac:dyDescent="0.25">
      <c r="A1013" s="869"/>
      <c r="B1013" s="912"/>
      <c r="C1013" s="912"/>
      <c r="D1013" s="912"/>
      <c r="E1013" s="912"/>
    </row>
    <row r="1014" spans="1:5" ht="15.75" x14ac:dyDescent="0.25">
      <c r="A1014" s="869"/>
      <c r="B1014" s="912"/>
      <c r="C1014" s="912"/>
      <c r="D1014" s="912"/>
      <c r="E1014" s="912"/>
    </row>
    <row r="1015" spans="1:5" ht="15.75" x14ac:dyDescent="0.25">
      <c r="A1015" s="869"/>
      <c r="B1015" s="912"/>
      <c r="C1015" s="912"/>
      <c r="D1015" s="912"/>
      <c r="E1015" s="912"/>
    </row>
    <row r="1016" spans="1:5" ht="15.75" x14ac:dyDescent="0.25">
      <c r="A1016" s="869"/>
      <c r="B1016" s="912"/>
      <c r="C1016" s="912"/>
      <c r="D1016" s="912"/>
      <c r="E1016" s="912"/>
    </row>
    <row r="1017" spans="1:5" ht="15.75" x14ac:dyDescent="0.25">
      <c r="A1017" s="869"/>
      <c r="B1017" s="912"/>
      <c r="C1017" s="912"/>
      <c r="D1017" s="912"/>
      <c r="E1017" s="912"/>
    </row>
    <row r="1018" spans="1:5" ht="15.75" x14ac:dyDescent="0.25">
      <c r="A1018" s="869"/>
      <c r="B1018" s="912"/>
      <c r="C1018" s="912"/>
      <c r="D1018" s="912"/>
      <c r="E1018" s="912"/>
    </row>
    <row r="1019" spans="1:5" ht="15.75" x14ac:dyDescent="0.25">
      <c r="A1019" s="869"/>
      <c r="B1019" s="912"/>
      <c r="C1019" s="912"/>
      <c r="D1019" s="912"/>
      <c r="E1019" s="912"/>
    </row>
    <row r="1020" spans="1:5" ht="15.75" x14ac:dyDescent="0.25">
      <c r="A1020" s="869"/>
      <c r="B1020" s="912"/>
      <c r="C1020" s="912"/>
      <c r="D1020" s="912"/>
      <c r="E1020" s="912"/>
    </row>
    <row r="1021" spans="1:5" ht="15.75" x14ac:dyDescent="0.25">
      <c r="A1021" s="869"/>
      <c r="B1021" s="912"/>
      <c r="C1021" s="912"/>
      <c r="D1021" s="912"/>
      <c r="E1021" s="912"/>
    </row>
    <row r="1022" spans="1:5" ht="15.75" x14ac:dyDescent="0.25">
      <c r="A1022" s="869"/>
      <c r="B1022" s="912"/>
      <c r="C1022" s="912"/>
      <c r="D1022" s="912"/>
      <c r="E1022" s="912"/>
    </row>
    <row r="1023" spans="1:5" ht="15.75" x14ac:dyDescent="0.25">
      <c r="A1023" s="869"/>
      <c r="B1023" s="912"/>
      <c r="C1023" s="912"/>
      <c r="D1023" s="912"/>
      <c r="E1023" s="912"/>
    </row>
    <row r="1024" spans="1:5" ht="15.75" x14ac:dyDescent="0.25">
      <c r="A1024" s="869"/>
      <c r="B1024" s="912"/>
      <c r="C1024" s="912"/>
      <c r="D1024" s="912"/>
      <c r="E1024" s="912"/>
    </row>
    <row r="1025" spans="1:5" ht="15.75" x14ac:dyDescent="0.25">
      <c r="A1025" s="869"/>
      <c r="B1025" s="912"/>
      <c r="C1025" s="912"/>
      <c r="D1025" s="912"/>
      <c r="E1025" s="912"/>
    </row>
    <row r="1026" spans="1:5" ht="15.75" x14ac:dyDescent="0.25">
      <c r="A1026" s="869"/>
      <c r="B1026" s="912"/>
      <c r="C1026" s="912"/>
      <c r="D1026" s="912"/>
      <c r="E1026" s="912"/>
    </row>
    <row r="1027" spans="1:5" ht="15.75" x14ac:dyDescent="0.25">
      <c r="A1027" s="869"/>
      <c r="B1027" s="912"/>
      <c r="C1027" s="912"/>
      <c r="D1027" s="912"/>
      <c r="E1027" s="912"/>
    </row>
    <row r="1028" spans="1:5" ht="15.75" x14ac:dyDescent="0.25">
      <c r="A1028" s="869"/>
      <c r="B1028" s="912"/>
      <c r="C1028" s="912"/>
      <c r="D1028" s="912"/>
      <c r="E1028" s="912"/>
    </row>
    <row r="1029" spans="1:5" ht="15.75" x14ac:dyDescent="0.25">
      <c r="A1029" s="869"/>
      <c r="B1029" s="912"/>
      <c r="C1029" s="912"/>
      <c r="D1029" s="912"/>
      <c r="E1029" s="912"/>
    </row>
    <row r="1030" spans="1:5" ht="15.75" x14ac:dyDescent="0.25">
      <c r="A1030" s="869"/>
      <c r="B1030" s="912"/>
      <c r="C1030" s="912"/>
      <c r="D1030" s="912"/>
      <c r="E1030" s="912"/>
    </row>
    <row r="1031" spans="1:5" ht="15.75" x14ac:dyDescent="0.25">
      <c r="A1031" s="869"/>
      <c r="B1031" s="912"/>
      <c r="C1031" s="912"/>
      <c r="D1031" s="912"/>
      <c r="E1031" s="912"/>
    </row>
    <row r="1032" spans="1:5" ht="15.75" x14ac:dyDescent="0.25">
      <c r="A1032" s="869"/>
      <c r="B1032" s="912"/>
      <c r="C1032" s="912"/>
      <c r="D1032" s="912"/>
      <c r="E1032" s="912"/>
    </row>
    <row r="1033" spans="1:5" ht="15.75" x14ac:dyDescent="0.25">
      <c r="A1033" s="869"/>
      <c r="B1033" s="912"/>
      <c r="C1033" s="912"/>
      <c r="D1033" s="912"/>
      <c r="E1033" s="912"/>
    </row>
    <row r="1034" spans="1:5" ht="15.75" x14ac:dyDescent="0.25">
      <c r="A1034" s="869"/>
      <c r="B1034" s="912"/>
      <c r="C1034" s="912"/>
      <c r="D1034" s="912"/>
      <c r="E1034" s="912"/>
    </row>
    <row r="1035" spans="1:5" ht="15.75" x14ac:dyDescent="0.25">
      <c r="A1035" s="869"/>
      <c r="B1035" s="912"/>
      <c r="C1035" s="912"/>
      <c r="D1035" s="912"/>
      <c r="E1035" s="912"/>
    </row>
    <row r="1036" spans="1:5" ht="15.75" x14ac:dyDescent="0.25">
      <c r="A1036" s="869"/>
      <c r="B1036" s="912"/>
      <c r="C1036" s="912"/>
      <c r="D1036" s="912"/>
      <c r="E1036" s="912"/>
    </row>
    <row r="1037" spans="1:5" ht="15.75" x14ac:dyDescent="0.25">
      <c r="A1037" s="869"/>
      <c r="B1037" s="912"/>
      <c r="C1037" s="912"/>
      <c r="D1037" s="912"/>
      <c r="E1037" s="912"/>
    </row>
    <row r="1038" spans="1:5" ht="15.75" x14ac:dyDescent="0.25">
      <c r="A1038" s="869"/>
      <c r="B1038" s="912"/>
      <c r="C1038" s="912"/>
      <c r="D1038" s="912"/>
      <c r="E1038" s="912"/>
    </row>
    <row r="1039" spans="1:5" ht="15.75" x14ac:dyDescent="0.25">
      <c r="A1039" s="869"/>
      <c r="B1039" s="912"/>
      <c r="C1039" s="912"/>
      <c r="D1039" s="912"/>
      <c r="E1039" s="912"/>
    </row>
    <row r="1040" spans="1:5" ht="15.75" x14ac:dyDescent="0.25">
      <c r="A1040" s="869"/>
      <c r="B1040" s="912"/>
      <c r="C1040" s="912"/>
      <c r="D1040" s="912"/>
      <c r="E1040" s="912"/>
    </row>
    <row r="1041" spans="1:5" ht="15.75" x14ac:dyDescent="0.25">
      <c r="A1041" s="869"/>
      <c r="B1041" s="912"/>
      <c r="C1041" s="912"/>
      <c r="D1041" s="912"/>
      <c r="E1041" s="912"/>
    </row>
    <row r="1042" spans="1:5" ht="15.75" x14ac:dyDescent="0.25">
      <c r="A1042" s="869"/>
      <c r="B1042" s="912"/>
      <c r="C1042" s="912"/>
      <c r="D1042" s="912"/>
      <c r="E1042" s="912"/>
    </row>
    <row r="1043" spans="1:5" ht="15.75" x14ac:dyDescent="0.25">
      <c r="A1043" s="869"/>
      <c r="B1043" s="912"/>
      <c r="C1043" s="912"/>
      <c r="D1043" s="912"/>
      <c r="E1043" s="912"/>
    </row>
    <row r="1044" spans="1:5" ht="15.75" x14ac:dyDescent="0.25">
      <c r="A1044" s="869"/>
      <c r="B1044" s="912"/>
      <c r="C1044" s="912"/>
      <c r="D1044" s="912"/>
      <c r="E1044" s="912"/>
    </row>
    <row r="1045" spans="1:5" ht="15.75" x14ac:dyDescent="0.25">
      <c r="A1045" s="869"/>
      <c r="B1045" s="912"/>
      <c r="C1045" s="912"/>
      <c r="D1045" s="912"/>
      <c r="E1045" s="912"/>
    </row>
    <row r="1046" spans="1:5" ht="15.75" x14ac:dyDescent="0.25">
      <c r="A1046" s="869"/>
      <c r="B1046" s="912"/>
      <c r="C1046" s="912"/>
      <c r="D1046" s="912"/>
      <c r="E1046" s="912"/>
    </row>
    <row r="1047" spans="1:5" ht="15.75" x14ac:dyDescent="0.25">
      <c r="A1047" s="869"/>
      <c r="B1047" s="912"/>
      <c r="C1047" s="912"/>
      <c r="D1047" s="912"/>
      <c r="E1047" s="912"/>
    </row>
    <row r="1048" spans="1:5" ht="15.75" x14ac:dyDescent="0.25">
      <c r="A1048" s="869"/>
      <c r="B1048" s="912"/>
      <c r="C1048" s="912"/>
      <c r="D1048" s="912"/>
      <c r="E1048" s="912"/>
    </row>
    <row r="1049" spans="1:5" ht="15.75" x14ac:dyDescent="0.25">
      <c r="A1049" s="869"/>
      <c r="B1049" s="912"/>
      <c r="C1049" s="912"/>
      <c r="D1049" s="912"/>
      <c r="E1049" s="912"/>
    </row>
    <row r="1050" spans="1:5" ht="15.75" x14ac:dyDescent="0.25">
      <c r="A1050" s="869"/>
      <c r="B1050" s="912"/>
      <c r="C1050" s="912"/>
      <c r="D1050" s="912"/>
      <c r="E1050" s="912"/>
    </row>
    <row r="1051" spans="1:5" ht="15.75" x14ac:dyDescent="0.25">
      <c r="A1051" s="869"/>
      <c r="B1051" s="912"/>
      <c r="C1051" s="912"/>
      <c r="D1051" s="912"/>
      <c r="E1051" s="912"/>
    </row>
    <row r="1052" spans="1:5" ht="15.75" x14ac:dyDescent="0.25">
      <c r="A1052" s="869"/>
      <c r="B1052" s="912"/>
      <c r="C1052" s="912"/>
      <c r="D1052" s="912"/>
      <c r="E1052" s="912"/>
    </row>
    <row r="1053" spans="1:5" ht="15.75" x14ac:dyDescent="0.25">
      <c r="A1053" s="869"/>
      <c r="B1053" s="912"/>
      <c r="C1053" s="912"/>
      <c r="D1053" s="912"/>
      <c r="E1053" s="912"/>
    </row>
    <row r="1054" spans="1:5" ht="15.75" x14ac:dyDescent="0.25">
      <c r="A1054" s="869"/>
      <c r="B1054" s="912"/>
      <c r="C1054" s="912"/>
      <c r="D1054" s="912"/>
      <c r="E1054" s="912"/>
    </row>
    <row r="1055" spans="1:5" ht="15.75" x14ac:dyDescent="0.25">
      <c r="A1055" s="869"/>
      <c r="B1055" s="912"/>
      <c r="C1055" s="912"/>
      <c r="D1055" s="912"/>
      <c r="E1055" s="912"/>
    </row>
    <row r="1056" spans="1:5" ht="15.75" x14ac:dyDescent="0.25">
      <c r="A1056" s="869"/>
      <c r="B1056" s="912"/>
      <c r="C1056" s="912"/>
      <c r="D1056" s="912"/>
      <c r="E1056" s="912"/>
    </row>
    <row r="1057" spans="1:5" ht="15.75" x14ac:dyDescent="0.25">
      <c r="A1057" s="869"/>
      <c r="B1057" s="912"/>
      <c r="C1057" s="912"/>
      <c r="D1057" s="912"/>
      <c r="E1057" s="912"/>
    </row>
    <row r="1058" spans="1:5" ht="15.75" x14ac:dyDescent="0.25">
      <c r="A1058" s="869"/>
      <c r="B1058" s="912"/>
      <c r="C1058" s="912"/>
      <c r="D1058" s="912"/>
      <c r="E1058" s="912"/>
    </row>
    <row r="1059" spans="1:5" ht="15.75" x14ac:dyDescent="0.25">
      <c r="A1059" s="869"/>
      <c r="B1059" s="912"/>
      <c r="C1059" s="912"/>
      <c r="D1059" s="912"/>
      <c r="E1059" s="912"/>
    </row>
    <row r="1060" spans="1:5" ht="15.75" x14ac:dyDescent="0.25">
      <c r="A1060" s="869"/>
      <c r="B1060" s="912"/>
      <c r="C1060" s="912"/>
      <c r="D1060" s="912"/>
      <c r="E1060" s="912"/>
    </row>
    <row r="1061" spans="1:5" ht="15.75" x14ac:dyDescent="0.25">
      <c r="A1061" s="869"/>
      <c r="B1061" s="912"/>
      <c r="C1061" s="912"/>
      <c r="D1061" s="912"/>
      <c r="E1061" s="912"/>
    </row>
    <row r="1062" spans="1:5" ht="15.75" x14ac:dyDescent="0.25">
      <c r="A1062" s="869"/>
      <c r="B1062" s="912"/>
      <c r="C1062" s="912"/>
      <c r="D1062" s="912"/>
      <c r="E1062" s="912"/>
    </row>
    <row r="1063" spans="1:5" ht="15.75" x14ac:dyDescent="0.25">
      <c r="A1063" s="869"/>
      <c r="B1063" s="912"/>
      <c r="C1063" s="912"/>
      <c r="D1063" s="912"/>
      <c r="E1063" s="912"/>
    </row>
    <row r="1064" spans="1:5" ht="15.75" x14ac:dyDescent="0.25">
      <c r="A1064" s="869"/>
      <c r="B1064" s="912"/>
      <c r="C1064" s="912"/>
      <c r="D1064" s="912"/>
      <c r="E1064" s="912"/>
    </row>
    <row r="1065" spans="1:5" ht="15.75" x14ac:dyDescent="0.25">
      <c r="A1065" s="869"/>
      <c r="B1065" s="912"/>
      <c r="C1065" s="912"/>
      <c r="D1065" s="912"/>
      <c r="E1065" s="912"/>
    </row>
    <row r="1066" spans="1:5" ht="15.75" x14ac:dyDescent="0.25">
      <c r="A1066" s="869"/>
      <c r="B1066" s="912"/>
      <c r="C1066" s="912"/>
      <c r="D1066" s="912"/>
      <c r="E1066" s="912"/>
    </row>
    <row r="1067" spans="1:5" ht="15.75" x14ac:dyDescent="0.25">
      <c r="A1067" s="869"/>
      <c r="B1067" s="912"/>
      <c r="C1067" s="912"/>
      <c r="D1067" s="912"/>
      <c r="E1067" s="912"/>
    </row>
    <row r="1068" spans="1:5" ht="15.75" x14ac:dyDescent="0.25">
      <c r="A1068" s="869"/>
      <c r="B1068" s="912"/>
      <c r="C1068" s="912"/>
      <c r="D1068" s="912"/>
      <c r="E1068" s="912"/>
    </row>
    <row r="1069" spans="1:5" ht="15.75" x14ac:dyDescent="0.25">
      <c r="A1069" s="869"/>
      <c r="B1069" s="912"/>
      <c r="C1069" s="912"/>
      <c r="D1069" s="912"/>
      <c r="E1069" s="912"/>
    </row>
    <row r="1070" spans="1:5" ht="15.75" x14ac:dyDescent="0.25">
      <c r="A1070" s="869"/>
      <c r="B1070" s="912"/>
      <c r="C1070" s="912"/>
      <c r="D1070" s="912"/>
      <c r="E1070" s="912"/>
    </row>
    <row r="1071" spans="1:5" ht="15.75" x14ac:dyDescent="0.25">
      <c r="A1071" s="869"/>
      <c r="B1071" s="912"/>
      <c r="C1071" s="912"/>
      <c r="D1071" s="912"/>
      <c r="E1071" s="912"/>
    </row>
    <row r="1072" spans="1:5" ht="15.75" x14ac:dyDescent="0.25">
      <c r="A1072" s="869"/>
      <c r="B1072" s="912"/>
      <c r="C1072" s="912"/>
      <c r="D1072" s="912"/>
      <c r="E1072" s="912"/>
    </row>
    <row r="1073" spans="1:5" ht="15.75" x14ac:dyDescent="0.25">
      <c r="A1073" s="869"/>
      <c r="B1073" s="912"/>
      <c r="C1073" s="912"/>
      <c r="D1073" s="912"/>
      <c r="E1073" s="912"/>
    </row>
    <row r="1074" spans="1:5" ht="15.75" x14ac:dyDescent="0.25">
      <c r="A1074" s="869"/>
      <c r="B1074" s="912"/>
      <c r="C1074" s="912"/>
      <c r="D1074" s="912"/>
      <c r="E1074" s="912"/>
    </row>
    <row r="1075" spans="1:5" ht="15.75" x14ac:dyDescent="0.25">
      <c r="A1075" s="869"/>
      <c r="B1075" s="912"/>
      <c r="C1075" s="912"/>
      <c r="D1075" s="912"/>
      <c r="E1075" s="912"/>
    </row>
    <row r="1076" spans="1:5" ht="15.75" x14ac:dyDescent="0.25">
      <c r="A1076" s="869"/>
      <c r="B1076" s="912"/>
      <c r="C1076" s="912"/>
      <c r="D1076" s="912"/>
      <c r="E1076" s="912"/>
    </row>
    <row r="1077" spans="1:5" ht="15.75" x14ac:dyDescent="0.25">
      <c r="A1077" s="869"/>
      <c r="B1077" s="912"/>
      <c r="C1077" s="912"/>
      <c r="D1077" s="912"/>
      <c r="E1077" s="912"/>
    </row>
    <row r="1078" spans="1:5" ht="15.75" x14ac:dyDescent="0.25">
      <c r="A1078" s="869"/>
      <c r="B1078" s="912"/>
      <c r="C1078" s="912"/>
      <c r="D1078" s="912"/>
      <c r="E1078" s="912"/>
    </row>
    <row r="1079" spans="1:5" ht="15.75" x14ac:dyDescent="0.25">
      <c r="A1079" s="869"/>
      <c r="B1079" s="912"/>
      <c r="C1079" s="912"/>
      <c r="D1079" s="912"/>
      <c r="E1079" s="912"/>
    </row>
    <row r="1080" spans="1:5" ht="15.75" x14ac:dyDescent="0.25">
      <c r="A1080" s="869"/>
      <c r="B1080" s="912"/>
      <c r="C1080" s="912"/>
      <c r="D1080" s="912"/>
      <c r="E1080" s="912"/>
    </row>
    <row r="1081" spans="1:5" ht="15.75" x14ac:dyDescent="0.25">
      <c r="A1081" s="869"/>
      <c r="B1081" s="912"/>
      <c r="C1081" s="912"/>
      <c r="D1081" s="912"/>
      <c r="E1081" s="912"/>
    </row>
    <row r="1082" spans="1:5" ht="15.75" x14ac:dyDescent="0.25">
      <c r="A1082" s="869"/>
      <c r="B1082" s="912"/>
      <c r="C1082" s="912"/>
      <c r="D1082" s="912"/>
      <c r="E1082" s="912"/>
    </row>
    <row r="1083" spans="1:5" ht="15.75" x14ac:dyDescent="0.25">
      <c r="A1083" s="869"/>
      <c r="B1083" s="912"/>
      <c r="C1083" s="912"/>
      <c r="D1083" s="912"/>
      <c r="E1083" s="912"/>
    </row>
    <row r="1084" spans="1:5" ht="15.75" x14ac:dyDescent="0.25">
      <c r="A1084" s="869"/>
      <c r="B1084" s="912"/>
      <c r="C1084" s="912"/>
      <c r="D1084" s="912"/>
      <c r="E1084" s="912"/>
    </row>
    <row r="1085" spans="1:5" ht="15.75" x14ac:dyDescent="0.25">
      <c r="A1085" s="869"/>
      <c r="B1085" s="912"/>
      <c r="C1085" s="912"/>
      <c r="D1085" s="912"/>
      <c r="E1085" s="912"/>
    </row>
    <row r="1086" spans="1:5" ht="15.75" x14ac:dyDescent="0.25">
      <c r="A1086" s="869"/>
      <c r="B1086" s="912"/>
      <c r="C1086" s="912"/>
      <c r="D1086" s="912"/>
      <c r="E1086" s="912"/>
    </row>
    <row r="1087" spans="1:5" ht="15.75" x14ac:dyDescent="0.25">
      <c r="A1087" s="869"/>
      <c r="B1087" s="912"/>
      <c r="C1087" s="912"/>
      <c r="D1087" s="912"/>
      <c r="E1087" s="912"/>
    </row>
    <row r="1088" spans="1:5" ht="15.75" x14ac:dyDescent="0.25">
      <c r="A1088" s="869"/>
      <c r="B1088" s="912"/>
      <c r="C1088" s="912"/>
      <c r="D1088" s="912"/>
      <c r="E1088" s="912"/>
    </row>
    <row r="1089" spans="1:5" ht="15.75" x14ac:dyDescent="0.25">
      <c r="A1089" s="869"/>
      <c r="B1089" s="912"/>
      <c r="C1089" s="912"/>
      <c r="D1089" s="912"/>
      <c r="E1089" s="912"/>
    </row>
    <row r="1090" spans="1:5" ht="15.75" x14ac:dyDescent="0.25">
      <c r="A1090" s="869"/>
      <c r="B1090" s="912"/>
      <c r="C1090" s="912"/>
      <c r="D1090" s="912"/>
      <c r="E1090" s="912"/>
    </row>
    <row r="1091" spans="1:5" ht="15.75" x14ac:dyDescent="0.25">
      <c r="A1091" s="869"/>
      <c r="B1091" s="912"/>
      <c r="C1091" s="912"/>
      <c r="D1091" s="912"/>
      <c r="E1091" s="912"/>
    </row>
    <row r="1092" spans="1:5" ht="15.75" x14ac:dyDescent="0.25">
      <c r="A1092" s="869"/>
      <c r="B1092" s="912"/>
      <c r="C1092" s="912"/>
      <c r="D1092" s="912"/>
      <c r="E1092" s="912"/>
    </row>
    <row r="1093" spans="1:5" ht="15.75" x14ac:dyDescent="0.25">
      <c r="A1093" s="869"/>
      <c r="B1093" s="912"/>
      <c r="C1093" s="912"/>
      <c r="D1093" s="912"/>
      <c r="E1093" s="912"/>
    </row>
    <row r="1094" spans="1:5" ht="15.75" x14ac:dyDescent="0.25">
      <c r="A1094" s="869"/>
      <c r="B1094" s="912"/>
      <c r="C1094" s="912"/>
      <c r="D1094" s="912"/>
      <c r="E1094" s="912"/>
    </row>
    <row r="1095" spans="1:5" ht="15.75" x14ac:dyDescent="0.25">
      <c r="A1095" s="869"/>
      <c r="B1095" s="912"/>
      <c r="C1095" s="912"/>
      <c r="D1095" s="912"/>
      <c r="E1095" s="912"/>
    </row>
    <row r="1096" spans="1:5" ht="15.75" x14ac:dyDescent="0.25">
      <c r="A1096" s="869"/>
      <c r="B1096" s="912"/>
      <c r="C1096" s="912"/>
      <c r="D1096" s="912"/>
      <c r="E1096" s="912"/>
    </row>
    <row r="1097" spans="1:5" ht="15.75" x14ac:dyDescent="0.25">
      <c r="A1097" s="869"/>
      <c r="B1097" s="912"/>
      <c r="C1097" s="912"/>
      <c r="D1097" s="912"/>
      <c r="E1097" s="912"/>
    </row>
    <row r="1098" spans="1:5" ht="15.75" x14ac:dyDescent="0.25">
      <c r="A1098" s="869"/>
      <c r="B1098" s="912"/>
      <c r="C1098" s="912"/>
      <c r="D1098" s="912"/>
      <c r="E1098" s="912"/>
    </row>
    <row r="1099" spans="1:5" ht="15.75" x14ac:dyDescent="0.25">
      <c r="A1099" s="869"/>
      <c r="B1099" s="912"/>
      <c r="C1099" s="912"/>
      <c r="D1099" s="912"/>
      <c r="E1099" s="912"/>
    </row>
    <row r="1100" spans="1:5" ht="15.75" x14ac:dyDescent="0.25">
      <c r="A1100" s="869"/>
      <c r="B1100" s="912"/>
      <c r="C1100" s="912"/>
      <c r="D1100" s="912"/>
      <c r="E1100" s="912"/>
    </row>
    <row r="1101" spans="1:5" ht="15.75" x14ac:dyDescent="0.25">
      <c r="A1101" s="869"/>
      <c r="B1101" s="912"/>
      <c r="C1101" s="912"/>
      <c r="D1101" s="912"/>
      <c r="E1101" s="912"/>
    </row>
    <row r="1102" spans="1:5" ht="15.75" x14ac:dyDescent="0.25">
      <c r="A1102" s="869"/>
      <c r="B1102" s="912"/>
      <c r="C1102" s="912"/>
      <c r="D1102" s="912"/>
      <c r="E1102" s="912"/>
    </row>
    <row r="1103" spans="1:5" ht="15.75" x14ac:dyDescent="0.25">
      <c r="A1103" s="869"/>
      <c r="B1103" s="912"/>
      <c r="C1103" s="912"/>
      <c r="D1103" s="912"/>
      <c r="E1103" s="912"/>
    </row>
    <row r="1104" spans="1:5" ht="15.75" x14ac:dyDescent="0.25">
      <c r="A1104" s="869"/>
      <c r="B1104" s="912"/>
      <c r="C1104" s="912"/>
      <c r="D1104" s="912"/>
      <c r="E1104" s="912"/>
    </row>
    <row r="1105" spans="1:5" ht="15.75" x14ac:dyDescent="0.25">
      <c r="A1105" s="869"/>
      <c r="B1105" s="912"/>
      <c r="C1105" s="912"/>
      <c r="D1105" s="912"/>
      <c r="E1105" s="912"/>
    </row>
    <row r="1106" spans="1:5" ht="15.75" x14ac:dyDescent="0.25">
      <c r="A1106" s="869"/>
      <c r="B1106" s="912"/>
      <c r="C1106" s="912"/>
      <c r="D1106" s="912"/>
      <c r="E1106" s="912"/>
    </row>
    <row r="1107" spans="1:5" ht="15.75" x14ac:dyDescent="0.25">
      <c r="A1107" s="869"/>
      <c r="B1107" s="912"/>
      <c r="C1107" s="912"/>
      <c r="D1107" s="912"/>
      <c r="E1107" s="912"/>
    </row>
    <row r="1108" spans="1:5" ht="15.75" x14ac:dyDescent="0.25">
      <c r="A1108" s="869"/>
      <c r="B1108" s="912"/>
      <c r="C1108" s="912"/>
      <c r="D1108" s="912"/>
      <c r="E1108" s="912"/>
    </row>
    <row r="1109" spans="1:5" ht="15.75" x14ac:dyDescent="0.25">
      <c r="A1109" s="869"/>
      <c r="B1109" s="912"/>
      <c r="C1109" s="912"/>
      <c r="D1109" s="912"/>
      <c r="E1109" s="912"/>
    </row>
    <row r="1110" spans="1:5" ht="15.75" x14ac:dyDescent="0.25">
      <c r="A1110" s="869"/>
      <c r="B1110" s="912"/>
      <c r="C1110" s="912"/>
      <c r="D1110" s="912"/>
      <c r="E1110" s="912"/>
    </row>
    <row r="1111" spans="1:5" ht="15.75" x14ac:dyDescent="0.25">
      <c r="A1111" s="869"/>
      <c r="B1111" s="912"/>
      <c r="C1111" s="912"/>
      <c r="D1111" s="912"/>
      <c r="E1111" s="912"/>
    </row>
    <row r="1112" spans="1:5" ht="15.75" x14ac:dyDescent="0.25">
      <c r="A1112" s="869"/>
      <c r="B1112" s="912"/>
      <c r="C1112" s="912"/>
      <c r="D1112" s="912"/>
      <c r="E1112" s="912"/>
    </row>
    <row r="1113" spans="1:5" ht="15.75" x14ac:dyDescent="0.25">
      <c r="A1113" s="869"/>
      <c r="B1113" s="912"/>
      <c r="C1113" s="912"/>
      <c r="D1113" s="912"/>
      <c r="E1113" s="912"/>
    </row>
    <row r="1114" spans="1:5" ht="15.75" x14ac:dyDescent="0.25">
      <c r="A1114" s="869"/>
      <c r="B1114" s="912"/>
      <c r="C1114" s="912"/>
      <c r="D1114" s="912"/>
      <c r="E1114" s="912"/>
    </row>
    <row r="1115" spans="1:5" ht="15.75" x14ac:dyDescent="0.25">
      <c r="A1115" s="869"/>
      <c r="B1115" s="912"/>
      <c r="C1115" s="912"/>
      <c r="D1115" s="912"/>
      <c r="E1115" s="912"/>
    </row>
    <row r="1116" spans="1:5" ht="15.75" x14ac:dyDescent="0.25">
      <c r="A1116" s="869"/>
      <c r="B1116" s="912"/>
      <c r="C1116" s="912"/>
      <c r="D1116" s="912"/>
      <c r="E1116" s="912"/>
    </row>
    <row r="1117" spans="1:5" ht="15.75" x14ac:dyDescent="0.25">
      <c r="A1117" s="869"/>
      <c r="B1117" s="912"/>
      <c r="C1117" s="912"/>
      <c r="D1117" s="912"/>
      <c r="E1117" s="912"/>
    </row>
    <row r="1118" spans="1:5" ht="15.75" x14ac:dyDescent="0.25">
      <c r="A1118" s="869"/>
      <c r="B1118" s="912"/>
      <c r="C1118" s="912"/>
      <c r="D1118" s="912"/>
      <c r="E1118" s="912"/>
    </row>
    <row r="1119" spans="1:5" ht="15.75" x14ac:dyDescent="0.25">
      <c r="A1119" s="869"/>
      <c r="B1119" s="912"/>
      <c r="C1119" s="912"/>
      <c r="D1119" s="912"/>
      <c r="E1119" s="912"/>
    </row>
    <row r="1120" spans="1:5" ht="15.75" x14ac:dyDescent="0.25">
      <c r="A1120" s="869"/>
      <c r="B1120" s="912"/>
      <c r="C1120" s="912"/>
      <c r="D1120" s="912"/>
      <c r="E1120" s="912"/>
    </row>
    <row r="1121" spans="1:5" ht="15.75" x14ac:dyDescent="0.25">
      <c r="A1121" s="869"/>
      <c r="B1121" s="912"/>
      <c r="C1121" s="912"/>
      <c r="D1121" s="912"/>
      <c r="E1121" s="912"/>
    </row>
    <row r="1122" spans="1:5" ht="15.75" x14ac:dyDescent="0.25">
      <c r="A1122" s="869"/>
      <c r="B1122" s="912"/>
      <c r="C1122" s="912"/>
      <c r="D1122" s="912"/>
      <c r="E1122" s="912"/>
    </row>
    <row r="1123" spans="1:5" ht="15.75" x14ac:dyDescent="0.25">
      <c r="A1123" s="869"/>
      <c r="B1123" s="912"/>
      <c r="C1123" s="912"/>
      <c r="D1123" s="912"/>
      <c r="E1123" s="912"/>
    </row>
    <row r="1124" spans="1:5" ht="15.75" x14ac:dyDescent="0.25">
      <c r="A1124" s="869"/>
      <c r="B1124" s="912"/>
      <c r="C1124" s="912"/>
      <c r="D1124" s="912"/>
      <c r="E1124" s="912"/>
    </row>
    <row r="1125" spans="1:5" ht="15.75" x14ac:dyDescent="0.25">
      <c r="A1125" s="869"/>
      <c r="B1125" s="912"/>
      <c r="C1125" s="912"/>
      <c r="D1125" s="912"/>
      <c r="E1125" s="912"/>
    </row>
    <row r="1126" spans="1:5" ht="15.75" x14ac:dyDescent="0.25">
      <c r="A1126" s="869"/>
      <c r="B1126" s="912"/>
      <c r="C1126" s="912"/>
      <c r="D1126" s="912"/>
      <c r="E1126" s="912"/>
    </row>
    <row r="1127" spans="1:5" ht="15.75" x14ac:dyDescent="0.25">
      <c r="A1127" s="869"/>
      <c r="B1127" s="912"/>
      <c r="C1127" s="912"/>
      <c r="D1127" s="912"/>
      <c r="E1127" s="912"/>
    </row>
    <row r="1128" spans="1:5" ht="15.75" x14ac:dyDescent="0.25">
      <c r="A1128" s="869"/>
      <c r="B1128" s="912"/>
      <c r="C1128" s="912"/>
      <c r="D1128" s="912"/>
      <c r="E1128" s="912"/>
    </row>
    <row r="1129" spans="1:5" ht="15.75" x14ac:dyDescent="0.25">
      <c r="A1129" s="869"/>
      <c r="B1129" s="912"/>
      <c r="C1129" s="912"/>
      <c r="D1129" s="912"/>
      <c r="E1129" s="912"/>
    </row>
    <row r="1130" spans="1:5" ht="15.75" x14ac:dyDescent="0.25">
      <c r="A1130" s="869"/>
      <c r="B1130" s="912"/>
      <c r="C1130" s="912"/>
      <c r="D1130" s="912"/>
      <c r="E1130" s="912"/>
    </row>
    <row r="1131" spans="1:5" ht="15.75" x14ac:dyDescent="0.25">
      <c r="A1131" s="869"/>
      <c r="B1131" s="912"/>
      <c r="C1131" s="912"/>
      <c r="D1131" s="912"/>
      <c r="E1131" s="912"/>
    </row>
    <row r="1132" spans="1:5" ht="15.75" x14ac:dyDescent="0.25">
      <c r="A1132" s="869"/>
      <c r="B1132" s="912"/>
      <c r="C1132" s="912"/>
      <c r="D1132" s="912"/>
      <c r="E1132" s="912"/>
    </row>
    <row r="1133" spans="1:5" ht="15.75" x14ac:dyDescent="0.25">
      <c r="A1133" s="869"/>
      <c r="B1133" s="912"/>
      <c r="C1133" s="912"/>
      <c r="D1133" s="912"/>
      <c r="E1133" s="912"/>
    </row>
    <row r="1134" spans="1:5" ht="15.75" x14ac:dyDescent="0.25">
      <c r="A1134" s="869"/>
      <c r="B1134" s="912"/>
      <c r="C1134" s="912"/>
      <c r="D1134" s="912"/>
      <c r="E1134" s="912"/>
    </row>
    <row r="1135" spans="1:5" ht="15.75" x14ac:dyDescent="0.25">
      <c r="A1135" s="869"/>
      <c r="B1135" s="912"/>
      <c r="C1135" s="912"/>
      <c r="D1135" s="912"/>
      <c r="E1135" s="912"/>
    </row>
    <row r="1136" spans="1:5" ht="15.75" x14ac:dyDescent="0.25">
      <c r="A1136" s="869"/>
      <c r="B1136" s="912"/>
      <c r="C1136" s="912"/>
      <c r="D1136" s="912"/>
      <c r="E1136" s="912"/>
    </row>
    <row r="1137" spans="1:5" ht="15.75" x14ac:dyDescent="0.25">
      <c r="A1137" s="869"/>
      <c r="B1137" s="912"/>
      <c r="C1137" s="912"/>
      <c r="D1137" s="912"/>
      <c r="E1137" s="912"/>
    </row>
    <row r="1138" spans="1:5" ht="15.75" x14ac:dyDescent="0.25">
      <c r="A1138" s="869"/>
      <c r="B1138" s="912"/>
      <c r="C1138" s="912"/>
      <c r="D1138" s="912"/>
      <c r="E1138" s="912"/>
    </row>
    <row r="1139" spans="1:5" ht="15.75" x14ac:dyDescent="0.25">
      <c r="A1139" s="869"/>
      <c r="B1139" s="912"/>
      <c r="C1139" s="912"/>
      <c r="D1139" s="912"/>
      <c r="E1139" s="912"/>
    </row>
    <row r="1140" spans="1:5" ht="15.75" x14ac:dyDescent="0.25">
      <c r="A1140" s="869"/>
      <c r="B1140" s="912"/>
      <c r="C1140" s="912"/>
      <c r="D1140" s="912"/>
      <c r="E1140" s="912"/>
    </row>
    <row r="1141" spans="1:5" ht="15.75" x14ac:dyDescent="0.25">
      <c r="A1141" s="869"/>
      <c r="B1141" s="912"/>
      <c r="C1141" s="912"/>
      <c r="D1141" s="912"/>
      <c r="E1141" s="912"/>
    </row>
    <row r="1142" spans="1:5" ht="15.75" x14ac:dyDescent="0.25">
      <c r="A1142" s="869"/>
      <c r="B1142" s="912"/>
      <c r="C1142" s="912"/>
      <c r="D1142" s="912"/>
      <c r="E1142" s="912"/>
    </row>
    <row r="1143" spans="1:5" ht="15.75" x14ac:dyDescent="0.25">
      <c r="A1143" s="869"/>
      <c r="B1143" s="912"/>
      <c r="C1143" s="912"/>
      <c r="D1143" s="912"/>
      <c r="E1143" s="912"/>
    </row>
    <row r="1144" spans="1:5" ht="15.75" x14ac:dyDescent="0.25">
      <c r="A1144" s="869"/>
      <c r="B1144" s="912"/>
      <c r="C1144" s="912"/>
      <c r="D1144" s="912"/>
      <c r="E1144" s="912"/>
    </row>
    <row r="1145" spans="1:5" ht="15.75" x14ac:dyDescent="0.25">
      <c r="A1145" s="869"/>
      <c r="B1145" s="912"/>
      <c r="C1145" s="912"/>
      <c r="D1145" s="912"/>
      <c r="E1145" s="912"/>
    </row>
    <row r="1146" spans="1:5" ht="15.75" x14ac:dyDescent="0.25">
      <c r="A1146" s="869"/>
      <c r="B1146" s="912"/>
      <c r="C1146" s="912"/>
      <c r="D1146" s="912"/>
      <c r="E1146" s="912"/>
    </row>
    <row r="1147" spans="1:5" ht="15.75" x14ac:dyDescent="0.25">
      <c r="A1147" s="869"/>
      <c r="B1147" s="912"/>
      <c r="C1147" s="912"/>
      <c r="D1147" s="912"/>
      <c r="E1147" s="912"/>
    </row>
    <row r="1148" spans="1:5" ht="15.75" x14ac:dyDescent="0.25">
      <c r="A1148" s="869"/>
      <c r="B1148" s="912"/>
      <c r="C1148" s="912"/>
      <c r="D1148" s="912"/>
      <c r="E1148" s="912"/>
    </row>
    <row r="1149" spans="1:5" ht="15.75" x14ac:dyDescent="0.25">
      <c r="A1149" s="869"/>
      <c r="B1149" s="912"/>
      <c r="C1149" s="912"/>
      <c r="D1149" s="912"/>
      <c r="E1149" s="912"/>
    </row>
    <row r="1150" spans="1:5" ht="15.75" x14ac:dyDescent="0.25">
      <c r="A1150" s="869"/>
      <c r="B1150" s="912"/>
      <c r="C1150" s="912"/>
      <c r="D1150" s="912"/>
      <c r="E1150" s="912"/>
    </row>
    <row r="1151" spans="1:5" ht="15.75" x14ac:dyDescent="0.25">
      <c r="A1151" s="869"/>
      <c r="B1151" s="912"/>
      <c r="C1151" s="912"/>
      <c r="D1151" s="912"/>
      <c r="E1151" s="912"/>
    </row>
    <row r="1152" spans="1:5" ht="15.75" x14ac:dyDescent="0.25">
      <c r="A1152" s="869"/>
      <c r="B1152" s="912"/>
      <c r="C1152" s="912"/>
      <c r="D1152" s="912"/>
      <c r="E1152" s="912"/>
    </row>
    <row r="1153" spans="1:5" ht="15.75" x14ac:dyDescent="0.25">
      <c r="A1153" s="869"/>
      <c r="B1153" s="912"/>
      <c r="C1153" s="912"/>
      <c r="D1153" s="912"/>
      <c r="E1153" s="912"/>
    </row>
    <row r="1154" spans="1:5" ht="15.75" x14ac:dyDescent="0.25">
      <c r="A1154" s="869"/>
      <c r="B1154" s="912"/>
      <c r="C1154" s="912"/>
      <c r="D1154" s="912"/>
      <c r="E1154" s="912"/>
    </row>
    <row r="1155" spans="1:5" ht="15.75" x14ac:dyDescent="0.25">
      <c r="A1155" s="869"/>
      <c r="B1155" s="912"/>
      <c r="C1155" s="912"/>
      <c r="D1155" s="912"/>
      <c r="E1155" s="912"/>
    </row>
    <row r="1156" spans="1:5" ht="15.75" x14ac:dyDescent="0.25">
      <c r="A1156" s="869"/>
      <c r="B1156" s="912"/>
      <c r="C1156" s="912"/>
      <c r="D1156" s="912"/>
      <c r="E1156" s="912"/>
    </row>
    <row r="1157" spans="1:5" ht="15.75" x14ac:dyDescent="0.25">
      <c r="A1157" s="869"/>
      <c r="B1157" s="912"/>
      <c r="C1157" s="912"/>
      <c r="D1157" s="912"/>
      <c r="E1157" s="912"/>
    </row>
    <row r="1158" spans="1:5" ht="15.75" x14ac:dyDescent="0.25">
      <c r="A1158" s="869"/>
      <c r="B1158" s="912"/>
      <c r="C1158" s="912"/>
      <c r="D1158" s="912"/>
      <c r="E1158" s="912"/>
    </row>
    <row r="1159" spans="1:5" ht="15.75" x14ac:dyDescent="0.25">
      <c r="A1159" s="869"/>
      <c r="B1159" s="912"/>
      <c r="C1159" s="912"/>
      <c r="D1159" s="912"/>
      <c r="E1159" s="912"/>
    </row>
    <row r="1160" spans="1:5" ht="15.75" x14ac:dyDescent="0.25">
      <c r="A1160" s="869"/>
      <c r="B1160" s="912"/>
      <c r="C1160" s="912"/>
      <c r="D1160" s="912"/>
      <c r="E1160" s="912"/>
    </row>
    <row r="1161" spans="1:5" ht="15.75" x14ac:dyDescent="0.25">
      <c r="A1161" s="869"/>
      <c r="B1161" s="912"/>
      <c r="C1161" s="912"/>
      <c r="D1161" s="912"/>
      <c r="E1161" s="912"/>
    </row>
    <row r="1162" spans="1:5" ht="15.75" x14ac:dyDescent="0.25">
      <c r="A1162" s="869"/>
      <c r="B1162" s="912"/>
      <c r="C1162" s="912"/>
      <c r="D1162" s="912"/>
      <c r="E1162" s="912"/>
    </row>
    <row r="1163" spans="1:5" ht="15.75" x14ac:dyDescent="0.25">
      <c r="A1163" s="869"/>
      <c r="B1163" s="912"/>
      <c r="C1163" s="912"/>
      <c r="D1163" s="912"/>
      <c r="E1163" s="912"/>
    </row>
    <row r="1164" spans="1:5" ht="15.75" x14ac:dyDescent="0.25">
      <c r="A1164" s="869"/>
      <c r="B1164" s="912"/>
      <c r="C1164" s="912"/>
      <c r="D1164" s="912"/>
      <c r="E1164" s="912"/>
    </row>
    <row r="1165" spans="1:5" ht="15.75" x14ac:dyDescent="0.25">
      <c r="A1165" s="869"/>
      <c r="B1165" s="912"/>
      <c r="C1165" s="912"/>
      <c r="D1165" s="912"/>
      <c r="E1165" s="912"/>
    </row>
    <row r="1166" spans="1:5" ht="15.75" x14ac:dyDescent="0.25">
      <c r="A1166" s="869"/>
      <c r="B1166" s="912"/>
      <c r="C1166" s="912"/>
      <c r="D1166" s="912"/>
      <c r="E1166" s="912"/>
    </row>
    <row r="1167" spans="1:5" ht="15.75" x14ac:dyDescent="0.25">
      <c r="A1167" s="869"/>
      <c r="B1167" s="912"/>
      <c r="C1167" s="912"/>
      <c r="D1167" s="912"/>
      <c r="E1167" s="912"/>
    </row>
    <row r="1168" spans="1:5" ht="15.75" x14ac:dyDescent="0.25">
      <c r="A1168" s="869"/>
      <c r="B1168" s="912"/>
      <c r="C1168" s="912"/>
      <c r="D1168" s="912"/>
      <c r="E1168" s="912"/>
    </row>
    <row r="1169" spans="1:5" ht="15.75" x14ac:dyDescent="0.25">
      <c r="A1169" s="869"/>
      <c r="B1169" s="912"/>
      <c r="C1169" s="912"/>
      <c r="D1169" s="912"/>
      <c r="E1169" s="912"/>
    </row>
    <row r="1170" spans="1:5" ht="15.75" x14ac:dyDescent="0.25">
      <c r="A1170" s="869"/>
      <c r="B1170" s="912"/>
      <c r="C1170" s="912"/>
      <c r="D1170" s="912"/>
      <c r="E1170" s="912"/>
    </row>
    <row r="1171" spans="1:5" ht="15.75" x14ac:dyDescent="0.25">
      <c r="A1171" s="869"/>
      <c r="B1171" s="912"/>
      <c r="C1171" s="912"/>
      <c r="D1171" s="912"/>
      <c r="E1171" s="912"/>
    </row>
    <row r="1172" spans="1:5" ht="15.75" x14ac:dyDescent="0.25">
      <c r="A1172" s="869"/>
      <c r="B1172" s="912"/>
      <c r="C1172" s="912"/>
      <c r="D1172" s="912"/>
      <c r="E1172" s="912"/>
    </row>
    <row r="1173" spans="1:5" ht="15.75" x14ac:dyDescent="0.25">
      <c r="A1173" s="869"/>
      <c r="B1173" s="912"/>
      <c r="C1173" s="912"/>
      <c r="D1173" s="912"/>
      <c r="E1173" s="912"/>
    </row>
    <row r="1174" spans="1:5" ht="15.75" x14ac:dyDescent="0.25">
      <c r="A1174" s="869"/>
      <c r="B1174" s="912"/>
      <c r="C1174" s="912"/>
      <c r="D1174" s="912"/>
      <c r="E1174" s="912"/>
    </row>
    <row r="1175" spans="1:5" ht="15.75" x14ac:dyDescent="0.25">
      <c r="A1175" s="869"/>
      <c r="B1175" s="912"/>
      <c r="C1175" s="912"/>
      <c r="D1175" s="912"/>
      <c r="E1175" s="912"/>
    </row>
    <row r="1176" spans="1:5" ht="15.75" x14ac:dyDescent="0.25">
      <c r="A1176" s="869"/>
      <c r="B1176" s="912"/>
      <c r="C1176" s="912"/>
      <c r="D1176" s="912"/>
      <c r="E1176" s="912"/>
    </row>
    <row r="1177" spans="1:5" ht="15.75" x14ac:dyDescent="0.25">
      <c r="A1177" s="869"/>
      <c r="B1177" s="912"/>
      <c r="C1177" s="912"/>
      <c r="D1177" s="912"/>
      <c r="E1177" s="912"/>
    </row>
    <row r="1178" spans="1:5" ht="15.75" x14ac:dyDescent="0.25">
      <c r="A1178" s="869"/>
      <c r="B1178" s="912"/>
      <c r="C1178" s="912"/>
      <c r="D1178" s="912"/>
      <c r="E1178" s="912"/>
    </row>
    <row r="1179" spans="1:5" ht="15.75" x14ac:dyDescent="0.25">
      <c r="A1179" s="869"/>
      <c r="B1179" s="912"/>
      <c r="C1179" s="912"/>
      <c r="D1179" s="912"/>
      <c r="E1179" s="912"/>
    </row>
    <row r="1180" spans="1:5" ht="15.75" x14ac:dyDescent="0.25">
      <c r="A1180" s="869"/>
      <c r="B1180" s="912"/>
      <c r="C1180" s="912"/>
      <c r="D1180" s="912"/>
      <c r="E1180" s="912"/>
    </row>
    <row r="1181" spans="1:5" ht="15.75" x14ac:dyDescent="0.25">
      <c r="A1181" s="869"/>
      <c r="B1181" s="912"/>
      <c r="C1181" s="912"/>
      <c r="D1181" s="912"/>
      <c r="E1181" s="912"/>
    </row>
    <row r="1182" spans="1:5" ht="15.75" x14ac:dyDescent="0.25">
      <c r="A1182" s="869"/>
      <c r="B1182" s="912"/>
      <c r="C1182" s="912"/>
      <c r="D1182" s="912"/>
      <c r="E1182" s="912"/>
    </row>
    <row r="1183" spans="1:5" ht="15.75" x14ac:dyDescent="0.25">
      <c r="A1183" s="869"/>
      <c r="B1183" s="912"/>
      <c r="C1183" s="912"/>
      <c r="D1183" s="912"/>
      <c r="E1183" s="912"/>
    </row>
    <row r="1184" spans="1:5" ht="15.75" x14ac:dyDescent="0.25">
      <c r="A1184" s="869"/>
      <c r="B1184" s="912"/>
      <c r="C1184" s="912"/>
      <c r="D1184" s="912"/>
      <c r="E1184" s="912"/>
    </row>
    <row r="1185" spans="1:5" ht="15.75" x14ac:dyDescent="0.25">
      <c r="A1185" s="869"/>
      <c r="B1185" s="912"/>
      <c r="C1185" s="912"/>
      <c r="D1185" s="912"/>
      <c r="E1185" s="912"/>
    </row>
    <row r="1186" spans="1:5" ht="15.75" x14ac:dyDescent="0.25">
      <c r="A1186" s="869"/>
      <c r="B1186" s="912"/>
      <c r="C1186" s="912"/>
      <c r="D1186" s="912"/>
      <c r="E1186" s="912"/>
    </row>
    <row r="1187" spans="1:5" ht="15.75" x14ac:dyDescent="0.25">
      <c r="A1187" s="869"/>
      <c r="B1187" s="912"/>
      <c r="C1187" s="912"/>
      <c r="D1187" s="912"/>
      <c r="E1187" s="912"/>
    </row>
    <row r="1188" spans="1:5" ht="15.75" x14ac:dyDescent="0.25">
      <c r="A1188" s="869"/>
      <c r="B1188" s="912"/>
      <c r="C1188" s="912"/>
      <c r="D1188" s="912"/>
      <c r="E1188" s="912"/>
    </row>
    <row r="1189" spans="1:5" ht="15.75" x14ac:dyDescent="0.25">
      <c r="A1189" s="869"/>
      <c r="B1189" s="912"/>
      <c r="C1189" s="912"/>
      <c r="D1189" s="912"/>
      <c r="E1189" s="912"/>
    </row>
    <row r="1190" spans="1:5" ht="15.75" x14ac:dyDescent="0.25">
      <c r="A1190" s="869"/>
      <c r="B1190" s="912"/>
      <c r="C1190" s="912"/>
      <c r="D1190" s="912"/>
      <c r="E1190" s="912"/>
    </row>
    <row r="1191" spans="1:5" ht="15.75" x14ac:dyDescent="0.25">
      <c r="A1191" s="869"/>
      <c r="B1191" s="912"/>
      <c r="C1191" s="912"/>
      <c r="D1191" s="912"/>
      <c r="E1191" s="912"/>
    </row>
    <row r="1192" spans="1:5" ht="15.75" x14ac:dyDescent="0.25">
      <c r="A1192" s="869"/>
      <c r="B1192" s="912"/>
      <c r="C1192" s="912"/>
      <c r="D1192" s="912"/>
      <c r="E1192" s="912"/>
    </row>
    <row r="1193" spans="1:5" ht="15.75" x14ac:dyDescent="0.25">
      <c r="A1193" s="869"/>
      <c r="B1193" s="912"/>
      <c r="C1193" s="912"/>
      <c r="D1193" s="912"/>
      <c r="E1193" s="912"/>
    </row>
    <row r="1194" spans="1:5" ht="15.75" x14ac:dyDescent="0.25">
      <c r="A1194" s="869"/>
      <c r="B1194" s="912"/>
      <c r="C1194" s="912"/>
      <c r="D1194" s="912"/>
      <c r="E1194" s="912"/>
    </row>
    <row r="1195" spans="1:5" ht="15.75" x14ac:dyDescent="0.25">
      <c r="A1195" s="869"/>
      <c r="B1195" s="912"/>
      <c r="C1195" s="912"/>
      <c r="D1195" s="912"/>
      <c r="E1195" s="912"/>
    </row>
    <row r="1196" spans="1:5" ht="15.75" x14ac:dyDescent="0.25">
      <c r="A1196" s="869"/>
      <c r="B1196" s="912"/>
      <c r="C1196" s="912"/>
      <c r="D1196" s="912"/>
      <c r="E1196" s="912"/>
    </row>
    <row r="1197" spans="1:5" ht="15.75" x14ac:dyDescent="0.25">
      <c r="A1197" s="869"/>
      <c r="B1197" s="912"/>
      <c r="C1197" s="912"/>
      <c r="D1197" s="912"/>
      <c r="E1197" s="912"/>
    </row>
    <row r="1198" spans="1:5" ht="15.75" x14ac:dyDescent="0.25">
      <c r="A1198" s="869"/>
      <c r="B1198" s="912"/>
      <c r="C1198" s="912"/>
      <c r="D1198" s="912"/>
      <c r="E1198" s="912"/>
    </row>
    <row r="1199" spans="1:5" ht="15.75" x14ac:dyDescent="0.25">
      <c r="A1199" s="869"/>
      <c r="B1199" s="912"/>
      <c r="C1199" s="912"/>
      <c r="D1199" s="912"/>
      <c r="E1199" s="912"/>
    </row>
    <row r="1200" spans="1:5" ht="15.75" x14ac:dyDescent="0.25">
      <c r="A1200" s="869"/>
      <c r="B1200" s="912"/>
      <c r="C1200" s="912"/>
      <c r="D1200" s="912"/>
      <c r="E1200" s="912"/>
    </row>
    <row r="1201" spans="1:5" ht="15.75" x14ac:dyDescent="0.25">
      <c r="A1201" s="869"/>
      <c r="B1201" s="912"/>
      <c r="C1201" s="912"/>
      <c r="D1201" s="912"/>
      <c r="E1201" s="912"/>
    </row>
    <row r="1202" spans="1:5" ht="15.75" x14ac:dyDescent="0.25">
      <c r="A1202" s="869"/>
      <c r="B1202" s="912"/>
      <c r="C1202" s="912"/>
      <c r="D1202" s="912"/>
      <c r="E1202" s="912"/>
    </row>
    <row r="1203" spans="1:5" ht="15.75" x14ac:dyDescent="0.25">
      <c r="A1203" s="869"/>
      <c r="B1203" s="912"/>
      <c r="C1203" s="912"/>
      <c r="D1203" s="912"/>
      <c r="E1203" s="912"/>
    </row>
    <row r="1204" spans="1:5" ht="15.75" x14ac:dyDescent="0.25">
      <c r="A1204" s="869"/>
      <c r="B1204" s="912"/>
      <c r="C1204" s="912"/>
      <c r="D1204" s="912"/>
      <c r="E1204" s="912"/>
    </row>
    <row r="1205" spans="1:5" ht="15.75" x14ac:dyDescent="0.25">
      <c r="A1205" s="869"/>
      <c r="B1205" s="912"/>
      <c r="C1205" s="912"/>
      <c r="D1205" s="912"/>
      <c r="E1205" s="912"/>
    </row>
    <row r="1206" spans="1:5" ht="15.75" x14ac:dyDescent="0.25">
      <c r="A1206" s="869"/>
      <c r="B1206" s="912"/>
      <c r="C1206" s="912"/>
      <c r="D1206" s="912"/>
      <c r="E1206" s="912"/>
    </row>
    <row r="1207" spans="1:5" ht="15.75" x14ac:dyDescent="0.25">
      <c r="A1207" s="869"/>
      <c r="B1207" s="912"/>
      <c r="C1207" s="912"/>
      <c r="D1207" s="912"/>
      <c r="E1207" s="912"/>
    </row>
    <row r="1208" spans="1:5" ht="15.75" x14ac:dyDescent="0.25">
      <c r="A1208" s="869"/>
      <c r="B1208" s="912"/>
      <c r="C1208" s="912"/>
      <c r="D1208" s="912"/>
      <c r="E1208" s="912"/>
    </row>
    <row r="1209" spans="1:5" ht="15.75" x14ac:dyDescent="0.25">
      <c r="A1209" s="869"/>
      <c r="B1209" s="912"/>
      <c r="C1209" s="912"/>
      <c r="D1209" s="912"/>
      <c r="E1209" s="912"/>
    </row>
    <row r="1210" spans="1:5" ht="15.75" x14ac:dyDescent="0.25">
      <c r="A1210" s="869"/>
      <c r="B1210" s="912"/>
      <c r="C1210" s="912"/>
      <c r="D1210" s="912"/>
      <c r="E1210" s="912"/>
    </row>
    <row r="1211" spans="1:5" ht="15.75" x14ac:dyDescent="0.25">
      <c r="A1211" s="869"/>
      <c r="B1211" s="912"/>
      <c r="C1211" s="912"/>
      <c r="D1211" s="912"/>
      <c r="E1211" s="912"/>
    </row>
    <row r="1212" spans="1:5" ht="15.75" x14ac:dyDescent="0.25">
      <c r="A1212" s="869"/>
      <c r="B1212" s="912"/>
      <c r="C1212" s="912"/>
      <c r="D1212" s="912"/>
      <c r="E1212" s="912"/>
    </row>
    <row r="1213" spans="1:5" ht="15.75" x14ac:dyDescent="0.25">
      <c r="A1213" s="869"/>
      <c r="B1213" s="912"/>
      <c r="C1213" s="912"/>
      <c r="D1213" s="912"/>
      <c r="E1213" s="912"/>
    </row>
    <row r="1214" spans="1:5" ht="15.75" x14ac:dyDescent="0.25">
      <c r="A1214" s="869"/>
      <c r="B1214" s="912"/>
      <c r="C1214" s="912"/>
      <c r="D1214" s="912"/>
      <c r="E1214" s="912"/>
    </row>
    <row r="1215" spans="1:5" ht="15.75" x14ac:dyDescent="0.25">
      <c r="A1215" s="869"/>
      <c r="B1215" s="912"/>
      <c r="C1215" s="912"/>
      <c r="D1215" s="912"/>
      <c r="E1215" s="912"/>
    </row>
    <row r="1216" spans="1:5" ht="15.75" x14ac:dyDescent="0.25">
      <c r="A1216" s="869"/>
      <c r="B1216" s="912"/>
      <c r="C1216" s="912"/>
      <c r="D1216" s="912"/>
      <c r="E1216" s="912"/>
    </row>
    <row r="1217" spans="1:5" ht="15.75" x14ac:dyDescent="0.25">
      <c r="A1217" s="869"/>
      <c r="B1217" s="912"/>
      <c r="C1217" s="912"/>
      <c r="D1217" s="912"/>
      <c r="E1217" s="912"/>
    </row>
    <row r="1218" spans="1:5" ht="15.75" x14ac:dyDescent="0.25">
      <c r="A1218" s="869"/>
      <c r="B1218" s="912"/>
      <c r="C1218" s="912"/>
      <c r="D1218" s="912"/>
      <c r="E1218" s="912"/>
    </row>
    <row r="1219" spans="1:5" ht="15.75" x14ac:dyDescent="0.25">
      <c r="A1219" s="869"/>
      <c r="B1219" s="912"/>
      <c r="C1219" s="912"/>
      <c r="D1219" s="912"/>
      <c r="E1219" s="912"/>
    </row>
    <row r="1220" spans="1:5" ht="15.75" x14ac:dyDescent="0.25">
      <c r="A1220" s="869"/>
      <c r="B1220" s="912"/>
      <c r="C1220" s="912"/>
      <c r="D1220" s="912"/>
      <c r="E1220" s="912"/>
    </row>
    <row r="1221" spans="1:5" ht="15.75" x14ac:dyDescent="0.25">
      <c r="A1221" s="869"/>
      <c r="B1221" s="912"/>
      <c r="C1221" s="912"/>
      <c r="D1221" s="912"/>
      <c r="E1221" s="912"/>
    </row>
    <row r="1222" spans="1:5" ht="15.75" x14ac:dyDescent="0.25">
      <c r="A1222" s="869"/>
      <c r="B1222" s="912"/>
      <c r="C1222" s="912"/>
      <c r="D1222" s="912"/>
      <c r="E1222" s="912"/>
    </row>
    <row r="1223" spans="1:5" ht="15.75" x14ac:dyDescent="0.25">
      <c r="A1223" s="869"/>
      <c r="B1223" s="912"/>
      <c r="C1223" s="912"/>
      <c r="D1223" s="912"/>
      <c r="E1223" s="912"/>
    </row>
    <row r="1224" spans="1:5" ht="15.75" x14ac:dyDescent="0.25">
      <c r="A1224" s="869"/>
      <c r="B1224" s="912"/>
      <c r="C1224" s="912"/>
      <c r="D1224" s="912"/>
      <c r="E1224" s="912"/>
    </row>
    <row r="1225" spans="1:5" ht="15.75" x14ac:dyDescent="0.25">
      <c r="A1225" s="869"/>
      <c r="B1225" s="912"/>
      <c r="C1225" s="912"/>
      <c r="D1225" s="912"/>
      <c r="E1225" s="912"/>
    </row>
    <row r="1226" spans="1:5" ht="15.75" x14ac:dyDescent="0.25">
      <c r="A1226" s="869"/>
      <c r="B1226" s="912"/>
      <c r="C1226" s="912"/>
      <c r="D1226" s="912"/>
      <c r="E1226" s="912"/>
    </row>
    <row r="1227" spans="1:5" ht="15.75" x14ac:dyDescent="0.25">
      <c r="A1227" s="869"/>
      <c r="B1227" s="912"/>
      <c r="C1227" s="912"/>
      <c r="D1227" s="912"/>
      <c r="E1227" s="912"/>
    </row>
    <row r="1228" spans="1:5" ht="15.75" x14ac:dyDescent="0.25">
      <c r="A1228" s="869"/>
      <c r="B1228" s="912"/>
      <c r="C1228" s="912"/>
      <c r="D1228" s="912"/>
      <c r="E1228" s="912"/>
    </row>
    <row r="1229" spans="1:5" ht="15.75" x14ac:dyDescent="0.25">
      <c r="A1229" s="869"/>
      <c r="B1229" s="912"/>
      <c r="C1229" s="912"/>
      <c r="D1229" s="912"/>
      <c r="E1229" s="912"/>
    </row>
    <row r="1230" spans="1:5" ht="15.75" x14ac:dyDescent="0.25">
      <c r="A1230" s="869"/>
      <c r="B1230" s="912"/>
      <c r="C1230" s="912"/>
      <c r="D1230" s="912"/>
      <c r="E1230" s="912"/>
    </row>
    <row r="1231" spans="1:5" ht="15.75" x14ac:dyDescent="0.25">
      <c r="A1231" s="869"/>
      <c r="B1231" s="912"/>
      <c r="C1231" s="912"/>
      <c r="D1231" s="912"/>
      <c r="E1231" s="912"/>
    </row>
    <row r="1232" spans="1:5" ht="15.75" x14ac:dyDescent="0.25">
      <c r="A1232" s="869"/>
      <c r="B1232" s="912"/>
      <c r="C1232" s="912"/>
      <c r="D1232" s="912"/>
      <c r="E1232" s="912"/>
    </row>
    <row r="1233" spans="1:5" ht="15.75" x14ac:dyDescent="0.25">
      <c r="A1233" s="869"/>
      <c r="B1233" s="912"/>
      <c r="C1233" s="912"/>
      <c r="D1233" s="912"/>
      <c r="E1233" s="912"/>
    </row>
    <row r="1234" spans="1:5" ht="15.75" x14ac:dyDescent="0.25">
      <c r="A1234" s="869"/>
      <c r="B1234" s="912"/>
      <c r="C1234" s="912"/>
      <c r="D1234" s="912"/>
      <c r="E1234" s="912"/>
    </row>
    <row r="1235" spans="1:5" ht="15.75" x14ac:dyDescent="0.25">
      <c r="A1235" s="869"/>
      <c r="B1235" s="912"/>
      <c r="C1235" s="912"/>
      <c r="D1235" s="912"/>
      <c r="E1235" s="912"/>
    </row>
    <row r="1236" spans="1:5" ht="15.75" x14ac:dyDescent="0.25">
      <c r="A1236" s="869"/>
      <c r="B1236" s="912"/>
      <c r="C1236" s="912"/>
      <c r="D1236" s="912"/>
      <c r="E1236" s="912"/>
    </row>
    <row r="1237" spans="1:5" ht="15.75" x14ac:dyDescent="0.25">
      <c r="A1237" s="869"/>
      <c r="B1237" s="912"/>
      <c r="C1237" s="912"/>
      <c r="D1237" s="912"/>
      <c r="E1237" s="912"/>
    </row>
    <row r="1238" spans="1:5" ht="15.75" x14ac:dyDescent="0.25">
      <c r="A1238" s="869"/>
      <c r="B1238" s="912"/>
      <c r="C1238" s="912"/>
      <c r="D1238" s="912"/>
      <c r="E1238" s="912"/>
    </row>
    <row r="1239" spans="1:5" ht="15.75" x14ac:dyDescent="0.25">
      <c r="A1239" s="869"/>
      <c r="B1239" s="912"/>
      <c r="C1239" s="912"/>
      <c r="D1239" s="912"/>
      <c r="E1239" s="912"/>
    </row>
    <row r="1240" spans="1:5" ht="15.75" x14ac:dyDescent="0.25">
      <c r="A1240" s="869"/>
      <c r="B1240" s="912"/>
      <c r="C1240" s="912"/>
      <c r="D1240" s="912"/>
      <c r="E1240" s="912"/>
    </row>
    <row r="1241" spans="1:5" ht="15.75" x14ac:dyDescent="0.25">
      <c r="A1241" s="869"/>
      <c r="B1241" s="912"/>
      <c r="C1241" s="912"/>
      <c r="D1241" s="912"/>
      <c r="E1241" s="912"/>
    </row>
    <row r="1242" spans="1:5" ht="15.75" x14ac:dyDescent="0.25">
      <c r="A1242" s="869"/>
      <c r="B1242" s="912"/>
      <c r="C1242" s="912"/>
      <c r="D1242" s="912"/>
      <c r="E1242" s="912"/>
    </row>
    <row r="1243" spans="1:5" ht="15.75" x14ac:dyDescent="0.25">
      <c r="A1243" s="869"/>
      <c r="B1243" s="912"/>
      <c r="C1243" s="912"/>
      <c r="D1243" s="912"/>
      <c r="E1243" s="912"/>
    </row>
    <row r="1244" spans="1:5" ht="15.75" x14ac:dyDescent="0.25">
      <c r="A1244" s="869"/>
      <c r="B1244" s="912"/>
      <c r="C1244" s="912"/>
      <c r="D1244" s="912"/>
      <c r="E1244" s="912"/>
    </row>
    <row r="1245" spans="1:5" ht="15.75" x14ac:dyDescent="0.25">
      <c r="A1245" s="869"/>
      <c r="B1245" s="912"/>
      <c r="C1245" s="912"/>
      <c r="D1245" s="912"/>
      <c r="E1245" s="912"/>
    </row>
    <row r="1246" spans="1:5" ht="15.75" x14ac:dyDescent="0.25">
      <c r="A1246" s="869"/>
      <c r="B1246" s="912"/>
      <c r="C1246" s="912"/>
      <c r="D1246" s="912"/>
      <c r="E1246" s="912"/>
    </row>
    <row r="1247" spans="1:5" ht="15.75" x14ac:dyDescent="0.25">
      <c r="A1247" s="869"/>
      <c r="B1247" s="912"/>
      <c r="C1247" s="912"/>
      <c r="D1247" s="912"/>
      <c r="E1247" s="912"/>
    </row>
    <row r="1248" spans="1:5" ht="15.75" x14ac:dyDescent="0.25">
      <c r="A1248" s="869"/>
      <c r="B1248" s="912"/>
      <c r="C1248" s="912"/>
      <c r="D1248" s="912"/>
      <c r="E1248" s="912"/>
    </row>
    <row r="1249" spans="1:5" ht="15.75" x14ac:dyDescent="0.25">
      <c r="A1249" s="869"/>
      <c r="B1249" s="912"/>
      <c r="C1249" s="912"/>
      <c r="D1249" s="912"/>
      <c r="E1249" s="912"/>
    </row>
    <row r="1250" spans="1:5" ht="15.75" x14ac:dyDescent="0.25">
      <c r="A1250" s="869"/>
      <c r="B1250" s="912"/>
      <c r="C1250" s="912"/>
      <c r="D1250" s="912"/>
      <c r="E1250" s="912"/>
    </row>
    <row r="1251" spans="1:5" ht="15.75" x14ac:dyDescent="0.25">
      <c r="A1251" s="869"/>
      <c r="B1251" s="912"/>
      <c r="C1251" s="912"/>
      <c r="D1251" s="912"/>
      <c r="E1251" s="912"/>
    </row>
    <row r="1252" spans="1:5" ht="15.75" x14ac:dyDescent="0.25">
      <c r="A1252" s="869"/>
      <c r="B1252" s="912"/>
      <c r="C1252" s="912"/>
      <c r="D1252" s="912"/>
      <c r="E1252" s="912"/>
    </row>
    <row r="1253" spans="1:5" ht="15.75" x14ac:dyDescent="0.25">
      <c r="A1253" s="869"/>
      <c r="B1253" s="912"/>
      <c r="C1253" s="912"/>
      <c r="D1253" s="912"/>
      <c r="E1253" s="912"/>
    </row>
    <row r="1254" spans="1:5" ht="15.75" x14ac:dyDescent="0.25">
      <c r="A1254" s="869"/>
      <c r="B1254" s="912"/>
      <c r="C1254" s="912"/>
      <c r="D1254" s="912"/>
      <c r="E1254" s="912"/>
    </row>
    <row r="1255" spans="1:5" ht="15.75" x14ac:dyDescent="0.25">
      <c r="A1255" s="869"/>
      <c r="B1255" s="912"/>
      <c r="C1255" s="912"/>
      <c r="D1255" s="912"/>
      <c r="E1255" s="912"/>
    </row>
    <row r="1256" spans="1:5" ht="15.75" x14ac:dyDescent="0.25">
      <c r="A1256" s="869"/>
      <c r="B1256" s="912"/>
      <c r="C1256" s="912"/>
      <c r="D1256" s="912"/>
      <c r="E1256" s="912"/>
    </row>
    <row r="1257" spans="1:5" ht="15.75" x14ac:dyDescent="0.25">
      <c r="A1257" s="869"/>
      <c r="B1257" s="912"/>
      <c r="C1257" s="912"/>
      <c r="D1257" s="912"/>
      <c r="E1257" s="912"/>
    </row>
    <row r="1258" spans="1:5" ht="15.75" x14ac:dyDescent="0.25">
      <c r="A1258" s="869"/>
      <c r="B1258" s="912"/>
      <c r="C1258" s="912"/>
      <c r="D1258" s="912"/>
      <c r="E1258" s="912"/>
    </row>
    <row r="1259" spans="1:5" ht="15.75" x14ac:dyDescent="0.25">
      <c r="A1259" s="869"/>
      <c r="B1259" s="912"/>
      <c r="C1259" s="912"/>
      <c r="D1259" s="912"/>
      <c r="E1259" s="912"/>
    </row>
    <row r="1260" spans="1:5" ht="15.75" x14ac:dyDescent="0.25">
      <c r="A1260" s="869"/>
      <c r="B1260" s="912"/>
      <c r="C1260" s="912"/>
      <c r="D1260" s="912"/>
      <c r="E1260" s="912"/>
    </row>
    <row r="1261" spans="1:5" ht="15.75" x14ac:dyDescent="0.25">
      <c r="A1261" s="869"/>
      <c r="B1261" s="912"/>
      <c r="C1261" s="912"/>
      <c r="D1261" s="912"/>
      <c r="E1261" s="912"/>
    </row>
    <row r="1262" spans="1:5" ht="15.75" x14ac:dyDescent="0.25">
      <c r="A1262" s="869"/>
      <c r="B1262" s="912"/>
      <c r="C1262" s="912"/>
      <c r="D1262" s="912"/>
      <c r="E1262" s="912"/>
    </row>
    <row r="1263" spans="1:5" ht="15.75" x14ac:dyDescent="0.25">
      <c r="A1263" s="869"/>
      <c r="B1263" s="912"/>
      <c r="C1263" s="912"/>
      <c r="D1263" s="912"/>
      <c r="E1263" s="912"/>
    </row>
    <row r="1264" spans="1:5" ht="15.75" x14ac:dyDescent="0.25">
      <c r="A1264" s="869"/>
      <c r="B1264" s="912"/>
      <c r="C1264" s="912"/>
      <c r="D1264" s="912"/>
      <c r="E1264" s="912"/>
    </row>
    <row r="1265" spans="1:5" ht="15.75" x14ac:dyDescent="0.25">
      <c r="A1265" s="869"/>
      <c r="B1265" s="912"/>
      <c r="C1265" s="912"/>
      <c r="D1265" s="912"/>
      <c r="E1265" s="912"/>
    </row>
    <row r="1266" spans="1:5" ht="15.75" x14ac:dyDescent="0.25">
      <c r="A1266" s="869"/>
      <c r="B1266" s="912"/>
      <c r="C1266" s="912"/>
      <c r="D1266" s="912"/>
      <c r="E1266" s="912"/>
    </row>
    <row r="1267" spans="1:5" ht="15.75" x14ac:dyDescent="0.25">
      <c r="A1267" s="869"/>
      <c r="B1267" s="912"/>
      <c r="C1267" s="912"/>
      <c r="D1267" s="912"/>
      <c r="E1267" s="912"/>
    </row>
    <row r="1268" spans="1:5" ht="15.75" x14ac:dyDescent="0.25">
      <c r="A1268" s="869"/>
      <c r="B1268" s="912"/>
      <c r="C1268" s="912"/>
      <c r="D1268" s="912"/>
      <c r="E1268" s="912"/>
    </row>
    <row r="1269" spans="1:5" ht="15.75" x14ac:dyDescent="0.25">
      <c r="A1269" s="869"/>
      <c r="B1269" s="912"/>
      <c r="C1269" s="912"/>
      <c r="D1269" s="912"/>
      <c r="E1269" s="912"/>
    </row>
    <row r="1270" spans="1:5" ht="15.75" x14ac:dyDescent="0.25">
      <c r="A1270" s="869"/>
      <c r="B1270" s="912"/>
      <c r="C1270" s="912"/>
      <c r="D1270" s="912"/>
      <c r="E1270" s="912"/>
    </row>
    <row r="1271" spans="1:5" ht="15.75" x14ac:dyDescent="0.25">
      <c r="A1271" s="869"/>
      <c r="B1271" s="912"/>
      <c r="C1271" s="912"/>
      <c r="D1271" s="912"/>
      <c r="E1271" s="912"/>
    </row>
    <row r="1272" spans="1:5" ht="15.75" x14ac:dyDescent="0.25">
      <c r="A1272" s="869"/>
      <c r="B1272" s="912"/>
      <c r="C1272" s="912"/>
      <c r="D1272" s="912"/>
      <c r="E1272" s="912"/>
    </row>
    <row r="1273" spans="1:5" ht="15.75" x14ac:dyDescent="0.25">
      <c r="A1273" s="869"/>
      <c r="B1273" s="912"/>
      <c r="C1273" s="912"/>
      <c r="D1273" s="912"/>
      <c r="E1273" s="912"/>
    </row>
    <row r="1274" spans="1:5" ht="15.75" x14ac:dyDescent="0.25">
      <c r="A1274" s="869"/>
      <c r="B1274" s="912"/>
      <c r="C1274" s="912"/>
      <c r="D1274" s="912"/>
      <c r="E1274" s="912"/>
    </row>
    <row r="1275" spans="1:5" ht="15.75" x14ac:dyDescent="0.25">
      <c r="A1275" s="869"/>
      <c r="B1275" s="912"/>
      <c r="C1275" s="912"/>
      <c r="D1275" s="912"/>
      <c r="E1275" s="912"/>
    </row>
    <row r="1276" spans="1:5" ht="15.75" x14ac:dyDescent="0.25">
      <c r="A1276" s="869"/>
      <c r="B1276" s="912"/>
      <c r="C1276" s="912"/>
      <c r="D1276" s="912"/>
      <c r="E1276" s="912"/>
    </row>
    <row r="1277" spans="1:5" ht="15.75" x14ac:dyDescent="0.25">
      <c r="A1277" s="869"/>
      <c r="B1277" s="912"/>
      <c r="C1277" s="912"/>
      <c r="D1277" s="912"/>
      <c r="E1277" s="912"/>
    </row>
    <row r="1278" spans="1:5" ht="15.75" x14ac:dyDescent="0.25">
      <c r="A1278" s="869"/>
      <c r="B1278" s="912"/>
      <c r="C1278" s="912"/>
      <c r="D1278" s="912"/>
      <c r="E1278" s="912"/>
    </row>
    <row r="1279" spans="1:5" ht="15.75" x14ac:dyDescent="0.25">
      <c r="A1279" s="869"/>
      <c r="B1279" s="912"/>
      <c r="C1279" s="912"/>
      <c r="D1279" s="912"/>
      <c r="E1279" s="912"/>
    </row>
    <row r="1280" spans="1:5" ht="15.75" x14ac:dyDescent="0.25">
      <c r="A1280" s="869"/>
      <c r="B1280" s="912"/>
      <c r="C1280" s="912"/>
      <c r="D1280" s="912"/>
      <c r="E1280" s="912"/>
    </row>
    <row r="1281" spans="1:5" ht="15.75" x14ac:dyDescent="0.25">
      <c r="A1281" s="869"/>
      <c r="B1281" s="912"/>
      <c r="C1281" s="912"/>
      <c r="D1281" s="912"/>
      <c r="E1281" s="912"/>
    </row>
    <row r="1282" spans="1:5" ht="15.75" x14ac:dyDescent="0.25">
      <c r="A1282" s="869"/>
      <c r="B1282" s="912"/>
      <c r="C1282" s="912"/>
      <c r="D1282" s="912"/>
      <c r="E1282" s="912"/>
    </row>
    <row r="1283" spans="1:5" ht="15.75" x14ac:dyDescent="0.25">
      <c r="A1283" s="869"/>
      <c r="B1283" s="912"/>
      <c r="C1283" s="912"/>
      <c r="D1283" s="912"/>
      <c r="E1283" s="912"/>
    </row>
    <row r="1284" spans="1:5" ht="15.75" x14ac:dyDescent="0.25">
      <c r="A1284" s="869"/>
      <c r="B1284" s="912"/>
      <c r="C1284" s="912"/>
      <c r="D1284" s="912"/>
      <c r="E1284" s="912"/>
    </row>
    <row r="1285" spans="1:5" ht="15.75" x14ac:dyDescent="0.25">
      <c r="A1285" s="869"/>
      <c r="B1285" s="912"/>
      <c r="C1285" s="912"/>
      <c r="D1285" s="912"/>
      <c r="E1285" s="912"/>
    </row>
    <row r="1286" spans="1:5" ht="15.75" x14ac:dyDescent="0.25">
      <c r="A1286" s="869"/>
      <c r="B1286" s="912"/>
      <c r="C1286" s="912"/>
      <c r="D1286" s="912"/>
      <c r="E1286" s="912"/>
    </row>
    <row r="1287" spans="1:5" ht="15.75" x14ac:dyDescent="0.25">
      <c r="A1287" s="869"/>
      <c r="B1287" s="912"/>
      <c r="C1287" s="912"/>
      <c r="D1287" s="912"/>
      <c r="E1287" s="912"/>
    </row>
    <row r="1288" spans="1:5" ht="15.75" x14ac:dyDescent="0.25">
      <c r="A1288" s="869"/>
      <c r="B1288" s="912"/>
      <c r="C1288" s="912"/>
      <c r="D1288" s="912"/>
      <c r="E1288" s="912"/>
    </row>
    <row r="1289" spans="1:5" ht="15.75" x14ac:dyDescent="0.25">
      <c r="A1289" s="869"/>
      <c r="B1289" s="912"/>
      <c r="C1289" s="912"/>
      <c r="D1289" s="912"/>
      <c r="E1289" s="912"/>
    </row>
    <row r="1290" spans="1:5" ht="15.75" x14ac:dyDescent="0.25">
      <c r="A1290" s="869"/>
      <c r="B1290" s="912"/>
      <c r="C1290" s="912"/>
      <c r="D1290" s="912"/>
      <c r="E1290" s="912"/>
    </row>
    <row r="1291" spans="1:5" ht="15.75" x14ac:dyDescent="0.25">
      <c r="A1291" s="869"/>
      <c r="B1291" s="912"/>
      <c r="C1291" s="912"/>
      <c r="D1291" s="912"/>
      <c r="E1291" s="912"/>
    </row>
    <row r="1292" spans="1:5" ht="15.75" x14ac:dyDescent="0.25">
      <c r="A1292" s="869"/>
      <c r="B1292" s="912"/>
      <c r="C1292" s="912"/>
      <c r="D1292" s="912"/>
      <c r="E1292" s="912"/>
    </row>
    <row r="1293" spans="1:5" ht="15.75" x14ac:dyDescent="0.25">
      <c r="A1293" s="869"/>
      <c r="B1293" s="912"/>
      <c r="C1293" s="912"/>
      <c r="D1293" s="912"/>
      <c r="E1293" s="912"/>
    </row>
    <row r="1294" spans="1:5" ht="15.75" x14ac:dyDescent="0.25">
      <c r="A1294" s="869"/>
      <c r="B1294" s="912"/>
      <c r="C1294" s="912"/>
      <c r="D1294" s="912"/>
      <c r="E1294" s="912"/>
    </row>
    <row r="1295" spans="1:5" ht="15.75" x14ac:dyDescent="0.25">
      <c r="A1295" s="869"/>
      <c r="B1295" s="912"/>
      <c r="C1295" s="912"/>
      <c r="D1295" s="912"/>
      <c r="E1295" s="912"/>
    </row>
    <row r="1296" spans="1:5" ht="15.75" x14ac:dyDescent="0.25">
      <c r="A1296" s="869"/>
      <c r="B1296" s="912"/>
      <c r="C1296" s="912"/>
      <c r="D1296" s="912"/>
      <c r="E1296" s="912"/>
    </row>
    <row r="1297" spans="1:5" ht="15.75" x14ac:dyDescent="0.25">
      <c r="A1297" s="869"/>
      <c r="B1297" s="912"/>
      <c r="C1297" s="912"/>
      <c r="D1297" s="912"/>
      <c r="E1297" s="912"/>
    </row>
    <row r="1298" spans="1:5" ht="15.75" x14ac:dyDescent="0.25">
      <c r="A1298" s="869"/>
      <c r="B1298" s="912"/>
      <c r="C1298" s="912"/>
      <c r="D1298" s="912"/>
      <c r="E1298" s="912"/>
    </row>
    <row r="1299" spans="1:5" ht="15.75" x14ac:dyDescent="0.25">
      <c r="A1299" s="869"/>
      <c r="B1299" s="912"/>
      <c r="C1299" s="912"/>
      <c r="D1299" s="912"/>
      <c r="E1299" s="912"/>
    </row>
    <row r="1300" spans="1:5" ht="15.75" x14ac:dyDescent="0.25">
      <c r="A1300" s="869"/>
      <c r="B1300" s="912"/>
      <c r="C1300" s="912"/>
      <c r="D1300" s="912"/>
      <c r="E1300" s="912"/>
    </row>
    <row r="1301" spans="1:5" ht="15.75" x14ac:dyDescent="0.25">
      <c r="A1301" s="869"/>
      <c r="B1301" s="912"/>
      <c r="C1301" s="912"/>
      <c r="D1301" s="912"/>
      <c r="E1301" s="912"/>
    </row>
    <row r="1302" spans="1:5" ht="15.75" x14ac:dyDescent="0.25">
      <c r="A1302" s="869"/>
      <c r="B1302" s="912"/>
      <c r="C1302" s="912"/>
      <c r="D1302" s="912"/>
      <c r="E1302" s="912"/>
    </row>
    <row r="1303" spans="1:5" ht="15.75" x14ac:dyDescent="0.25">
      <c r="A1303" s="869"/>
      <c r="B1303" s="912"/>
      <c r="C1303" s="912"/>
      <c r="D1303" s="912"/>
      <c r="E1303" s="912"/>
    </row>
    <row r="1304" spans="1:5" ht="15.75" x14ac:dyDescent="0.25">
      <c r="A1304" s="869"/>
      <c r="B1304" s="912"/>
      <c r="C1304" s="912"/>
      <c r="D1304" s="912"/>
      <c r="E1304" s="912"/>
    </row>
    <row r="1305" spans="1:5" ht="15.75" x14ac:dyDescent="0.25">
      <c r="A1305" s="869"/>
      <c r="B1305" s="912"/>
      <c r="C1305" s="912"/>
      <c r="D1305" s="912"/>
      <c r="E1305" s="912"/>
    </row>
    <row r="1306" spans="1:5" ht="15.75" x14ac:dyDescent="0.25">
      <c r="A1306" s="869"/>
      <c r="B1306" s="912"/>
      <c r="C1306" s="912"/>
      <c r="D1306" s="912"/>
      <c r="E1306" s="912"/>
    </row>
    <row r="1307" spans="1:5" ht="15.75" x14ac:dyDescent="0.25">
      <c r="A1307" s="869"/>
      <c r="B1307" s="912"/>
      <c r="C1307" s="912"/>
      <c r="D1307" s="912"/>
      <c r="E1307" s="912"/>
    </row>
    <row r="1308" spans="1:5" ht="15.75" x14ac:dyDescent="0.25">
      <c r="A1308" s="869"/>
      <c r="B1308" s="912"/>
      <c r="C1308" s="912"/>
      <c r="D1308" s="912"/>
      <c r="E1308" s="912"/>
    </row>
    <row r="1309" spans="1:5" ht="15.75" x14ac:dyDescent="0.25">
      <c r="A1309" s="869"/>
      <c r="B1309" s="912"/>
      <c r="C1309" s="912"/>
      <c r="D1309" s="912"/>
      <c r="E1309" s="912"/>
    </row>
    <row r="1310" spans="1:5" ht="15.75" x14ac:dyDescent="0.25">
      <c r="A1310" s="869"/>
      <c r="B1310" s="912"/>
      <c r="C1310" s="912"/>
      <c r="D1310" s="912"/>
      <c r="E1310" s="912"/>
    </row>
    <row r="1311" spans="1:5" ht="15.75" x14ac:dyDescent="0.25">
      <c r="A1311" s="869"/>
      <c r="B1311" s="912"/>
      <c r="C1311" s="912"/>
      <c r="D1311" s="912"/>
      <c r="E1311" s="912"/>
    </row>
    <row r="1312" spans="1:5" ht="15.75" x14ac:dyDescent="0.25">
      <c r="A1312" s="869"/>
      <c r="B1312" s="912"/>
      <c r="C1312" s="912"/>
      <c r="D1312" s="912"/>
      <c r="E1312" s="912"/>
    </row>
    <row r="1313" spans="1:5" ht="15.75" x14ac:dyDescent="0.25">
      <c r="A1313" s="869"/>
      <c r="B1313" s="912"/>
      <c r="C1313" s="912"/>
      <c r="D1313" s="912"/>
      <c r="E1313" s="912"/>
    </row>
    <row r="1314" spans="1:5" ht="15.75" x14ac:dyDescent="0.25">
      <c r="A1314" s="869"/>
      <c r="B1314" s="912"/>
      <c r="C1314" s="912"/>
      <c r="D1314" s="912"/>
      <c r="E1314" s="912"/>
    </row>
    <row r="1315" spans="1:5" ht="15.75" x14ac:dyDescent="0.25">
      <c r="A1315" s="869"/>
      <c r="B1315" s="912"/>
      <c r="C1315" s="912"/>
      <c r="D1315" s="912"/>
      <c r="E1315" s="912"/>
    </row>
    <row r="1316" spans="1:5" ht="15.75" x14ac:dyDescent="0.25">
      <c r="A1316" s="869"/>
      <c r="B1316" s="912"/>
      <c r="C1316" s="912"/>
      <c r="D1316" s="912"/>
      <c r="E1316" s="912"/>
    </row>
    <row r="1317" spans="1:5" ht="15.75" x14ac:dyDescent="0.25">
      <c r="A1317" s="869"/>
      <c r="B1317" s="912"/>
      <c r="C1317" s="912"/>
      <c r="D1317" s="912"/>
      <c r="E1317" s="912"/>
    </row>
    <row r="1318" spans="1:5" ht="15.75" x14ac:dyDescent="0.25">
      <c r="A1318" s="869"/>
      <c r="B1318" s="912"/>
      <c r="C1318" s="912"/>
      <c r="D1318" s="912"/>
      <c r="E1318" s="912"/>
    </row>
    <row r="1319" spans="1:5" ht="15.75" x14ac:dyDescent="0.25">
      <c r="A1319" s="869"/>
      <c r="B1319" s="912"/>
      <c r="C1319" s="912"/>
      <c r="D1319" s="912"/>
      <c r="E1319" s="912"/>
    </row>
    <row r="1320" spans="1:5" ht="15.75" x14ac:dyDescent="0.25">
      <c r="A1320" s="869"/>
      <c r="B1320" s="912"/>
      <c r="C1320" s="912"/>
      <c r="D1320" s="912"/>
      <c r="E1320" s="912"/>
    </row>
    <row r="1321" spans="1:5" ht="15.75" x14ac:dyDescent="0.25">
      <c r="A1321" s="869"/>
      <c r="B1321" s="912"/>
      <c r="C1321" s="912"/>
      <c r="D1321" s="912"/>
      <c r="E1321" s="912"/>
    </row>
    <row r="1322" spans="1:5" ht="15.75" x14ac:dyDescent="0.25">
      <c r="A1322" s="869"/>
      <c r="B1322" s="912"/>
      <c r="C1322" s="912"/>
      <c r="D1322" s="912"/>
      <c r="E1322" s="912"/>
    </row>
    <row r="1323" spans="1:5" ht="15.75" x14ac:dyDescent="0.25">
      <c r="A1323" s="869"/>
      <c r="B1323" s="912"/>
      <c r="C1323" s="912"/>
      <c r="D1323" s="912"/>
      <c r="E1323" s="912"/>
    </row>
    <row r="1324" spans="1:5" ht="15.75" x14ac:dyDescent="0.25">
      <c r="A1324" s="869"/>
      <c r="B1324" s="912"/>
      <c r="C1324" s="912"/>
      <c r="D1324" s="912"/>
      <c r="E1324" s="912"/>
    </row>
    <row r="1325" spans="1:5" ht="15.75" x14ac:dyDescent="0.25">
      <c r="A1325" s="869"/>
      <c r="B1325" s="912"/>
      <c r="C1325" s="912"/>
      <c r="D1325" s="912"/>
      <c r="E1325" s="912"/>
    </row>
    <row r="1326" spans="1:5" ht="15.75" x14ac:dyDescent="0.25">
      <c r="A1326" s="869"/>
      <c r="B1326" s="912"/>
      <c r="C1326" s="912"/>
      <c r="D1326" s="912"/>
      <c r="E1326" s="912"/>
    </row>
    <row r="1327" spans="1:5" ht="15.75" x14ac:dyDescent="0.25">
      <c r="A1327" s="869"/>
      <c r="B1327" s="912"/>
      <c r="C1327" s="912"/>
      <c r="D1327" s="912"/>
      <c r="E1327" s="912"/>
    </row>
    <row r="1328" spans="1:5" ht="15.75" x14ac:dyDescent="0.25">
      <c r="A1328" s="869"/>
      <c r="B1328" s="912"/>
      <c r="C1328" s="912"/>
      <c r="D1328" s="912"/>
      <c r="E1328" s="912"/>
    </row>
    <row r="1329" spans="1:5" ht="15.75" x14ac:dyDescent="0.25">
      <c r="A1329" s="869"/>
      <c r="B1329" s="912"/>
      <c r="C1329" s="912"/>
      <c r="D1329" s="912"/>
      <c r="E1329" s="912"/>
    </row>
    <row r="1330" spans="1:5" ht="15.75" x14ac:dyDescent="0.25">
      <c r="A1330" s="869"/>
      <c r="B1330" s="912"/>
      <c r="C1330" s="912"/>
      <c r="D1330" s="912"/>
      <c r="E1330" s="912"/>
    </row>
    <row r="1331" spans="1:5" ht="15.75" x14ac:dyDescent="0.25">
      <c r="A1331" s="869"/>
      <c r="B1331" s="912"/>
      <c r="C1331" s="912"/>
      <c r="D1331" s="912"/>
      <c r="E1331" s="912"/>
    </row>
    <row r="1332" spans="1:5" ht="15.75" x14ac:dyDescent="0.25">
      <c r="A1332" s="869"/>
      <c r="B1332" s="912"/>
      <c r="C1332" s="912"/>
      <c r="D1332" s="912"/>
      <c r="E1332" s="912"/>
    </row>
    <row r="1333" spans="1:5" ht="15.75" x14ac:dyDescent="0.25">
      <c r="A1333" s="869"/>
      <c r="B1333" s="912"/>
      <c r="C1333" s="912"/>
      <c r="D1333" s="912"/>
      <c r="E1333" s="912"/>
    </row>
    <row r="1334" spans="1:5" ht="15.75" x14ac:dyDescent="0.25">
      <c r="A1334" s="869"/>
      <c r="B1334" s="912"/>
      <c r="C1334" s="912"/>
      <c r="D1334" s="912"/>
      <c r="E1334" s="912"/>
    </row>
    <row r="1335" spans="1:5" ht="15.75" x14ac:dyDescent="0.25">
      <c r="A1335" s="869"/>
      <c r="B1335" s="912"/>
      <c r="C1335" s="912"/>
      <c r="D1335" s="912"/>
      <c r="E1335" s="912"/>
    </row>
    <row r="1336" spans="1:5" ht="15.75" x14ac:dyDescent="0.25">
      <c r="A1336" s="869"/>
      <c r="B1336" s="912"/>
      <c r="C1336" s="912"/>
      <c r="D1336" s="912"/>
      <c r="E1336" s="912"/>
    </row>
    <row r="1337" spans="1:5" ht="15.75" x14ac:dyDescent="0.25">
      <c r="A1337" s="869"/>
      <c r="B1337" s="912"/>
      <c r="C1337" s="912"/>
      <c r="D1337" s="912"/>
      <c r="E1337" s="912"/>
    </row>
    <row r="1338" spans="1:5" ht="15.75" x14ac:dyDescent="0.25">
      <c r="A1338" s="869"/>
      <c r="B1338" s="912"/>
      <c r="C1338" s="912"/>
      <c r="D1338" s="912"/>
      <c r="E1338" s="912"/>
    </row>
    <row r="1339" spans="1:5" ht="15.75" x14ac:dyDescent="0.25">
      <c r="A1339" s="869"/>
      <c r="B1339" s="912"/>
      <c r="C1339" s="912"/>
      <c r="D1339" s="912"/>
      <c r="E1339" s="912"/>
    </row>
    <row r="1340" spans="1:5" ht="15.75" x14ac:dyDescent="0.25">
      <c r="A1340" s="869"/>
      <c r="B1340" s="912"/>
      <c r="C1340" s="912"/>
      <c r="D1340" s="912"/>
      <c r="E1340" s="912"/>
    </row>
    <row r="1341" spans="1:5" ht="15.75" x14ac:dyDescent="0.25">
      <c r="A1341" s="869"/>
      <c r="B1341" s="912"/>
      <c r="C1341" s="912"/>
      <c r="D1341" s="912"/>
      <c r="E1341" s="912"/>
    </row>
    <row r="1342" spans="1:5" ht="15.75" x14ac:dyDescent="0.25">
      <c r="A1342" s="869"/>
      <c r="B1342" s="912"/>
      <c r="C1342" s="912"/>
      <c r="D1342" s="912"/>
      <c r="E1342" s="912"/>
    </row>
    <row r="1343" spans="1:5" ht="15.75" x14ac:dyDescent="0.25">
      <c r="A1343" s="869"/>
      <c r="B1343" s="912"/>
      <c r="C1343" s="912"/>
      <c r="D1343" s="912"/>
      <c r="E1343" s="912"/>
    </row>
    <row r="1344" spans="1:5" ht="15.75" x14ac:dyDescent="0.25">
      <c r="A1344" s="869"/>
      <c r="B1344" s="912"/>
      <c r="C1344" s="912"/>
      <c r="D1344" s="912"/>
      <c r="E1344" s="912"/>
    </row>
    <row r="1345" spans="1:5" ht="15.75" x14ac:dyDescent="0.25">
      <c r="A1345" s="869"/>
      <c r="B1345" s="912"/>
      <c r="C1345" s="912"/>
      <c r="D1345" s="912"/>
      <c r="E1345" s="912"/>
    </row>
    <row r="1346" spans="1:5" ht="15.75" x14ac:dyDescent="0.25">
      <c r="A1346" s="869"/>
      <c r="B1346" s="912"/>
      <c r="C1346" s="912"/>
      <c r="D1346" s="912"/>
      <c r="E1346" s="912"/>
    </row>
    <row r="1347" spans="1:5" ht="15.75" x14ac:dyDescent="0.25">
      <c r="A1347" s="869"/>
      <c r="B1347" s="912"/>
      <c r="C1347" s="912"/>
      <c r="D1347" s="912"/>
      <c r="E1347" s="912"/>
    </row>
    <row r="1348" spans="1:5" ht="15.75" x14ac:dyDescent="0.25">
      <c r="A1348" s="869"/>
      <c r="B1348" s="912"/>
      <c r="C1348" s="912"/>
      <c r="D1348" s="912"/>
      <c r="E1348" s="912"/>
    </row>
    <row r="1349" spans="1:5" ht="15.75" x14ac:dyDescent="0.25">
      <c r="A1349" s="869"/>
      <c r="B1349" s="912"/>
      <c r="C1349" s="912"/>
      <c r="D1349" s="912"/>
      <c r="E1349" s="912"/>
    </row>
    <row r="1350" spans="1:5" ht="15.75" x14ac:dyDescent="0.25">
      <c r="A1350" s="869"/>
      <c r="B1350" s="912"/>
      <c r="C1350" s="912"/>
      <c r="D1350" s="912"/>
      <c r="E1350" s="912"/>
    </row>
    <row r="1351" spans="1:5" ht="15.75" x14ac:dyDescent="0.25">
      <c r="A1351" s="869"/>
      <c r="B1351" s="912"/>
      <c r="C1351" s="912"/>
      <c r="D1351" s="912"/>
      <c r="E1351" s="912"/>
    </row>
    <row r="1352" spans="1:5" ht="15.75" x14ac:dyDescent="0.25">
      <c r="A1352" s="869"/>
      <c r="B1352" s="912"/>
      <c r="C1352" s="912"/>
      <c r="D1352" s="912"/>
      <c r="E1352" s="912"/>
    </row>
    <row r="1353" spans="1:5" ht="15.75" x14ac:dyDescent="0.25">
      <c r="A1353" s="869"/>
      <c r="B1353" s="912"/>
      <c r="C1353" s="912"/>
      <c r="D1353" s="912"/>
      <c r="E1353" s="912"/>
    </row>
    <row r="1354" spans="1:5" ht="15.75" x14ac:dyDescent="0.25">
      <c r="A1354" s="869"/>
      <c r="B1354" s="912"/>
      <c r="C1354" s="912"/>
      <c r="D1354" s="912"/>
      <c r="E1354" s="912"/>
    </row>
    <row r="1355" spans="1:5" ht="15.75" x14ac:dyDescent="0.25">
      <c r="A1355" s="869"/>
      <c r="B1355" s="912"/>
      <c r="C1355" s="912"/>
      <c r="D1355" s="912"/>
      <c r="E1355" s="912"/>
    </row>
    <row r="1356" spans="1:5" ht="15.75" x14ac:dyDescent="0.25">
      <c r="A1356" s="869"/>
      <c r="B1356" s="912"/>
      <c r="C1356" s="912"/>
      <c r="D1356" s="912"/>
      <c r="E1356" s="912"/>
    </row>
    <row r="1357" spans="1:5" ht="15.75" x14ac:dyDescent="0.25">
      <c r="A1357" s="869"/>
      <c r="B1357" s="912"/>
      <c r="C1357" s="912"/>
      <c r="D1357" s="912"/>
      <c r="E1357" s="912"/>
    </row>
    <row r="1358" spans="1:5" ht="15.75" x14ac:dyDescent="0.25">
      <c r="A1358" s="869"/>
      <c r="B1358" s="912"/>
      <c r="C1358" s="912"/>
      <c r="D1358" s="912"/>
      <c r="E1358" s="912"/>
    </row>
    <row r="1359" spans="1:5" ht="15.75" x14ac:dyDescent="0.25">
      <c r="A1359" s="869"/>
      <c r="B1359" s="912"/>
      <c r="C1359" s="912"/>
      <c r="D1359" s="912"/>
      <c r="E1359" s="912"/>
    </row>
    <row r="1360" spans="1:5" ht="15.75" x14ac:dyDescent="0.25">
      <c r="A1360" s="869"/>
      <c r="B1360" s="912"/>
      <c r="C1360" s="912"/>
      <c r="D1360" s="912"/>
      <c r="E1360" s="912"/>
    </row>
    <row r="1361" spans="1:5" ht="15.75" x14ac:dyDescent="0.25">
      <c r="A1361" s="869"/>
      <c r="B1361" s="912"/>
      <c r="C1361" s="912"/>
      <c r="D1361" s="912"/>
      <c r="E1361" s="912"/>
    </row>
    <row r="1362" spans="1:5" ht="15.75" x14ac:dyDescent="0.25">
      <c r="A1362" s="869"/>
      <c r="B1362" s="912"/>
      <c r="C1362" s="912"/>
      <c r="D1362" s="912"/>
      <c r="E1362" s="912"/>
    </row>
    <row r="1363" spans="1:5" ht="15.75" x14ac:dyDescent="0.25">
      <c r="A1363" s="869"/>
      <c r="B1363" s="912"/>
      <c r="C1363" s="912"/>
      <c r="D1363" s="912"/>
      <c r="E1363" s="912"/>
    </row>
    <row r="1364" spans="1:5" ht="15.75" x14ac:dyDescent="0.25">
      <c r="A1364" s="869"/>
      <c r="B1364" s="912"/>
      <c r="C1364" s="912"/>
      <c r="D1364" s="912"/>
      <c r="E1364" s="912"/>
    </row>
    <row r="1365" spans="1:5" ht="15.75" x14ac:dyDescent="0.25">
      <c r="A1365" s="869"/>
      <c r="B1365" s="912"/>
      <c r="C1365" s="912"/>
      <c r="D1365" s="912"/>
      <c r="E1365" s="912"/>
    </row>
    <row r="1366" spans="1:5" ht="15.75" x14ac:dyDescent="0.25">
      <c r="A1366" s="869"/>
      <c r="B1366" s="912"/>
      <c r="C1366" s="912"/>
      <c r="D1366" s="912"/>
      <c r="E1366" s="912"/>
    </row>
    <row r="1367" spans="1:5" ht="15.75" x14ac:dyDescent="0.25">
      <c r="A1367" s="869"/>
      <c r="B1367" s="912"/>
      <c r="C1367" s="912"/>
      <c r="D1367" s="912"/>
      <c r="E1367" s="912"/>
    </row>
    <row r="1368" spans="1:5" ht="15.75" x14ac:dyDescent="0.25">
      <c r="A1368" s="869"/>
      <c r="B1368" s="912"/>
      <c r="C1368" s="912"/>
      <c r="D1368" s="912"/>
      <c r="E1368" s="912"/>
    </row>
    <row r="1369" spans="1:5" ht="15.75" x14ac:dyDescent="0.25">
      <c r="A1369" s="869"/>
      <c r="B1369" s="912"/>
      <c r="C1369" s="912"/>
      <c r="D1369" s="912"/>
      <c r="E1369" s="912"/>
    </row>
    <row r="1370" spans="1:5" ht="15.75" x14ac:dyDescent="0.25">
      <c r="A1370" s="869"/>
      <c r="B1370" s="912"/>
      <c r="C1370" s="912"/>
      <c r="D1370" s="912"/>
      <c r="E1370" s="912"/>
    </row>
    <row r="1371" spans="1:5" ht="15.75" x14ac:dyDescent="0.25">
      <c r="A1371" s="869"/>
      <c r="B1371" s="912"/>
      <c r="C1371" s="912"/>
      <c r="D1371" s="912"/>
      <c r="E1371" s="912"/>
    </row>
    <row r="1372" spans="1:5" ht="15.75" x14ac:dyDescent="0.25">
      <c r="A1372" s="869"/>
      <c r="B1372" s="912"/>
      <c r="C1372" s="912"/>
      <c r="D1372" s="912"/>
      <c r="E1372" s="912"/>
    </row>
    <row r="1373" spans="1:5" ht="15.75" x14ac:dyDescent="0.25">
      <c r="A1373" s="869"/>
      <c r="B1373" s="912"/>
      <c r="C1373" s="912"/>
      <c r="D1373" s="912"/>
      <c r="E1373" s="912"/>
    </row>
    <row r="1374" spans="1:5" ht="15.75" x14ac:dyDescent="0.25">
      <c r="A1374" s="869"/>
      <c r="B1374" s="912"/>
      <c r="C1374" s="912"/>
      <c r="D1374" s="912"/>
      <c r="E1374" s="912"/>
    </row>
    <row r="1375" spans="1:5" ht="15.75" x14ac:dyDescent="0.25">
      <c r="A1375" s="869"/>
      <c r="B1375" s="912"/>
      <c r="C1375" s="912"/>
      <c r="D1375" s="912"/>
      <c r="E1375" s="912"/>
    </row>
    <row r="1376" spans="1:5" ht="15.75" x14ac:dyDescent="0.25">
      <c r="A1376" s="869"/>
      <c r="B1376" s="912"/>
      <c r="C1376" s="912"/>
      <c r="D1376" s="912"/>
      <c r="E1376" s="912"/>
    </row>
    <row r="1377" spans="1:5" ht="15.75" x14ac:dyDescent="0.25">
      <c r="A1377" s="869"/>
      <c r="B1377" s="912"/>
      <c r="C1377" s="912"/>
      <c r="D1377" s="912"/>
      <c r="E1377" s="912"/>
    </row>
    <row r="1378" spans="1:5" ht="15.75" x14ac:dyDescent="0.25">
      <c r="A1378" s="869"/>
      <c r="B1378" s="912"/>
      <c r="C1378" s="912"/>
      <c r="D1378" s="912"/>
      <c r="E1378" s="912"/>
    </row>
    <row r="1379" spans="1:5" ht="15.75" x14ac:dyDescent="0.25">
      <c r="A1379" s="869"/>
      <c r="B1379" s="912"/>
      <c r="C1379" s="912"/>
      <c r="D1379" s="912"/>
      <c r="E1379" s="912"/>
    </row>
    <row r="1380" spans="1:5" ht="15.75" x14ac:dyDescent="0.25">
      <c r="A1380" s="869"/>
      <c r="B1380" s="912"/>
      <c r="C1380" s="912"/>
      <c r="D1380" s="912"/>
      <c r="E1380" s="912"/>
    </row>
    <row r="1381" spans="1:5" ht="15.75" x14ac:dyDescent="0.25">
      <c r="A1381" s="869"/>
      <c r="B1381" s="912"/>
      <c r="C1381" s="912"/>
      <c r="D1381" s="912"/>
      <c r="E1381" s="912"/>
    </row>
    <row r="1382" spans="1:5" ht="15.75" x14ac:dyDescent="0.25">
      <c r="A1382" s="869"/>
      <c r="B1382" s="912"/>
      <c r="C1382" s="912"/>
      <c r="D1382" s="912"/>
      <c r="E1382" s="912"/>
    </row>
    <row r="1383" spans="1:5" ht="15.75" x14ac:dyDescent="0.25">
      <c r="A1383" s="869"/>
      <c r="B1383" s="912"/>
      <c r="C1383" s="912"/>
      <c r="D1383" s="912"/>
      <c r="E1383" s="912"/>
    </row>
    <row r="1384" spans="1:5" ht="15.75" x14ac:dyDescent="0.25">
      <c r="A1384" s="869"/>
      <c r="B1384" s="912"/>
      <c r="C1384" s="912"/>
      <c r="D1384" s="912"/>
      <c r="E1384" s="912"/>
    </row>
    <row r="1385" spans="1:5" ht="15.75" x14ac:dyDescent="0.25">
      <c r="A1385" s="869"/>
      <c r="B1385" s="912"/>
      <c r="C1385" s="912"/>
      <c r="D1385" s="912"/>
      <c r="E1385" s="912"/>
    </row>
    <row r="1386" spans="1:5" ht="15.75" x14ac:dyDescent="0.25">
      <c r="A1386" s="869"/>
      <c r="B1386" s="912"/>
      <c r="C1386" s="912"/>
      <c r="D1386" s="912"/>
      <c r="E1386" s="912"/>
    </row>
    <row r="1387" spans="1:5" ht="15.75" x14ac:dyDescent="0.25">
      <c r="A1387" s="869"/>
      <c r="B1387" s="912"/>
      <c r="C1387" s="912"/>
      <c r="D1387" s="912"/>
      <c r="E1387" s="912"/>
    </row>
    <row r="1388" spans="1:5" ht="15.75" x14ac:dyDescent="0.25">
      <c r="A1388" s="869"/>
      <c r="B1388" s="912"/>
      <c r="C1388" s="912"/>
      <c r="D1388" s="912"/>
      <c r="E1388" s="912"/>
    </row>
    <row r="1389" spans="1:5" ht="15.75" x14ac:dyDescent="0.25">
      <c r="A1389" s="869"/>
      <c r="B1389" s="912"/>
      <c r="C1389" s="912"/>
      <c r="D1389" s="912"/>
      <c r="E1389" s="912"/>
    </row>
    <row r="1390" spans="1:5" ht="15.75" x14ac:dyDescent="0.25">
      <c r="A1390" s="869"/>
      <c r="B1390" s="912"/>
      <c r="C1390" s="912"/>
      <c r="D1390" s="912"/>
      <c r="E1390" s="912"/>
    </row>
    <row r="1391" spans="1:5" ht="15.75" x14ac:dyDescent="0.25">
      <c r="A1391" s="869"/>
      <c r="B1391" s="912"/>
      <c r="C1391" s="912"/>
      <c r="D1391" s="912"/>
      <c r="E1391" s="912"/>
    </row>
    <row r="1392" spans="1:5" ht="15.75" x14ac:dyDescent="0.25">
      <c r="A1392" s="869"/>
      <c r="B1392" s="912"/>
      <c r="C1392" s="912"/>
      <c r="D1392" s="912"/>
      <c r="E1392" s="912"/>
    </row>
    <row r="1393" spans="1:5" ht="15.75" x14ac:dyDescent="0.25">
      <c r="A1393" s="869"/>
      <c r="B1393" s="912"/>
      <c r="C1393" s="912"/>
      <c r="D1393" s="912"/>
      <c r="E1393" s="912"/>
    </row>
    <row r="1394" spans="1:5" ht="15.75" x14ac:dyDescent="0.25">
      <c r="A1394" s="869"/>
      <c r="B1394" s="912"/>
      <c r="C1394" s="912"/>
      <c r="D1394" s="912"/>
      <c r="E1394" s="912"/>
    </row>
    <row r="1395" spans="1:5" ht="15.75" x14ac:dyDescent="0.25">
      <c r="A1395" s="869"/>
      <c r="B1395" s="912"/>
      <c r="C1395" s="912"/>
      <c r="D1395" s="912"/>
      <c r="E1395" s="912"/>
    </row>
    <row r="1396" spans="1:5" ht="15.75" x14ac:dyDescent="0.25">
      <c r="A1396" s="869"/>
      <c r="B1396" s="912"/>
      <c r="C1396" s="912"/>
      <c r="D1396" s="912"/>
      <c r="E1396" s="912"/>
    </row>
    <row r="1397" spans="1:5" ht="15.75" x14ac:dyDescent="0.25">
      <c r="A1397" s="869"/>
      <c r="B1397" s="912"/>
      <c r="C1397" s="912"/>
      <c r="D1397" s="912"/>
      <c r="E1397" s="912"/>
    </row>
    <row r="1398" spans="1:5" ht="15.75" x14ac:dyDescent="0.25">
      <c r="A1398" s="869"/>
      <c r="B1398" s="912"/>
      <c r="C1398" s="912"/>
      <c r="D1398" s="912"/>
      <c r="E1398" s="912"/>
    </row>
    <row r="1399" spans="1:5" ht="15.75" x14ac:dyDescent="0.25">
      <c r="A1399" s="869"/>
      <c r="B1399" s="912"/>
      <c r="C1399" s="912"/>
      <c r="D1399" s="912"/>
      <c r="E1399" s="912"/>
    </row>
    <row r="1400" spans="1:5" ht="15.75" x14ac:dyDescent="0.25">
      <c r="A1400" s="869"/>
      <c r="B1400" s="912"/>
      <c r="C1400" s="912"/>
      <c r="D1400" s="912"/>
      <c r="E1400" s="912"/>
    </row>
    <row r="1401" spans="1:5" ht="15.75" x14ac:dyDescent="0.25">
      <c r="A1401" s="869"/>
      <c r="B1401" s="912"/>
      <c r="C1401" s="912"/>
      <c r="D1401" s="912"/>
      <c r="E1401" s="912"/>
    </row>
    <row r="1402" spans="1:5" ht="15.75" x14ac:dyDescent="0.25">
      <c r="A1402" s="869"/>
      <c r="B1402" s="912"/>
      <c r="C1402" s="912"/>
      <c r="D1402" s="912"/>
      <c r="E1402" s="912"/>
    </row>
    <row r="1403" spans="1:5" ht="15.75" x14ac:dyDescent="0.25">
      <c r="A1403" s="869"/>
      <c r="B1403" s="912"/>
      <c r="C1403" s="912"/>
      <c r="D1403" s="912"/>
      <c r="E1403" s="912"/>
    </row>
    <row r="1404" spans="1:5" ht="15.75" x14ac:dyDescent="0.25">
      <c r="A1404" s="869"/>
      <c r="B1404" s="912"/>
      <c r="C1404" s="912"/>
      <c r="D1404" s="912"/>
      <c r="E1404" s="912"/>
    </row>
    <row r="1405" spans="1:5" ht="15.75" x14ac:dyDescent="0.25">
      <c r="A1405" s="869"/>
      <c r="B1405" s="912"/>
      <c r="C1405" s="912"/>
      <c r="D1405" s="912"/>
      <c r="E1405" s="912"/>
    </row>
    <row r="1406" spans="1:5" ht="15.75" x14ac:dyDescent="0.25">
      <c r="A1406" s="869"/>
      <c r="B1406" s="912"/>
      <c r="C1406" s="912"/>
      <c r="D1406" s="912"/>
      <c r="E1406" s="912"/>
    </row>
    <row r="1407" spans="1:5" ht="15.75" x14ac:dyDescent="0.25">
      <c r="A1407" s="869"/>
      <c r="B1407" s="912"/>
      <c r="C1407" s="912"/>
      <c r="D1407" s="912"/>
      <c r="E1407" s="912"/>
    </row>
    <row r="1408" spans="1:5" ht="15.75" x14ac:dyDescent="0.25">
      <c r="A1408" s="869"/>
      <c r="B1408" s="912"/>
      <c r="C1408" s="912"/>
      <c r="D1408" s="912"/>
      <c r="E1408" s="912"/>
    </row>
    <row r="1409" spans="1:5" ht="15.75" x14ac:dyDescent="0.25">
      <c r="A1409" s="869"/>
      <c r="B1409" s="912"/>
      <c r="C1409" s="912"/>
      <c r="D1409" s="912"/>
      <c r="E1409" s="912"/>
    </row>
    <row r="1410" spans="1:5" ht="15.75" x14ac:dyDescent="0.25">
      <c r="A1410" s="869"/>
      <c r="B1410" s="912"/>
      <c r="C1410" s="912"/>
      <c r="D1410" s="912"/>
      <c r="E1410" s="912"/>
    </row>
    <row r="1411" spans="1:5" ht="15.75" x14ac:dyDescent="0.25">
      <c r="A1411" s="869"/>
      <c r="B1411" s="912"/>
      <c r="C1411" s="912"/>
      <c r="D1411" s="912"/>
      <c r="E1411" s="912"/>
    </row>
    <row r="1412" spans="1:5" ht="15.75" x14ac:dyDescent="0.25">
      <c r="A1412" s="869"/>
      <c r="B1412" s="912"/>
      <c r="C1412" s="912"/>
      <c r="D1412" s="912"/>
      <c r="E1412" s="912"/>
    </row>
    <row r="1413" spans="1:5" ht="15.75" x14ac:dyDescent="0.25">
      <c r="A1413" s="869"/>
      <c r="B1413" s="912"/>
      <c r="C1413" s="912"/>
      <c r="D1413" s="912"/>
      <c r="E1413" s="912"/>
    </row>
    <row r="1414" spans="1:5" ht="15.75" x14ac:dyDescent="0.25">
      <c r="A1414" s="869"/>
      <c r="B1414" s="912"/>
      <c r="C1414" s="912"/>
      <c r="D1414" s="912"/>
      <c r="E1414" s="912"/>
    </row>
    <row r="1415" spans="1:5" ht="15.75" x14ac:dyDescent="0.25">
      <c r="A1415" s="869"/>
      <c r="B1415" s="912"/>
      <c r="C1415" s="912"/>
      <c r="D1415" s="912"/>
      <c r="E1415" s="912"/>
    </row>
    <row r="1416" spans="1:5" ht="15.75" x14ac:dyDescent="0.25">
      <c r="A1416" s="869"/>
      <c r="B1416" s="912"/>
      <c r="C1416" s="912"/>
      <c r="D1416" s="912"/>
      <c r="E1416" s="912"/>
    </row>
    <row r="1417" spans="1:5" ht="15.75" x14ac:dyDescent="0.25">
      <c r="A1417" s="869"/>
      <c r="B1417" s="912"/>
      <c r="C1417" s="912"/>
      <c r="D1417" s="912"/>
      <c r="E1417" s="912"/>
    </row>
    <row r="1418" spans="1:5" ht="15.75" x14ac:dyDescent="0.25">
      <c r="A1418" s="869"/>
      <c r="B1418" s="912"/>
      <c r="C1418" s="912"/>
      <c r="D1418" s="912"/>
      <c r="E1418" s="912"/>
    </row>
    <row r="1419" spans="1:5" ht="15.75" x14ac:dyDescent="0.25">
      <c r="A1419" s="869"/>
      <c r="B1419" s="912"/>
      <c r="C1419" s="912"/>
      <c r="D1419" s="912"/>
      <c r="E1419" s="912"/>
    </row>
    <row r="1420" spans="1:5" ht="15.75" x14ac:dyDescent="0.25">
      <c r="A1420" s="869"/>
      <c r="B1420" s="912"/>
      <c r="C1420" s="912"/>
      <c r="D1420" s="912"/>
      <c r="E1420" s="912"/>
    </row>
    <row r="1421" spans="1:5" ht="15.75" x14ac:dyDescent="0.25">
      <c r="A1421" s="869"/>
      <c r="B1421" s="912"/>
      <c r="C1421" s="912"/>
      <c r="D1421" s="912"/>
      <c r="E1421" s="912"/>
    </row>
    <row r="1422" spans="1:5" ht="15.75" x14ac:dyDescent="0.25">
      <c r="A1422" s="869"/>
      <c r="B1422" s="912"/>
      <c r="C1422" s="912"/>
      <c r="D1422" s="912"/>
      <c r="E1422" s="912"/>
    </row>
    <row r="1423" spans="1:5" ht="15.75" x14ac:dyDescent="0.25">
      <c r="A1423" s="869"/>
      <c r="B1423" s="912"/>
      <c r="C1423" s="912"/>
      <c r="D1423" s="912"/>
      <c r="E1423" s="912"/>
    </row>
    <row r="1424" spans="1:5" ht="15.75" x14ac:dyDescent="0.25">
      <c r="A1424" s="869"/>
      <c r="B1424" s="912"/>
      <c r="C1424" s="912"/>
      <c r="D1424" s="912"/>
      <c r="E1424" s="912"/>
    </row>
    <row r="1425" spans="1:5" ht="15.75" x14ac:dyDescent="0.25">
      <c r="A1425" s="869"/>
      <c r="B1425" s="912"/>
      <c r="C1425" s="912"/>
      <c r="D1425" s="912"/>
      <c r="E1425" s="912"/>
    </row>
    <row r="1426" spans="1:5" ht="15.75" x14ac:dyDescent="0.25">
      <c r="A1426" s="869"/>
      <c r="B1426" s="912"/>
      <c r="C1426" s="912"/>
      <c r="D1426" s="912"/>
      <c r="E1426" s="912"/>
    </row>
    <row r="1427" spans="1:5" ht="15.75" x14ac:dyDescent="0.25">
      <c r="A1427" s="869"/>
      <c r="B1427" s="912"/>
      <c r="C1427" s="912"/>
      <c r="D1427" s="912"/>
      <c r="E1427" s="912"/>
    </row>
    <row r="1428" spans="1:5" ht="15.75" x14ac:dyDescent="0.25">
      <c r="A1428" s="869"/>
      <c r="B1428" s="912"/>
      <c r="C1428" s="912"/>
      <c r="D1428" s="912"/>
      <c r="E1428" s="912"/>
    </row>
    <row r="1429" spans="1:5" ht="15.75" x14ac:dyDescent="0.25">
      <c r="A1429" s="869"/>
      <c r="B1429" s="912"/>
      <c r="C1429" s="912"/>
      <c r="D1429" s="912"/>
      <c r="E1429" s="912"/>
    </row>
    <row r="1430" spans="1:5" ht="15.75" x14ac:dyDescent="0.25">
      <c r="A1430" s="869"/>
      <c r="B1430" s="912"/>
      <c r="C1430" s="912"/>
      <c r="D1430" s="912"/>
      <c r="E1430" s="912"/>
    </row>
    <row r="1431" spans="1:5" ht="15.75" x14ac:dyDescent="0.25">
      <c r="A1431" s="869"/>
      <c r="B1431" s="912"/>
      <c r="C1431" s="912"/>
      <c r="D1431" s="912"/>
      <c r="E1431" s="912"/>
    </row>
    <row r="1432" spans="1:5" ht="15.75" x14ac:dyDescent="0.25">
      <c r="A1432" s="869"/>
      <c r="B1432" s="912"/>
      <c r="C1432" s="912"/>
      <c r="D1432" s="912"/>
      <c r="E1432" s="912"/>
    </row>
    <row r="1433" spans="1:5" ht="15.75" x14ac:dyDescent="0.25">
      <c r="A1433" s="869"/>
      <c r="B1433" s="912"/>
      <c r="C1433" s="912"/>
      <c r="D1433" s="912"/>
      <c r="E1433" s="912"/>
    </row>
    <row r="1434" spans="1:5" ht="15.75" x14ac:dyDescent="0.25">
      <c r="A1434" s="869"/>
      <c r="B1434" s="912"/>
      <c r="C1434" s="912"/>
      <c r="D1434" s="912"/>
      <c r="E1434" s="912"/>
    </row>
    <row r="1435" spans="1:5" ht="15.75" x14ac:dyDescent="0.25">
      <c r="A1435" s="869"/>
      <c r="B1435" s="912"/>
      <c r="C1435" s="912"/>
      <c r="D1435" s="912"/>
      <c r="E1435" s="912"/>
    </row>
    <row r="1436" spans="1:5" ht="15.75" x14ac:dyDescent="0.25">
      <c r="A1436" s="869"/>
      <c r="B1436" s="912"/>
      <c r="C1436" s="912"/>
      <c r="D1436" s="912"/>
      <c r="E1436" s="912"/>
    </row>
    <row r="1437" spans="1:5" ht="15.75" x14ac:dyDescent="0.25">
      <c r="A1437" s="869"/>
      <c r="B1437" s="912"/>
      <c r="C1437" s="912"/>
      <c r="D1437" s="912"/>
      <c r="E1437" s="912"/>
    </row>
    <row r="1438" spans="1:5" ht="15.75" x14ac:dyDescent="0.25">
      <c r="A1438" s="869"/>
      <c r="B1438" s="912"/>
      <c r="C1438" s="912"/>
      <c r="D1438" s="912"/>
      <c r="E1438" s="912"/>
    </row>
    <row r="1439" spans="1:5" ht="15.75" x14ac:dyDescent="0.25">
      <c r="A1439" s="869"/>
      <c r="B1439" s="912"/>
      <c r="C1439" s="912"/>
      <c r="D1439" s="912"/>
      <c r="E1439" s="912"/>
    </row>
    <row r="1440" spans="1:5" ht="15.75" x14ac:dyDescent="0.25">
      <c r="A1440" s="869"/>
      <c r="B1440" s="912"/>
      <c r="C1440" s="912"/>
      <c r="D1440" s="912"/>
      <c r="E1440" s="912"/>
    </row>
    <row r="1441" spans="1:5" ht="15.75" x14ac:dyDescent="0.25">
      <c r="A1441" s="869"/>
      <c r="B1441" s="912"/>
      <c r="C1441" s="912"/>
      <c r="D1441" s="912"/>
      <c r="E1441" s="912"/>
    </row>
    <row r="1442" spans="1:5" ht="15.75" x14ac:dyDescent="0.25">
      <c r="A1442" s="869"/>
      <c r="B1442" s="912"/>
      <c r="C1442" s="912"/>
      <c r="D1442" s="912"/>
      <c r="E1442" s="912"/>
    </row>
    <row r="1443" spans="1:5" ht="15.75" x14ac:dyDescent="0.25">
      <c r="A1443" s="869"/>
      <c r="B1443" s="912"/>
      <c r="C1443" s="912"/>
      <c r="D1443" s="912"/>
      <c r="E1443" s="912"/>
    </row>
    <row r="1444" spans="1:5" ht="15.75" x14ac:dyDescent="0.25">
      <c r="A1444" s="869"/>
      <c r="B1444" s="912"/>
      <c r="C1444" s="912"/>
      <c r="D1444" s="912"/>
      <c r="E1444" s="912"/>
    </row>
    <row r="1445" spans="1:5" ht="15.75" x14ac:dyDescent="0.25">
      <c r="A1445" s="869"/>
      <c r="B1445" s="912"/>
      <c r="C1445" s="912"/>
      <c r="D1445" s="912"/>
      <c r="E1445" s="912"/>
    </row>
    <row r="1446" spans="1:5" ht="15.75" x14ac:dyDescent="0.25">
      <c r="A1446" s="869"/>
      <c r="B1446" s="912"/>
      <c r="C1446" s="912"/>
      <c r="D1446" s="912"/>
      <c r="E1446" s="912"/>
    </row>
    <row r="1447" spans="1:5" ht="15.75" x14ac:dyDescent="0.25">
      <c r="A1447" s="869"/>
      <c r="B1447" s="912"/>
      <c r="C1447" s="912"/>
      <c r="D1447" s="912"/>
      <c r="E1447" s="912"/>
    </row>
    <row r="1448" spans="1:5" ht="15.75" x14ac:dyDescent="0.25">
      <c r="A1448" s="869"/>
      <c r="B1448" s="912"/>
      <c r="C1448" s="912"/>
      <c r="D1448" s="912"/>
      <c r="E1448" s="912"/>
    </row>
    <row r="1449" spans="1:5" ht="15.75" x14ac:dyDescent="0.25">
      <c r="A1449" s="869"/>
      <c r="B1449" s="912"/>
      <c r="C1449" s="912"/>
      <c r="D1449" s="912"/>
      <c r="E1449" s="912"/>
    </row>
    <row r="1450" spans="1:5" ht="15.75" x14ac:dyDescent="0.25">
      <c r="A1450" s="869"/>
      <c r="B1450" s="912"/>
      <c r="C1450" s="912"/>
      <c r="D1450" s="912"/>
      <c r="E1450" s="912"/>
    </row>
    <row r="1451" spans="1:5" ht="15.75" x14ac:dyDescent="0.25">
      <c r="A1451" s="869"/>
      <c r="B1451" s="912"/>
      <c r="C1451" s="912"/>
      <c r="D1451" s="912"/>
      <c r="E1451" s="912"/>
    </row>
    <row r="1452" spans="1:5" ht="15.75" x14ac:dyDescent="0.25">
      <c r="A1452" s="869"/>
      <c r="B1452" s="912"/>
      <c r="C1452" s="912"/>
      <c r="D1452" s="912"/>
      <c r="E1452" s="912"/>
    </row>
    <row r="1453" spans="1:5" ht="15.75" x14ac:dyDescent="0.25">
      <c r="A1453" s="869"/>
      <c r="B1453" s="912"/>
      <c r="C1453" s="912"/>
      <c r="D1453" s="912"/>
      <c r="E1453" s="912"/>
    </row>
    <row r="1454" spans="1:5" ht="15.75" x14ac:dyDescent="0.25">
      <c r="A1454" s="869"/>
      <c r="B1454" s="912"/>
      <c r="C1454" s="912"/>
      <c r="D1454" s="912"/>
      <c r="E1454" s="912"/>
    </row>
    <row r="1455" spans="1:5" ht="15.75" x14ac:dyDescent="0.25">
      <c r="A1455" s="869"/>
      <c r="B1455" s="912"/>
      <c r="C1455" s="912"/>
      <c r="D1455" s="912"/>
      <c r="E1455" s="912"/>
    </row>
    <row r="1456" spans="1:5" ht="15.75" x14ac:dyDescent="0.25">
      <c r="A1456" s="869"/>
      <c r="B1456" s="912"/>
      <c r="C1456" s="912"/>
      <c r="D1456" s="912"/>
      <c r="E1456" s="912"/>
    </row>
    <row r="1457" spans="1:5" ht="15.75" x14ac:dyDescent="0.25">
      <c r="A1457" s="869"/>
      <c r="B1457" s="912"/>
      <c r="C1457" s="912"/>
      <c r="D1457" s="912"/>
      <c r="E1457" s="912"/>
    </row>
    <row r="1458" spans="1:5" ht="15.75" x14ac:dyDescent="0.25">
      <c r="A1458" s="869"/>
      <c r="B1458" s="912"/>
      <c r="C1458" s="912"/>
      <c r="D1458" s="912"/>
      <c r="E1458" s="912"/>
    </row>
    <row r="1459" spans="1:5" ht="15.75" x14ac:dyDescent="0.25">
      <c r="A1459" s="869"/>
      <c r="B1459" s="912"/>
      <c r="C1459" s="912"/>
      <c r="D1459" s="912"/>
      <c r="E1459" s="912"/>
    </row>
    <row r="1460" spans="1:5" ht="15.75" x14ac:dyDescent="0.25">
      <c r="A1460" s="869"/>
      <c r="B1460" s="912"/>
      <c r="C1460" s="912"/>
      <c r="D1460" s="912"/>
      <c r="E1460" s="912"/>
    </row>
    <row r="1461" spans="1:5" ht="15.75" x14ac:dyDescent="0.25">
      <c r="A1461" s="869"/>
      <c r="B1461" s="912"/>
      <c r="C1461" s="912"/>
      <c r="D1461" s="912"/>
      <c r="E1461" s="912"/>
    </row>
    <row r="1462" spans="1:5" ht="15.75" x14ac:dyDescent="0.25">
      <c r="A1462" s="869"/>
      <c r="B1462" s="912"/>
      <c r="C1462" s="912"/>
      <c r="D1462" s="912"/>
      <c r="E1462" s="912"/>
    </row>
    <row r="1463" spans="1:5" ht="15.75" x14ac:dyDescent="0.25">
      <c r="A1463" s="869"/>
      <c r="B1463" s="912"/>
      <c r="C1463" s="912"/>
      <c r="D1463" s="912"/>
      <c r="E1463" s="912"/>
    </row>
    <row r="1464" spans="1:5" ht="15.75" x14ac:dyDescent="0.25">
      <c r="A1464" s="869"/>
      <c r="B1464" s="912"/>
      <c r="C1464" s="912"/>
      <c r="D1464" s="912"/>
      <c r="E1464" s="912"/>
    </row>
    <row r="1465" spans="1:5" ht="15.75" x14ac:dyDescent="0.25">
      <c r="A1465" s="869"/>
      <c r="B1465" s="912"/>
      <c r="C1465" s="912"/>
      <c r="D1465" s="912"/>
      <c r="E1465" s="912"/>
    </row>
    <row r="1466" spans="1:5" ht="15.75" x14ac:dyDescent="0.25">
      <c r="A1466" s="869"/>
      <c r="B1466" s="912"/>
      <c r="C1466" s="912"/>
      <c r="D1466" s="912"/>
      <c r="E1466" s="912"/>
    </row>
    <row r="1467" spans="1:5" ht="15.75" x14ac:dyDescent="0.25">
      <c r="A1467" s="869"/>
      <c r="B1467" s="912"/>
      <c r="C1467" s="912"/>
      <c r="D1467" s="912"/>
      <c r="E1467" s="912"/>
    </row>
    <row r="1468" spans="1:5" ht="15.75" x14ac:dyDescent="0.25">
      <c r="A1468" s="869"/>
      <c r="B1468" s="912"/>
      <c r="C1468" s="912"/>
      <c r="D1468" s="912"/>
      <c r="E1468" s="912"/>
    </row>
    <row r="1469" spans="1:5" ht="15.75" x14ac:dyDescent="0.25">
      <c r="A1469" s="869"/>
      <c r="B1469" s="912"/>
      <c r="C1469" s="912"/>
      <c r="D1469" s="912"/>
      <c r="E1469" s="912"/>
    </row>
    <row r="1470" spans="1:5" ht="15.75" x14ac:dyDescent="0.25">
      <c r="A1470" s="869"/>
      <c r="B1470" s="912"/>
      <c r="C1470" s="912"/>
      <c r="D1470" s="912"/>
      <c r="E1470" s="912"/>
    </row>
    <row r="1471" spans="1:5" ht="15.75" x14ac:dyDescent="0.25">
      <c r="A1471" s="869"/>
      <c r="B1471" s="912"/>
      <c r="C1471" s="912"/>
      <c r="D1471" s="912"/>
      <c r="E1471" s="912"/>
    </row>
    <row r="1472" spans="1:5" ht="15.75" x14ac:dyDescent="0.25">
      <c r="A1472" s="869"/>
      <c r="B1472" s="912"/>
      <c r="C1472" s="912"/>
      <c r="D1472" s="912"/>
      <c r="E1472" s="912"/>
    </row>
    <row r="1473" spans="1:5" ht="15.75" x14ac:dyDescent="0.25">
      <c r="A1473" s="869"/>
      <c r="B1473" s="912"/>
      <c r="C1473" s="912"/>
      <c r="D1473" s="912"/>
      <c r="E1473" s="912"/>
    </row>
    <row r="1474" spans="1:5" ht="15.75" x14ac:dyDescent="0.25">
      <c r="A1474" s="869"/>
      <c r="B1474" s="912"/>
      <c r="C1474" s="912"/>
      <c r="D1474" s="912"/>
      <c r="E1474" s="912"/>
    </row>
    <row r="1475" spans="1:5" ht="15.75" x14ac:dyDescent="0.25">
      <c r="A1475" s="869"/>
      <c r="B1475" s="912"/>
      <c r="C1475" s="912"/>
      <c r="D1475" s="912"/>
      <c r="E1475" s="912"/>
    </row>
    <row r="1476" spans="1:5" ht="15.75" x14ac:dyDescent="0.25">
      <c r="A1476" s="869"/>
      <c r="B1476" s="912"/>
      <c r="C1476" s="912"/>
      <c r="D1476" s="912"/>
      <c r="E1476" s="912"/>
    </row>
    <row r="1477" spans="1:5" ht="15.75" x14ac:dyDescent="0.25">
      <c r="A1477" s="869"/>
      <c r="B1477" s="912"/>
      <c r="C1477" s="912"/>
      <c r="D1477" s="912"/>
      <c r="E1477" s="912"/>
    </row>
    <row r="1478" spans="1:5" ht="15.75" x14ac:dyDescent="0.25">
      <c r="A1478" s="869"/>
      <c r="B1478" s="912"/>
      <c r="C1478" s="912"/>
      <c r="D1478" s="912"/>
      <c r="E1478" s="912"/>
    </row>
    <row r="1479" spans="1:5" ht="15.75" x14ac:dyDescent="0.25">
      <c r="A1479" s="869"/>
      <c r="B1479" s="912"/>
      <c r="C1479" s="912"/>
      <c r="D1479" s="912"/>
      <c r="E1479" s="912"/>
    </row>
    <row r="1480" spans="1:5" ht="15.75" x14ac:dyDescent="0.25">
      <c r="A1480" s="869"/>
      <c r="B1480" s="912"/>
      <c r="C1480" s="912"/>
      <c r="D1480" s="912"/>
      <c r="E1480" s="912"/>
    </row>
    <row r="1481" spans="1:5" ht="15.75" x14ac:dyDescent="0.25">
      <c r="A1481" s="869"/>
      <c r="B1481" s="912"/>
      <c r="C1481" s="912"/>
      <c r="D1481" s="912"/>
      <c r="E1481" s="912"/>
    </row>
    <row r="1482" spans="1:5" ht="15.75" x14ac:dyDescent="0.25">
      <c r="A1482" s="869"/>
      <c r="B1482" s="912"/>
      <c r="C1482" s="912"/>
      <c r="D1482" s="912"/>
      <c r="E1482" s="912"/>
    </row>
    <row r="1483" spans="1:5" ht="15.75" x14ac:dyDescent="0.25">
      <c r="A1483" s="869"/>
      <c r="B1483" s="912"/>
      <c r="C1483" s="912"/>
      <c r="D1483" s="912"/>
      <c r="E1483" s="912"/>
    </row>
    <row r="1484" spans="1:5" ht="15.75" x14ac:dyDescent="0.25">
      <c r="A1484" s="869"/>
      <c r="B1484" s="912"/>
      <c r="C1484" s="912"/>
      <c r="D1484" s="912"/>
      <c r="E1484" s="912"/>
    </row>
    <row r="1485" spans="1:5" ht="15.75" x14ac:dyDescent="0.25">
      <c r="A1485" s="869"/>
      <c r="B1485" s="912"/>
      <c r="C1485" s="912"/>
      <c r="D1485" s="912"/>
      <c r="E1485" s="912"/>
    </row>
    <row r="1486" spans="1:5" ht="15.75" x14ac:dyDescent="0.25">
      <c r="A1486" s="869"/>
      <c r="B1486" s="912"/>
      <c r="C1486" s="912"/>
      <c r="D1486" s="912"/>
      <c r="E1486" s="912"/>
    </row>
    <row r="1487" spans="1:5" ht="15.75" x14ac:dyDescent="0.25">
      <c r="A1487" s="869"/>
      <c r="B1487" s="912"/>
      <c r="C1487" s="912"/>
      <c r="D1487" s="912"/>
      <c r="E1487" s="912"/>
    </row>
    <row r="1488" spans="1:5" ht="15.75" x14ac:dyDescent="0.25">
      <c r="A1488" s="869"/>
      <c r="B1488" s="912"/>
      <c r="C1488" s="912"/>
      <c r="D1488" s="912"/>
      <c r="E1488" s="912"/>
    </row>
    <row r="1489" spans="1:5" ht="15.75" x14ac:dyDescent="0.25">
      <c r="A1489" s="869"/>
      <c r="B1489" s="912"/>
      <c r="C1489" s="912"/>
      <c r="D1489" s="912"/>
      <c r="E1489" s="912"/>
    </row>
    <row r="1490" spans="1:5" ht="15.75" x14ac:dyDescent="0.25">
      <c r="A1490" s="869"/>
      <c r="B1490" s="912"/>
      <c r="C1490" s="912"/>
      <c r="D1490" s="912"/>
      <c r="E1490" s="912"/>
    </row>
    <row r="1491" spans="1:5" ht="15.75" x14ac:dyDescent="0.25">
      <c r="A1491" s="869"/>
      <c r="B1491" s="912"/>
      <c r="C1491" s="912"/>
      <c r="D1491" s="912"/>
      <c r="E1491" s="912"/>
    </row>
    <row r="1492" spans="1:5" ht="15.75" x14ac:dyDescent="0.25">
      <c r="A1492" s="869"/>
      <c r="B1492" s="912"/>
      <c r="C1492" s="912"/>
      <c r="D1492" s="912"/>
      <c r="E1492" s="912"/>
    </row>
    <row r="1493" spans="1:5" ht="15.75" x14ac:dyDescent="0.25">
      <c r="A1493" s="869"/>
      <c r="B1493" s="912"/>
      <c r="C1493" s="912"/>
      <c r="D1493" s="912"/>
      <c r="E1493" s="912"/>
    </row>
    <row r="1494" spans="1:5" ht="15.75" x14ac:dyDescent="0.25">
      <c r="A1494" s="869"/>
      <c r="B1494" s="912"/>
      <c r="C1494" s="912"/>
      <c r="D1494" s="912"/>
      <c r="E1494" s="912"/>
    </row>
    <row r="1495" spans="1:5" ht="15.75" x14ac:dyDescent="0.25">
      <c r="A1495" s="869"/>
      <c r="B1495" s="912"/>
      <c r="C1495" s="912"/>
      <c r="D1495" s="912"/>
      <c r="E1495" s="912"/>
    </row>
    <row r="1496" spans="1:5" ht="15.75" x14ac:dyDescent="0.25">
      <c r="A1496" s="869"/>
      <c r="B1496" s="912"/>
      <c r="C1496" s="912"/>
      <c r="D1496" s="912"/>
      <c r="E1496" s="912"/>
    </row>
    <row r="1497" spans="1:5" ht="15.75" x14ac:dyDescent="0.25">
      <c r="A1497" s="869"/>
      <c r="B1497" s="912"/>
      <c r="C1497" s="912"/>
      <c r="D1497" s="912"/>
      <c r="E1497" s="912"/>
    </row>
    <row r="1498" spans="1:5" ht="15.75" x14ac:dyDescent="0.25">
      <c r="A1498" s="869"/>
      <c r="B1498" s="912"/>
      <c r="C1498" s="912"/>
      <c r="D1498" s="912"/>
      <c r="E1498" s="912"/>
    </row>
    <row r="1499" spans="1:5" ht="15.75" x14ac:dyDescent="0.25">
      <c r="A1499" s="869"/>
      <c r="B1499" s="912"/>
      <c r="C1499" s="912"/>
      <c r="D1499" s="912"/>
      <c r="E1499" s="912"/>
    </row>
    <row r="1500" spans="1:5" ht="15.75" x14ac:dyDescent="0.25">
      <c r="A1500" s="869"/>
      <c r="B1500" s="912"/>
      <c r="C1500" s="912"/>
      <c r="D1500" s="912"/>
      <c r="E1500" s="912"/>
    </row>
    <row r="1501" spans="1:5" ht="15.75" x14ac:dyDescent="0.25">
      <c r="A1501" s="869"/>
      <c r="B1501" s="912"/>
      <c r="C1501" s="912"/>
      <c r="D1501" s="912"/>
      <c r="E1501" s="912"/>
    </row>
    <row r="1502" spans="1:5" ht="15.75" x14ac:dyDescent="0.25">
      <c r="A1502" s="869"/>
      <c r="B1502" s="912"/>
      <c r="C1502" s="912"/>
      <c r="D1502" s="912"/>
      <c r="E1502" s="912"/>
    </row>
    <row r="1503" spans="1:5" ht="15.75" x14ac:dyDescent="0.25">
      <c r="A1503" s="869"/>
      <c r="B1503" s="912"/>
      <c r="C1503" s="912"/>
      <c r="D1503" s="912"/>
      <c r="E1503" s="912"/>
    </row>
    <row r="1504" spans="1:5" ht="15.75" x14ac:dyDescent="0.25">
      <c r="A1504" s="869"/>
      <c r="B1504" s="912"/>
      <c r="C1504" s="912"/>
      <c r="D1504" s="912"/>
      <c r="E1504" s="912"/>
    </row>
    <row r="1505" spans="1:5" ht="15.75" x14ac:dyDescent="0.25">
      <c r="A1505" s="869"/>
      <c r="B1505" s="912"/>
      <c r="C1505" s="912"/>
      <c r="D1505" s="912"/>
      <c r="E1505" s="912"/>
    </row>
    <row r="1506" spans="1:5" ht="15.75" x14ac:dyDescent="0.25">
      <c r="A1506" s="869"/>
      <c r="B1506" s="912"/>
      <c r="C1506" s="912"/>
      <c r="D1506" s="912"/>
      <c r="E1506" s="912"/>
    </row>
    <row r="1507" spans="1:5" ht="15.75" x14ac:dyDescent="0.25">
      <c r="A1507" s="869"/>
      <c r="B1507" s="912"/>
      <c r="C1507" s="912"/>
      <c r="D1507" s="912"/>
      <c r="E1507" s="912"/>
    </row>
    <row r="1508" spans="1:5" ht="15.75" x14ac:dyDescent="0.25">
      <c r="A1508" s="869"/>
      <c r="B1508" s="912"/>
      <c r="C1508" s="912"/>
      <c r="D1508" s="912"/>
      <c r="E1508" s="912"/>
    </row>
    <row r="1509" spans="1:5" ht="15.75" x14ac:dyDescent="0.25">
      <c r="A1509" s="869"/>
      <c r="B1509" s="912"/>
      <c r="C1509" s="912"/>
      <c r="D1509" s="912"/>
      <c r="E1509" s="912"/>
    </row>
    <row r="1510" spans="1:5" ht="15.75" x14ac:dyDescent="0.25">
      <c r="A1510" s="869"/>
      <c r="B1510" s="912"/>
      <c r="C1510" s="912"/>
      <c r="D1510" s="912"/>
      <c r="E1510" s="912"/>
    </row>
    <row r="1511" spans="1:5" ht="15.75" x14ac:dyDescent="0.25">
      <c r="A1511" s="869"/>
      <c r="B1511" s="912"/>
      <c r="C1511" s="912"/>
      <c r="D1511" s="912"/>
      <c r="E1511" s="912"/>
    </row>
    <row r="1512" spans="1:5" ht="15.75" x14ac:dyDescent="0.25">
      <c r="A1512" s="869"/>
      <c r="B1512" s="912"/>
      <c r="C1512" s="912"/>
      <c r="D1512" s="912"/>
      <c r="E1512" s="912"/>
    </row>
    <row r="1513" spans="1:5" ht="15.75" x14ac:dyDescent="0.25">
      <c r="A1513" s="869"/>
      <c r="B1513" s="912"/>
      <c r="C1513" s="912"/>
      <c r="D1513" s="912"/>
      <c r="E1513" s="912"/>
    </row>
    <row r="1514" spans="1:5" ht="15.75" x14ac:dyDescent="0.25">
      <c r="A1514" s="869"/>
      <c r="B1514" s="912"/>
      <c r="C1514" s="912"/>
      <c r="D1514" s="912"/>
      <c r="E1514" s="912"/>
    </row>
    <row r="1515" spans="1:5" ht="15.75" x14ac:dyDescent="0.25">
      <c r="A1515" s="869"/>
      <c r="B1515" s="912"/>
      <c r="C1515" s="912"/>
      <c r="D1515" s="912"/>
      <c r="E1515" s="912"/>
    </row>
    <row r="1516" spans="1:5" ht="15.75" x14ac:dyDescent="0.25">
      <c r="A1516" s="869"/>
      <c r="B1516" s="912"/>
      <c r="C1516" s="912"/>
      <c r="D1516" s="912"/>
      <c r="E1516" s="912"/>
    </row>
    <row r="1517" spans="1:5" ht="15.75" x14ac:dyDescent="0.25">
      <c r="A1517" s="869"/>
      <c r="B1517" s="912"/>
      <c r="C1517" s="912"/>
      <c r="D1517" s="912"/>
      <c r="E1517" s="912"/>
    </row>
    <row r="1518" spans="1:5" ht="15.75" x14ac:dyDescent="0.25">
      <c r="A1518" s="869"/>
      <c r="B1518" s="912"/>
      <c r="C1518" s="912"/>
      <c r="D1518" s="912"/>
      <c r="E1518" s="912"/>
    </row>
    <row r="1519" spans="1:5" ht="15.75" x14ac:dyDescent="0.25">
      <c r="A1519" s="869"/>
      <c r="B1519" s="912"/>
      <c r="C1519" s="912"/>
      <c r="D1519" s="912"/>
      <c r="E1519" s="912"/>
    </row>
    <row r="1520" spans="1:5" ht="15.75" x14ac:dyDescent="0.25">
      <c r="A1520" s="869"/>
      <c r="B1520" s="912"/>
      <c r="C1520" s="912"/>
      <c r="D1520" s="912"/>
      <c r="E1520" s="912"/>
    </row>
    <row r="1521" spans="1:5" ht="15.75" x14ac:dyDescent="0.25">
      <c r="A1521" s="869"/>
      <c r="B1521" s="912"/>
      <c r="C1521" s="912"/>
      <c r="D1521" s="912"/>
      <c r="E1521" s="912"/>
    </row>
    <row r="1522" spans="1:5" ht="15.75" x14ac:dyDescent="0.25">
      <c r="A1522" s="869"/>
      <c r="B1522" s="912"/>
      <c r="C1522" s="912"/>
      <c r="D1522" s="912"/>
      <c r="E1522" s="912"/>
    </row>
    <row r="1523" spans="1:5" ht="15.75" x14ac:dyDescent="0.25">
      <c r="A1523" s="869"/>
      <c r="B1523" s="912"/>
      <c r="C1523" s="912"/>
      <c r="D1523" s="912"/>
      <c r="E1523" s="912"/>
    </row>
    <row r="1524" spans="1:5" ht="15.75" x14ac:dyDescent="0.25">
      <c r="A1524" s="869"/>
      <c r="B1524" s="912"/>
      <c r="C1524" s="912"/>
      <c r="D1524" s="912"/>
      <c r="E1524" s="912"/>
    </row>
    <row r="1525" spans="1:5" ht="15.75" x14ac:dyDescent="0.25">
      <c r="A1525" s="869"/>
      <c r="B1525" s="912"/>
      <c r="C1525" s="912"/>
      <c r="D1525" s="912"/>
      <c r="E1525" s="912"/>
    </row>
    <row r="1526" spans="1:5" ht="15.75" x14ac:dyDescent="0.25">
      <c r="A1526" s="869"/>
      <c r="B1526" s="912"/>
      <c r="C1526" s="912"/>
      <c r="D1526" s="912"/>
      <c r="E1526" s="912"/>
    </row>
    <row r="1527" spans="1:5" ht="15.75" x14ac:dyDescent="0.25">
      <c r="A1527" s="869"/>
      <c r="B1527" s="912"/>
      <c r="C1527" s="912"/>
      <c r="D1527" s="912"/>
      <c r="E1527" s="912"/>
    </row>
    <row r="1528" spans="1:5" ht="15.75" x14ac:dyDescent="0.25">
      <c r="A1528" s="869"/>
      <c r="B1528" s="912"/>
      <c r="C1528" s="912"/>
      <c r="D1528" s="912"/>
      <c r="E1528" s="912"/>
    </row>
    <row r="1529" spans="1:5" ht="15.75" x14ac:dyDescent="0.25">
      <c r="A1529" s="869"/>
      <c r="B1529" s="912"/>
      <c r="C1529" s="912"/>
      <c r="D1529" s="912"/>
      <c r="E1529" s="912"/>
    </row>
    <row r="1530" spans="1:5" ht="15.75" x14ac:dyDescent="0.25">
      <c r="A1530" s="869"/>
      <c r="B1530" s="912"/>
      <c r="C1530" s="912"/>
      <c r="D1530" s="912"/>
      <c r="E1530" s="912"/>
    </row>
    <row r="1531" spans="1:5" ht="15.75" x14ac:dyDescent="0.25">
      <c r="A1531" s="869"/>
      <c r="B1531" s="912"/>
      <c r="C1531" s="912"/>
      <c r="D1531" s="912"/>
      <c r="E1531" s="912"/>
    </row>
    <row r="1532" spans="1:5" ht="15.75" x14ac:dyDescent="0.25">
      <c r="A1532" s="869"/>
      <c r="B1532" s="912"/>
      <c r="C1532" s="912"/>
      <c r="D1532" s="912"/>
      <c r="E1532" s="912"/>
    </row>
    <row r="1533" spans="1:5" ht="15.75" x14ac:dyDescent="0.25">
      <c r="A1533" s="869"/>
      <c r="B1533" s="912"/>
      <c r="C1533" s="912"/>
      <c r="D1533" s="912"/>
      <c r="E1533" s="912"/>
    </row>
    <row r="1534" spans="1:5" ht="15.75" x14ac:dyDescent="0.25">
      <c r="A1534" s="869"/>
      <c r="B1534" s="912"/>
      <c r="C1534" s="912"/>
      <c r="D1534" s="912"/>
      <c r="E1534" s="912"/>
    </row>
    <row r="1535" spans="1:5" ht="15.75" x14ac:dyDescent="0.25">
      <c r="A1535" s="869"/>
      <c r="B1535" s="912"/>
      <c r="C1535" s="912"/>
      <c r="D1535" s="912"/>
      <c r="E1535" s="912"/>
    </row>
    <row r="1536" spans="1:5" ht="15.75" x14ac:dyDescent="0.25">
      <c r="A1536" s="869"/>
      <c r="B1536" s="912"/>
      <c r="C1536" s="912"/>
      <c r="D1536" s="912"/>
      <c r="E1536" s="912"/>
    </row>
    <row r="1537" spans="1:5" ht="15.75" x14ac:dyDescent="0.25">
      <c r="A1537" s="869"/>
      <c r="B1537" s="912"/>
      <c r="C1537" s="912"/>
      <c r="D1537" s="912"/>
      <c r="E1537" s="912"/>
    </row>
    <row r="1538" spans="1:5" ht="15.75" x14ac:dyDescent="0.25">
      <c r="A1538" s="869"/>
      <c r="B1538" s="912"/>
      <c r="C1538" s="912"/>
      <c r="D1538" s="912"/>
      <c r="E1538" s="912"/>
    </row>
    <row r="1539" spans="1:5" ht="15.75" x14ac:dyDescent="0.25">
      <c r="A1539" s="869"/>
      <c r="B1539" s="912"/>
      <c r="C1539" s="912"/>
      <c r="D1539" s="912"/>
      <c r="E1539" s="912"/>
    </row>
    <row r="1540" spans="1:5" ht="15.75" x14ac:dyDescent="0.25">
      <c r="A1540" s="869"/>
      <c r="B1540" s="912"/>
      <c r="C1540" s="912"/>
      <c r="D1540" s="912"/>
      <c r="E1540" s="912"/>
    </row>
    <row r="1541" spans="1:5" ht="15.75" x14ac:dyDescent="0.25">
      <c r="A1541" s="869"/>
      <c r="B1541" s="912"/>
      <c r="C1541" s="912"/>
      <c r="D1541" s="912"/>
      <c r="E1541" s="912"/>
    </row>
    <row r="1542" spans="1:5" ht="15.75" x14ac:dyDescent="0.25">
      <c r="A1542" s="869"/>
      <c r="B1542" s="912"/>
      <c r="C1542" s="912"/>
      <c r="D1542" s="912"/>
      <c r="E1542" s="912"/>
    </row>
    <row r="1543" spans="1:5" ht="15.75" x14ac:dyDescent="0.25">
      <c r="A1543" s="869"/>
      <c r="B1543" s="912"/>
      <c r="C1543" s="912"/>
      <c r="D1543" s="912"/>
      <c r="E1543" s="912"/>
    </row>
    <row r="1544" spans="1:5" ht="15.75" x14ac:dyDescent="0.25">
      <c r="A1544" s="869"/>
      <c r="B1544" s="912"/>
      <c r="C1544" s="912"/>
      <c r="D1544" s="912"/>
      <c r="E1544" s="912"/>
    </row>
    <row r="1545" spans="1:5" ht="15.75" x14ac:dyDescent="0.25">
      <c r="A1545" s="869"/>
      <c r="B1545" s="912"/>
      <c r="C1545" s="912"/>
      <c r="D1545" s="912"/>
      <c r="E1545" s="912"/>
    </row>
    <row r="1546" spans="1:5" ht="15.75" x14ac:dyDescent="0.25">
      <c r="A1546" s="869"/>
      <c r="B1546" s="912"/>
      <c r="C1546" s="912"/>
      <c r="D1546" s="912"/>
      <c r="E1546" s="912"/>
    </row>
    <row r="1547" spans="1:5" ht="15.75" x14ac:dyDescent="0.25">
      <c r="A1547" s="869"/>
      <c r="B1547" s="912"/>
      <c r="C1547" s="912"/>
      <c r="D1547" s="912"/>
      <c r="E1547" s="912"/>
    </row>
    <row r="1548" spans="1:5" ht="15.75" x14ac:dyDescent="0.25">
      <c r="A1548" s="869"/>
      <c r="B1548" s="912"/>
      <c r="C1548" s="912"/>
      <c r="D1548" s="912"/>
      <c r="E1548" s="912"/>
    </row>
    <row r="1549" spans="1:5" ht="15.75" x14ac:dyDescent="0.25">
      <c r="A1549" s="869"/>
      <c r="B1549" s="912"/>
      <c r="C1549" s="912"/>
      <c r="D1549" s="912"/>
      <c r="E1549" s="912"/>
    </row>
    <row r="1550" spans="1:5" ht="15.75" x14ac:dyDescent="0.25">
      <c r="A1550" s="869"/>
      <c r="B1550" s="912"/>
      <c r="C1550" s="912"/>
      <c r="D1550" s="912"/>
      <c r="E1550" s="912"/>
    </row>
    <row r="1551" spans="1:5" ht="15.75" x14ac:dyDescent="0.25">
      <c r="A1551" s="869"/>
      <c r="B1551" s="912"/>
      <c r="C1551" s="912"/>
      <c r="D1551" s="912"/>
      <c r="E1551" s="912"/>
    </row>
    <row r="1552" spans="1:5" ht="15.75" x14ac:dyDescent="0.25">
      <c r="A1552" s="869"/>
      <c r="B1552" s="912"/>
      <c r="C1552" s="912"/>
      <c r="D1552" s="912"/>
      <c r="E1552" s="912"/>
    </row>
    <row r="1553" spans="1:5" ht="15.75" x14ac:dyDescent="0.25">
      <c r="A1553" s="869"/>
      <c r="B1553" s="912"/>
      <c r="C1553" s="912"/>
      <c r="D1553" s="912"/>
      <c r="E1553" s="912"/>
    </row>
    <row r="1554" spans="1:5" ht="15.75" x14ac:dyDescent="0.25">
      <c r="A1554" s="869"/>
      <c r="B1554" s="912"/>
      <c r="C1554" s="912"/>
      <c r="D1554" s="912"/>
      <c r="E1554" s="912"/>
    </row>
    <row r="1555" spans="1:5" ht="15.75" x14ac:dyDescent="0.25">
      <c r="A1555" s="869"/>
      <c r="B1555" s="912"/>
      <c r="C1555" s="912"/>
      <c r="D1555" s="912"/>
      <c r="E1555" s="912"/>
    </row>
    <row r="1556" spans="1:5" ht="15.75" x14ac:dyDescent="0.25">
      <c r="A1556" s="869"/>
      <c r="B1556" s="912"/>
      <c r="C1556" s="912"/>
      <c r="D1556" s="912"/>
      <c r="E1556" s="912"/>
    </row>
    <row r="1557" spans="1:5" ht="15.75" x14ac:dyDescent="0.25">
      <c r="A1557" s="869"/>
      <c r="B1557" s="912"/>
      <c r="C1557" s="912"/>
      <c r="D1557" s="912"/>
      <c r="E1557" s="912"/>
    </row>
    <row r="1558" spans="1:5" ht="15.75" x14ac:dyDescent="0.25">
      <c r="A1558" s="869"/>
      <c r="B1558" s="912"/>
      <c r="C1558" s="912"/>
      <c r="D1558" s="912"/>
      <c r="E1558" s="912"/>
    </row>
    <row r="1559" spans="1:5" ht="15.75" x14ac:dyDescent="0.25">
      <c r="A1559" s="869"/>
      <c r="B1559" s="912"/>
      <c r="C1559" s="912"/>
      <c r="D1559" s="912"/>
      <c r="E1559" s="912"/>
    </row>
    <row r="1560" spans="1:5" ht="15.75" x14ac:dyDescent="0.25">
      <c r="A1560" s="869"/>
      <c r="B1560" s="912"/>
      <c r="C1560" s="912"/>
      <c r="D1560" s="912"/>
      <c r="E1560" s="912"/>
    </row>
    <row r="1561" spans="1:5" ht="15.75" x14ac:dyDescent="0.25">
      <c r="A1561" s="869"/>
      <c r="B1561" s="912"/>
      <c r="C1561" s="912"/>
      <c r="D1561" s="912"/>
      <c r="E1561" s="912"/>
    </row>
    <row r="1562" spans="1:5" ht="15.75" x14ac:dyDescent="0.25">
      <c r="A1562" s="869"/>
      <c r="B1562" s="912"/>
      <c r="C1562" s="912"/>
      <c r="D1562" s="912"/>
      <c r="E1562" s="912"/>
    </row>
    <row r="1563" spans="1:5" ht="15.75" x14ac:dyDescent="0.25">
      <c r="A1563" s="869"/>
      <c r="B1563" s="912"/>
      <c r="C1563" s="912"/>
      <c r="D1563" s="912"/>
      <c r="E1563" s="912"/>
    </row>
    <row r="1564" spans="1:5" ht="15.75" x14ac:dyDescent="0.25">
      <c r="A1564" s="869"/>
      <c r="B1564" s="912"/>
      <c r="C1564" s="912"/>
      <c r="D1564" s="912"/>
      <c r="E1564" s="912"/>
    </row>
    <row r="1565" spans="1:5" ht="15.75" x14ac:dyDescent="0.25">
      <c r="A1565" s="869"/>
      <c r="B1565" s="912"/>
      <c r="C1565" s="912"/>
      <c r="D1565" s="912"/>
      <c r="E1565" s="912"/>
    </row>
    <row r="1566" spans="1:5" ht="15.75" x14ac:dyDescent="0.25">
      <c r="A1566" s="869"/>
      <c r="B1566" s="912"/>
      <c r="C1566" s="912"/>
      <c r="D1566" s="912"/>
      <c r="E1566" s="912"/>
    </row>
    <row r="1567" spans="1:5" ht="15.75" x14ac:dyDescent="0.25">
      <c r="A1567" s="869"/>
      <c r="B1567" s="912"/>
      <c r="C1567" s="912"/>
      <c r="D1567" s="912"/>
      <c r="E1567" s="912"/>
    </row>
    <row r="1568" spans="1:5" ht="15.75" x14ac:dyDescent="0.25">
      <c r="A1568" s="869"/>
      <c r="B1568" s="912"/>
      <c r="C1568" s="912"/>
      <c r="D1568" s="912"/>
      <c r="E1568" s="912"/>
    </row>
    <row r="1569" spans="1:5" ht="15.75" x14ac:dyDescent="0.25">
      <c r="A1569" s="869"/>
      <c r="B1569" s="912"/>
      <c r="C1569" s="912"/>
      <c r="D1569" s="912"/>
      <c r="E1569" s="912"/>
    </row>
    <row r="1570" spans="1:5" ht="15.75" x14ac:dyDescent="0.25">
      <c r="A1570" s="869"/>
      <c r="B1570" s="912"/>
      <c r="C1570" s="912"/>
      <c r="D1570" s="912"/>
      <c r="E1570" s="912"/>
    </row>
    <row r="1571" spans="1:5" ht="15.75" x14ac:dyDescent="0.25">
      <c r="A1571" s="869"/>
      <c r="B1571" s="912"/>
      <c r="C1571" s="912"/>
      <c r="D1571" s="912"/>
      <c r="E1571" s="912"/>
    </row>
    <row r="1572" spans="1:5" ht="15.75" x14ac:dyDescent="0.25">
      <c r="A1572" s="869"/>
      <c r="B1572" s="912"/>
      <c r="C1572" s="912"/>
      <c r="D1572" s="912"/>
      <c r="E1572" s="912"/>
    </row>
    <row r="1573" spans="1:5" ht="15.75" x14ac:dyDescent="0.25">
      <c r="A1573" s="869"/>
      <c r="B1573" s="912"/>
      <c r="C1573" s="912"/>
      <c r="D1573" s="912"/>
      <c r="E1573" s="912"/>
    </row>
    <row r="1574" spans="1:5" ht="15.75" x14ac:dyDescent="0.25">
      <c r="A1574" s="869"/>
      <c r="B1574" s="912"/>
      <c r="C1574" s="912"/>
      <c r="D1574" s="912"/>
      <c r="E1574" s="912"/>
    </row>
    <row r="1575" spans="1:5" ht="15.75" x14ac:dyDescent="0.25">
      <c r="A1575" s="869"/>
      <c r="B1575" s="912"/>
      <c r="C1575" s="912"/>
      <c r="D1575" s="912"/>
      <c r="E1575" s="912"/>
    </row>
    <row r="1576" spans="1:5" ht="15.75" x14ac:dyDescent="0.25">
      <c r="A1576" s="869"/>
      <c r="B1576" s="912"/>
      <c r="C1576" s="912"/>
      <c r="D1576" s="912"/>
      <c r="E1576" s="912"/>
    </row>
    <row r="1577" spans="1:5" ht="15.75" x14ac:dyDescent="0.25">
      <c r="A1577" s="869"/>
      <c r="B1577" s="912"/>
      <c r="C1577" s="912"/>
      <c r="D1577" s="912"/>
      <c r="E1577" s="912"/>
    </row>
    <row r="1578" spans="1:5" ht="15.75" x14ac:dyDescent="0.25">
      <c r="A1578" s="869"/>
      <c r="B1578" s="912"/>
      <c r="C1578" s="912"/>
      <c r="D1578" s="912"/>
      <c r="E1578" s="912"/>
    </row>
    <row r="1579" spans="1:5" ht="15.75" x14ac:dyDescent="0.25">
      <c r="A1579" s="869"/>
      <c r="B1579" s="912"/>
      <c r="C1579" s="912"/>
      <c r="D1579" s="912"/>
      <c r="E1579" s="912"/>
    </row>
    <row r="1580" spans="1:5" ht="15.75" x14ac:dyDescent="0.25">
      <c r="A1580" s="869"/>
      <c r="B1580" s="912"/>
      <c r="C1580" s="912"/>
      <c r="D1580" s="912"/>
      <c r="E1580" s="912"/>
    </row>
    <row r="1581" spans="1:5" ht="15.75" x14ac:dyDescent="0.25">
      <c r="A1581" s="869"/>
      <c r="B1581" s="912"/>
      <c r="C1581" s="912"/>
      <c r="D1581" s="912"/>
      <c r="E1581" s="912"/>
    </row>
    <row r="1582" spans="1:5" ht="15.75" x14ac:dyDescent="0.25">
      <c r="A1582" s="869"/>
      <c r="B1582" s="912"/>
      <c r="C1582" s="912"/>
      <c r="D1582" s="912"/>
      <c r="E1582" s="912"/>
    </row>
    <row r="1583" spans="1:5" ht="15.75" x14ac:dyDescent="0.25">
      <c r="A1583" s="869"/>
      <c r="B1583" s="912"/>
      <c r="C1583" s="912"/>
      <c r="D1583" s="912"/>
      <c r="E1583" s="912"/>
    </row>
    <row r="1584" spans="1:5" ht="15.75" x14ac:dyDescent="0.25">
      <c r="A1584" s="869"/>
      <c r="B1584" s="912"/>
      <c r="C1584" s="912"/>
      <c r="D1584" s="912"/>
      <c r="E1584" s="912"/>
    </row>
    <row r="1585" spans="1:5" ht="15.75" x14ac:dyDescent="0.25">
      <c r="A1585" s="869"/>
      <c r="B1585" s="912"/>
      <c r="C1585" s="912"/>
      <c r="D1585" s="912"/>
      <c r="E1585" s="912"/>
    </row>
    <row r="1586" spans="1:5" ht="15.75" x14ac:dyDescent="0.25">
      <c r="A1586" s="869"/>
      <c r="B1586" s="912"/>
      <c r="C1586" s="912"/>
      <c r="D1586" s="912"/>
      <c r="E1586" s="912"/>
    </row>
    <row r="1587" spans="1:5" ht="15.75" x14ac:dyDescent="0.25">
      <c r="A1587" s="869"/>
      <c r="B1587" s="912"/>
      <c r="C1587" s="912"/>
      <c r="D1587" s="912"/>
      <c r="E1587" s="912"/>
    </row>
    <row r="1588" spans="1:5" ht="15.75" x14ac:dyDescent="0.25">
      <c r="A1588" s="869"/>
      <c r="B1588" s="912"/>
      <c r="C1588" s="912"/>
      <c r="D1588" s="912"/>
      <c r="E1588" s="912"/>
    </row>
    <row r="1589" spans="1:5" ht="15.75" x14ac:dyDescent="0.25">
      <c r="A1589" s="869"/>
      <c r="B1589" s="912"/>
      <c r="C1589" s="912"/>
      <c r="D1589" s="912"/>
      <c r="E1589" s="912"/>
    </row>
    <row r="1590" spans="1:5" ht="15.75" x14ac:dyDescent="0.25">
      <c r="A1590" s="869"/>
      <c r="B1590" s="912"/>
      <c r="C1590" s="912"/>
      <c r="D1590" s="912"/>
      <c r="E1590" s="912"/>
    </row>
    <row r="1591" spans="1:5" ht="15.75" x14ac:dyDescent="0.25">
      <c r="A1591" s="869"/>
      <c r="B1591" s="912"/>
      <c r="C1591" s="912"/>
      <c r="D1591" s="912"/>
      <c r="E1591" s="912"/>
    </row>
    <row r="1592" spans="1:5" ht="15.75" x14ac:dyDescent="0.25">
      <c r="A1592" s="869"/>
      <c r="B1592" s="912"/>
      <c r="C1592" s="912"/>
      <c r="D1592" s="912"/>
      <c r="E1592" s="912"/>
    </row>
    <row r="1593" spans="1:5" ht="15.75" x14ac:dyDescent="0.25">
      <c r="A1593" s="869"/>
      <c r="B1593" s="912"/>
      <c r="C1593" s="912"/>
      <c r="D1593" s="912"/>
      <c r="E1593" s="912"/>
    </row>
    <row r="1594" spans="1:5" ht="15.75" x14ac:dyDescent="0.25">
      <c r="A1594" s="869"/>
      <c r="B1594" s="912"/>
      <c r="C1594" s="912"/>
      <c r="D1594" s="912"/>
      <c r="E1594" s="912"/>
    </row>
    <row r="1595" spans="1:5" ht="15.75" x14ac:dyDescent="0.25">
      <c r="A1595" s="869"/>
      <c r="B1595" s="912"/>
      <c r="C1595" s="912"/>
      <c r="D1595" s="912"/>
      <c r="E1595" s="912"/>
    </row>
    <row r="1596" spans="1:5" ht="15.75" x14ac:dyDescent="0.25">
      <c r="A1596" s="869"/>
      <c r="B1596" s="912"/>
      <c r="C1596" s="912"/>
      <c r="D1596" s="912"/>
      <c r="E1596" s="912"/>
    </row>
    <row r="1597" spans="1:5" ht="15.75" x14ac:dyDescent="0.25">
      <c r="A1597" s="869"/>
      <c r="B1597" s="912"/>
      <c r="C1597" s="912"/>
      <c r="D1597" s="912"/>
      <c r="E1597" s="912"/>
    </row>
    <row r="1598" spans="1:5" ht="15.75" x14ac:dyDescent="0.25">
      <c r="A1598" s="869"/>
      <c r="B1598" s="912"/>
      <c r="C1598" s="912"/>
      <c r="D1598" s="912"/>
      <c r="E1598" s="912"/>
    </row>
    <row r="1599" spans="1:5" ht="15.75" x14ac:dyDescent="0.25">
      <c r="A1599" s="869"/>
      <c r="B1599" s="912"/>
      <c r="C1599" s="912"/>
      <c r="D1599" s="912"/>
      <c r="E1599" s="912"/>
    </row>
    <row r="1600" spans="1:5" ht="15.75" x14ac:dyDescent="0.25">
      <c r="A1600" s="869"/>
      <c r="B1600" s="912"/>
      <c r="C1600" s="912"/>
      <c r="D1600" s="912"/>
      <c r="E1600" s="912"/>
    </row>
    <row r="1601" spans="1:5" ht="15.75" x14ac:dyDescent="0.25">
      <c r="A1601" s="869"/>
      <c r="B1601" s="912"/>
      <c r="C1601" s="912"/>
      <c r="D1601" s="912"/>
      <c r="E1601" s="912"/>
    </row>
    <row r="1602" spans="1:5" ht="15.75" x14ac:dyDescent="0.25">
      <c r="A1602" s="869"/>
      <c r="B1602" s="912"/>
      <c r="C1602" s="912"/>
      <c r="D1602" s="912"/>
      <c r="E1602" s="912"/>
    </row>
    <row r="1603" spans="1:5" ht="15.75" x14ac:dyDescent="0.25">
      <c r="A1603" s="869"/>
      <c r="B1603" s="912"/>
      <c r="C1603" s="912"/>
      <c r="D1603" s="912"/>
      <c r="E1603" s="912"/>
    </row>
    <row r="1604" spans="1:5" ht="15.75" x14ac:dyDescent="0.25">
      <c r="A1604" s="869"/>
      <c r="B1604" s="912"/>
      <c r="C1604" s="912"/>
      <c r="D1604" s="912"/>
      <c r="E1604" s="912"/>
    </row>
    <row r="1605" spans="1:5" ht="15.75" x14ac:dyDescent="0.25">
      <c r="A1605" s="869"/>
      <c r="B1605" s="912"/>
      <c r="C1605" s="912"/>
      <c r="D1605" s="912"/>
      <c r="E1605" s="912"/>
    </row>
    <row r="1606" spans="1:5" ht="15.75" x14ac:dyDescent="0.25">
      <c r="A1606" s="869"/>
      <c r="B1606" s="912"/>
      <c r="C1606" s="912"/>
      <c r="D1606" s="912"/>
      <c r="E1606" s="912"/>
    </row>
    <row r="1607" spans="1:5" ht="15.75" x14ac:dyDescent="0.25">
      <c r="A1607" s="869"/>
      <c r="B1607" s="912"/>
      <c r="C1607" s="912"/>
      <c r="D1607" s="912"/>
      <c r="E1607" s="912"/>
    </row>
    <row r="1608" spans="1:5" ht="15.75" x14ac:dyDescent="0.25">
      <c r="A1608" s="869"/>
      <c r="B1608" s="912"/>
      <c r="C1608" s="912"/>
      <c r="D1608" s="912"/>
      <c r="E1608" s="912"/>
    </row>
    <row r="1609" spans="1:5" ht="15.75" x14ac:dyDescent="0.25">
      <c r="A1609" s="869"/>
      <c r="B1609" s="912"/>
      <c r="C1609" s="912"/>
      <c r="D1609" s="912"/>
      <c r="E1609" s="912"/>
    </row>
    <row r="1610" spans="1:5" ht="15.75" x14ac:dyDescent="0.25">
      <c r="A1610" s="869"/>
      <c r="B1610" s="912"/>
      <c r="C1610" s="912"/>
      <c r="D1610" s="912"/>
      <c r="E1610" s="912"/>
    </row>
    <row r="1611" spans="1:5" ht="15.75" x14ac:dyDescent="0.25">
      <c r="A1611" s="869"/>
      <c r="B1611" s="912"/>
      <c r="C1611" s="912"/>
      <c r="D1611" s="912"/>
      <c r="E1611" s="912"/>
    </row>
    <row r="1612" spans="1:5" ht="15.75" x14ac:dyDescent="0.25">
      <c r="A1612" s="869"/>
      <c r="B1612" s="912"/>
      <c r="C1612" s="912"/>
      <c r="D1612" s="912"/>
      <c r="E1612" s="912"/>
    </row>
    <row r="1613" spans="1:5" ht="15.75" x14ac:dyDescent="0.25">
      <c r="A1613" s="869"/>
      <c r="B1613" s="912"/>
      <c r="C1613" s="912"/>
      <c r="D1613" s="912"/>
      <c r="E1613" s="912"/>
    </row>
    <row r="1614" spans="1:5" ht="15.75" x14ac:dyDescent="0.25">
      <c r="A1614" s="869"/>
      <c r="B1614" s="912"/>
      <c r="C1614" s="912"/>
      <c r="D1614" s="912"/>
      <c r="E1614" s="912"/>
    </row>
    <row r="1615" spans="1:5" ht="15.75" x14ac:dyDescent="0.25">
      <c r="A1615" s="869"/>
      <c r="B1615" s="912"/>
      <c r="C1615" s="912"/>
      <c r="D1615" s="912"/>
      <c r="E1615" s="912"/>
    </row>
    <row r="1616" spans="1:5" ht="15.75" x14ac:dyDescent="0.25">
      <c r="A1616" s="869"/>
      <c r="B1616" s="912"/>
      <c r="C1616" s="912"/>
      <c r="D1616" s="912"/>
      <c r="E1616" s="912"/>
    </row>
    <row r="1617" spans="1:5" ht="15.75" x14ac:dyDescent="0.25">
      <c r="A1617" s="869"/>
      <c r="B1617" s="912"/>
      <c r="C1617" s="912"/>
      <c r="D1617" s="912"/>
      <c r="E1617" s="912"/>
    </row>
    <row r="1618" spans="1:5" ht="15.75" x14ac:dyDescent="0.25">
      <c r="A1618" s="869"/>
      <c r="B1618" s="912"/>
      <c r="C1618" s="912"/>
      <c r="D1618" s="912"/>
      <c r="E1618" s="912"/>
    </row>
    <row r="1619" spans="1:5" ht="15.75" x14ac:dyDescent="0.25">
      <c r="A1619" s="869"/>
      <c r="B1619" s="912"/>
      <c r="C1619" s="912"/>
      <c r="D1619" s="912"/>
      <c r="E1619" s="912"/>
    </row>
    <row r="1620" spans="1:5" ht="15.75" x14ac:dyDescent="0.25">
      <c r="A1620" s="869"/>
      <c r="B1620" s="912"/>
      <c r="C1620" s="912"/>
      <c r="D1620" s="912"/>
      <c r="E1620" s="912"/>
    </row>
    <row r="1621" spans="1:5" ht="15.75" x14ac:dyDescent="0.25">
      <c r="A1621" s="869"/>
      <c r="B1621" s="912"/>
      <c r="C1621" s="912"/>
      <c r="D1621" s="912"/>
      <c r="E1621" s="912"/>
    </row>
    <row r="1622" spans="1:5" ht="15.75" x14ac:dyDescent="0.25">
      <c r="A1622" s="869"/>
      <c r="B1622" s="912"/>
      <c r="C1622" s="912"/>
      <c r="D1622" s="912"/>
      <c r="E1622" s="912"/>
    </row>
    <row r="1623" spans="1:5" ht="15.75" x14ac:dyDescent="0.25">
      <c r="A1623" s="869"/>
      <c r="B1623" s="912"/>
      <c r="C1623" s="912"/>
      <c r="D1623" s="912"/>
      <c r="E1623" s="912"/>
    </row>
    <row r="1624" spans="1:5" ht="15.75" x14ac:dyDescent="0.25">
      <c r="A1624" s="869"/>
      <c r="B1624" s="912"/>
      <c r="C1624" s="912"/>
      <c r="D1624" s="912"/>
      <c r="E1624" s="912"/>
    </row>
    <row r="1625" spans="1:5" ht="15.75" x14ac:dyDescent="0.25">
      <c r="A1625" s="869"/>
      <c r="B1625" s="912"/>
      <c r="C1625" s="912"/>
      <c r="D1625" s="912"/>
      <c r="E1625" s="912"/>
    </row>
    <row r="1626" spans="1:5" ht="15.75" x14ac:dyDescent="0.25">
      <c r="A1626" s="869"/>
      <c r="B1626" s="912"/>
      <c r="C1626" s="912"/>
      <c r="D1626" s="912"/>
      <c r="E1626" s="912"/>
    </row>
    <row r="1627" spans="1:5" ht="15.75" x14ac:dyDescent="0.25">
      <c r="A1627" s="869"/>
      <c r="B1627" s="912"/>
      <c r="C1627" s="912"/>
      <c r="D1627" s="912"/>
      <c r="E1627" s="912"/>
    </row>
    <row r="1628" spans="1:5" ht="15.75" x14ac:dyDescent="0.25">
      <c r="A1628" s="869"/>
      <c r="B1628" s="912"/>
      <c r="C1628" s="912"/>
      <c r="D1628" s="912"/>
      <c r="E1628" s="912"/>
    </row>
    <row r="1629" spans="1:5" ht="15.75" x14ac:dyDescent="0.25">
      <c r="A1629" s="869"/>
      <c r="B1629" s="912"/>
      <c r="C1629" s="912"/>
      <c r="D1629" s="912"/>
      <c r="E1629" s="912"/>
    </row>
    <row r="1630" spans="1:5" ht="15.75" x14ac:dyDescent="0.25">
      <c r="A1630" s="869"/>
      <c r="B1630" s="912"/>
      <c r="C1630" s="912"/>
      <c r="D1630" s="912"/>
      <c r="E1630" s="912"/>
    </row>
    <row r="1631" spans="1:5" ht="15.75" x14ac:dyDescent="0.25">
      <c r="A1631" s="869"/>
      <c r="B1631" s="912"/>
      <c r="C1631" s="912"/>
      <c r="D1631" s="912"/>
      <c r="E1631" s="912"/>
    </row>
    <row r="1632" spans="1:5" ht="15.75" x14ac:dyDescent="0.25">
      <c r="A1632" s="869"/>
      <c r="B1632" s="912"/>
      <c r="C1632" s="912"/>
      <c r="D1632" s="912"/>
      <c r="E1632" s="912"/>
    </row>
    <row r="1633" spans="1:5" ht="15.75" x14ac:dyDescent="0.25">
      <c r="A1633" s="869"/>
      <c r="B1633" s="912"/>
      <c r="C1633" s="912"/>
      <c r="D1633" s="912"/>
      <c r="E1633" s="912"/>
    </row>
    <row r="1634" spans="1:5" ht="15.75" x14ac:dyDescent="0.25">
      <c r="A1634" s="869"/>
      <c r="B1634" s="912"/>
      <c r="C1634" s="912"/>
      <c r="D1634" s="912"/>
      <c r="E1634" s="912"/>
    </row>
    <row r="1635" spans="1:5" ht="15.75" x14ac:dyDescent="0.25">
      <c r="A1635" s="869"/>
      <c r="B1635" s="912"/>
      <c r="C1635" s="912"/>
      <c r="D1635" s="912"/>
      <c r="E1635" s="912"/>
    </row>
    <row r="1636" spans="1:5" ht="15.75" x14ac:dyDescent="0.25">
      <c r="A1636" s="869"/>
      <c r="B1636" s="912"/>
      <c r="C1636" s="912"/>
      <c r="D1636" s="912"/>
      <c r="E1636" s="912"/>
    </row>
    <row r="1637" spans="1:5" ht="15.75" x14ac:dyDescent="0.25">
      <c r="A1637" s="869"/>
      <c r="B1637" s="912"/>
      <c r="C1637" s="912"/>
      <c r="D1637" s="912"/>
      <c r="E1637" s="912"/>
    </row>
    <row r="1638" spans="1:5" ht="15.75" x14ac:dyDescent="0.25">
      <c r="A1638" s="869"/>
      <c r="B1638" s="912"/>
      <c r="C1638" s="912"/>
      <c r="D1638" s="912"/>
      <c r="E1638" s="912"/>
    </row>
    <row r="1639" spans="1:5" ht="15.75" x14ac:dyDescent="0.25">
      <c r="A1639" s="869"/>
      <c r="B1639" s="912"/>
      <c r="C1639" s="912"/>
      <c r="D1639" s="912"/>
      <c r="E1639" s="912"/>
    </row>
    <row r="1640" spans="1:5" ht="15.75" x14ac:dyDescent="0.25">
      <c r="A1640" s="869"/>
      <c r="B1640" s="912"/>
      <c r="C1640" s="912"/>
      <c r="D1640" s="912"/>
      <c r="E1640" s="912"/>
    </row>
    <row r="1641" spans="1:5" ht="15.75" x14ac:dyDescent="0.25">
      <c r="A1641" s="869"/>
      <c r="B1641" s="912"/>
      <c r="C1641" s="912"/>
      <c r="D1641" s="912"/>
      <c r="E1641" s="912"/>
    </row>
    <row r="1642" spans="1:5" ht="15.75" x14ac:dyDescent="0.25">
      <c r="A1642" s="869"/>
      <c r="B1642" s="912"/>
      <c r="C1642" s="912"/>
      <c r="D1642" s="912"/>
      <c r="E1642" s="912"/>
    </row>
    <row r="1643" spans="1:5" ht="15.75" x14ac:dyDescent="0.25">
      <c r="A1643" s="869"/>
      <c r="B1643" s="912"/>
      <c r="C1643" s="912"/>
      <c r="D1643" s="912"/>
      <c r="E1643" s="912"/>
    </row>
    <row r="1644" spans="1:5" ht="15.75" x14ac:dyDescent="0.25">
      <c r="A1644" s="869"/>
      <c r="B1644" s="912"/>
      <c r="C1644" s="912"/>
      <c r="D1644" s="912"/>
      <c r="E1644" s="912"/>
    </row>
    <row r="1645" spans="1:5" ht="15.75" x14ac:dyDescent="0.25">
      <c r="A1645" s="869"/>
      <c r="B1645" s="912"/>
      <c r="C1645" s="912"/>
      <c r="D1645" s="912"/>
      <c r="E1645" s="912"/>
    </row>
    <row r="1646" spans="1:5" ht="15.75" x14ac:dyDescent="0.25">
      <c r="A1646" s="869"/>
      <c r="B1646" s="912"/>
      <c r="C1646" s="912"/>
      <c r="D1646" s="912"/>
      <c r="E1646" s="912"/>
    </row>
    <row r="1647" spans="1:5" ht="15.75" x14ac:dyDescent="0.25">
      <c r="A1647" s="869"/>
      <c r="B1647" s="912"/>
      <c r="C1647" s="912"/>
      <c r="D1647" s="912"/>
      <c r="E1647" s="912"/>
    </row>
    <row r="1648" spans="1:5" ht="15.75" x14ac:dyDescent="0.25">
      <c r="A1648" s="869"/>
      <c r="B1648" s="912"/>
      <c r="C1648" s="912"/>
      <c r="D1648" s="912"/>
      <c r="E1648" s="912"/>
    </row>
    <row r="1649" spans="1:5" ht="15.75" x14ac:dyDescent="0.25">
      <c r="A1649" s="869"/>
      <c r="B1649" s="912"/>
      <c r="C1649" s="912"/>
      <c r="D1649" s="912"/>
      <c r="E1649" s="912"/>
    </row>
    <row r="1650" spans="1:5" ht="15.75" x14ac:dyDescent="0.25">
      <c r="A1650" s="869"/>
      <c r="B1650" s="912"/>
      <c r="C1650" s="912"/>
      <c r="D1650" s="912"/>
      <c r="E1650" s="912"/>
    </row>
    <row r="1651" spans="1:5" ht="15.75" x14ac:dyDescent="0.25">
      <c r="A1651" s="869"/>
      <c r="B1651" s="912"/>
      <c r="C1651" s="912"/>
      <c r="D1651" s="912"/>
      <c r="E1651" s="912"/>
    </row>
    <row r="1652" spans="1:5" ht="15.75" x14ac:dyDescent="0.25">
      <c r="A1652" s="869"/>
      <c r="B1652" s="912"/>
      <c r="C1652" s="912"/>
      <c r="D1652" s="912"/>
      <c r="E1652" s="912"/>
    </row>
    <row r="1653" spans="1:5" ht="15.75" x14ac:dyDescent="0.25">
      <c r="A1653" s="869"/>
      <c r="B1653" s="912"/>
      <c r="C1653" s="912"/>
      <c r="D1653" s="912"/>
      <c r="E1653" s="912"/>
    </row>
    <row r="1654" spans="1:5" ht="15.75" x14ac:dyDescent="0.25">
      <c r="A1654" s="869"/>
      <c r="B1654" s="912"/>
      <c r="C1654" s="912"/>
      <c r="D1654" s="912"/>
      <c r="E1654" s="912"/>
    </row>
    <row r="1655" spans="1:5" ht="15.75" x14ac:dyDescent="0.25">
      <c r="A1655" s="869"/>
      <c r="B1655" s="912"/>
      <c r="C1655" s="912"/>
      <c r="D1655" s="912"/>
      <c r="E1655" s="912"/>
    </row>
    <row r="1656" spans="1:5" ht="15.75" x14ac:dyDescent="0.25">
      <c r="A1656" s="869"/>
      <c r="B1656" s="912"/>
      <c r="C1656" s="912"/>
      <c r="D1656" s="912"/>
      <c r="E1656" s="912"/>
    </row>
    <row r="1657" spans="1:5" ht="15.75" x14ac:dyDescent="0.25">
      <c r="A1657" s="869"/>
      <c r="B1657" s="912"/>
      <c r="C1657" s="912"/>
      <c r="D1657" s="912"/>
      <c r="E1657" s="912"/>
    </row>
    <row r="1658" spans="1:5" ht="15.75" x14ac:dyDescent="0.25">
      <c r="A1658" s="869"/>
      <c r="B1658" s="912"/>
      <c r="C1658" s="912"/>
      <c r="D1658" s="912"/>
      <c r="E1658" s="912"/>
    </row>
    <row r="1659" spans="1:5" ht="15.75" x14ac:dyDescent="0.25">
      <c r="A1659" s="869"/>
      <c r="B1659" s="912"/>
      <c r="C1659" s="912"/>
      <c r="D1659" s="912"/>
      <c r="E1659" s="912"/>
    </row>
    <row r="1660" spans="1:5" ht="15.75" x14ac:dyDescent="0.25">
      <c r="A1660" s="869"/>
      <c r="B1660" s="912"/>
      <c r="C1660" s="912"/>
      <c r="D1660" s="912"/>
      <c r="E1660" s="912"/>
    </row>
    <row r="1661" spans="1:5" ht="15.75" x14ac:dyDescent="0.25">
      <c r="A1661" s="869"/>
      <c r="B1661" s="912"/>
      <c r="C1661" s="912"/>
      <c r="D1661" s="912"/>
      <c r="E1661" s="912"/>
    </row>
    <row r="1662" spans="1:5" ht="15.75" x14ac:dyDescent="0.25">
      <c r="A1662" s="869"/>
      <c r="B1662" s="912"/>
      <c r="C1662" s="912"/>
      <c r="D1662" s="912"/>
      <c r="E1662" s="912"/>
    </row>
    <row r="1663" spans="1:5" ht="15.75" x14ac:dyDescent="0.25">
      <c r="A1663" s="869"/>
      <c r="B1663" s="912"/>
      <c r="C1663" s="912"/>
      <c r="D1663" s="912"/>
      <c r="E1663" s="912"/>
    </row>
    <row r="1664" spans="1:5" ht="15.75" x14ac:dyDescent="0.25">
      <c r="A1664" s="869"/>
      <c r="B1664" s="912"/>
      <c r="C1664" s="912"/>
      <c r="D1664" s="912"/>
      <c r="E1664" s="912"/>
    </row>
    <row r="1665" spans="1:5" ht="15.75" x14ac:dyDescent="0.25">
      <c r="A1665" s="869"/>
      <c r="B1665" s="912"/>
      <c r="C1665" s="912"/>
      <c r="D1665" s="912"/>
      <c r="E1665" s="912"/>
    </row>
    <row r="1666" spans="1:5" ht="15.75" x14ac:dyDescent="0.25">
      <c r="A1666" s="869"/>
      <c r="B1666" s="912"/>
      <c r="C1666" s="912"/>
      <c r="D1666" s="912"/>
      <c r="E1666" s="912"/>
    </row>
    <row r="1667" spans="1:5" ht="15.75" x14ac:dyDescent="0.25">
      <c r="A1667" s="869"/>
      <c r="B1667" s="912"/>
      <c r="C1667" s="912"/>
      <c r="D1667" s="912"/>
      <c r="E1667" s="912"/>
    </row>
    <row r="1668" spans="1:5" ht="15.75" x14ac:dyDescent="0.25">
      <c r="A1668" s="869"/>
      <c r="B1668" s="912"/>
      <c r="C1668" s="912"/>
      <c r="D1668" s="912"/>
      <c r="E1668" s="912"/>
    </row>
    <row r="1669" spans="1:5" ht="15.75" x14ac:dyDescent="0.25">
      <c r="A1669" s="869"/>
      <c r="B1669" s="912"/>
      <c r="C1669" s="912"/>
      <c r="D1669" s="912"/>
      <c r="E1669" s="912"/>
    </row>
    <row r="1670" spans="1:5" ht="15.75" x14ac:dyDescent="0.25">
      <c r="A1670" s="869"/>
      <c r="B1670" s="912"/>
      <c r="C1670" s="912"/>
      <c r="D1670" s="912"/>
      <c r="E1670" s="912"/>
    </row>
    <row r="1671" spans="1:5" ht="15.75" x14ac:dyDescent="0.25">
      <c r="A1671" s="869"/>
      <c r="B1671" s="912"/>
      <c r="C1671" s="912"/>
      <c r="D1671" s="912"/>
      <c r="E1671" s="912"/>
    </row>
    <row r="1672" spans="1:5" ht="15.75" x14ac:dyDescent="0.25">
      <c r="A1672" s="869"/>
      <c r="B1672" s="912"/>
      <c r="C1672" s="912"/>
      <c r="D1672" s="912"/>
      <c r="E1672" s="912"/>
    </row>
    <row r="1673" spans="1:5" ht="15.75" x14ac:dyDescent="0.25">
      <c r="A1673" s="869"/>
      <c r="B1673" s="912"/>
      <c r="C1673" s="912"/>
      <c r="D1673" s="912"/>
      <c r="E1673" s="912"/>
    </row>
    <row r="1674" spans="1:5" ht="15.75" x14ac:dyDescent="0.25">
      <c r="A1674" s="869"/>
      <c r="B1674" s="912"/>
      <c r="C1674" s="912"/>
      <c r="D1674" s="912"/>
      <c r="E1674" s="912"/>
    </row>
    <row r="1675" spans="1:5" ht="15.75" x14ac:dyDescent="0.25">
      <c r="A1675" s="869"/>
      <c r="B1675" s="912"/>
      <c r="C1675" s="912"/>
      <c r="D1675" s="912"/>
      <c r="E1675" s="912"/>
    </row>
    <row r="1676" spans="1:5" ht="15.75" x14ac:dyDescent="0.25">
      <c r="A1676" s="869"/>
      <c r="B1676" s="912"/>
      <c r="C1676" s="912"/>
      <c r="D1676" s="912"/>
      <c r="E1676" s="912"/>
    </row>
    <row r="1677" spans="1:5" ht="15.75" x14ac:dyDescent="0.25">
      <c r="A1677" s="869"/>
      <c r="B1677" s="912"/>
      <c r="C1677" s="912"/>
      <c r="D1677" s="912"/>
      <c r="E1677" s="912"/>
    </row>
    <row r="1678" spans="1:5" ht="15.75" x14ac:dyDescent="0.25">
      <c r="A1678" s="869"/>
      <c r="B1678" s="912"/>
      <c r="C1678" s="912"/>
      <c r="D1678" s="912"/>
      <c r="E1678" s="912"/>
    </row>
    <row r="1679" spans="1:5" ht="15.75" x14ac:dyDescent="0.25">
      <c r="A1679" s="869"/>
      <c r="B1679" s="912"/>
      <c r="C1679" s="912"/>
      <c r="D1679" s="912"/>
      <c r="E1679" s="912"/>
    </row>
    <row r="1680" spans="1:5" ht="15.75" x14ac:dyDescent="0.25">
      <c r="A1680" s="869"/>
      <c r="B1680" s="912"/>
      <c r="C1680" s="912"/>
      <c r="D1680" s="912"/>
      <c r="E1680" s="912"/>
    </row>
    <row r="1681" spans="1:5" ht="15.75" x14ac:dyDescent="0.25">
      <c r="A1681" s="869"/>
      <c r="B1681" s="912"/>
      <c r="C1681" s="912"/>
      <c r="D1681" s="912"/>
      <c r="E1681" s="912"/>
    </row>
    <row r="1682" spans="1:5" ht="15.75" x14ac:dyDescent="0.25">
      <c r="A1682" s="869"/>
      <c r="B1682" s="912"/>
      <c r="C1682" s="912"/>
      <c r="D1682" s="912"/>
      <c r="E1682" s="912"/>
    </row>
    <row r="1683" spans="1:5" ht="15.75" x14ac:dyDescent="0.25">
      <c r="A1683" s="869"/>
      <c r="B1683" s="912"/>
      <c r="C1683" s="912"/>
      <c r="D1683" s="912"/>
      <c r="E1683" s="912"/>
    </row>
    <row r="1684" spans="1:5" ht="15.75" x14ac:dyDescent="0.25">
      <c r="A1684" s="869"/>
      <c r="B1684" s="912"/>
      <c r="C1684" s="912"/>
      <c r="D1684" s="912"/>
      <c r="E1684" s="912"/>
    </row>
    <row r="1685" spans="1:5" ht="15.75" x14ac:dyDescent="0.25">
      <c r="A1685" s="869"/>
      <c r="B1685" s="912"/>
      <c r="C1685" s="912"/>
      <c r="D1685" s="912"/>
      <c r="E1685" s="912"/>
    </row>
    <row r="1686" spans="1:5" ht="15.75" x14ac:dyDescent="0.25">
      <c r="A1686" s="869"/>
      <c r="B1686" s="912"/>
      <c r="C1686" s="912"/>
      <c r="D1686" s="912"/>
      <c r="E1686" s="912"/>
    </row>
    <row r="1687" spans="1:5" ht="15.75" x14ac:dyDescent="0.25">
      <c r="A1687" s="869"/>
      <c r="B1687" s="912"/>
      <c r="C1687" s="912"/>
      <c r="D1687" s="912"/>
      <c r="E1687" s="912"/>
    </row>
    <row r="1688" spans="1:5" ht="15.75" x14ac:dyDescent="0.25">
      <c r="A1688" s="869"/>
      <c r="B1688" s="912"/>
      <c r="C1688" s="912"/>
      <c r="D1688" s="912"/>
      <c r="E1688" s="912"/>
    </row>
    <row r="1689" spans="1:5" ht="15.75" x14ac:dyDescent="0.25">
      <c r="A1689" s="869"/>
      <c r="B1689" s="912"/>
      <c r="C1689" s="912"/>
      <c r="D1689" s="912"/>
      <c r="E1689" s="912"/>
    </row>
    <row r="1690" spans="1:5" ht="15.75" x14ac:dyDescent="0.25">
      <c r="A1690" s="869"/>
      <c r="B1690" s="912"/>
      <c r="C1690" s="912"/>
      <c r="D1690" s="912"/>
      <c r="E1690" s="912"/>
    </row>
    <row r="1691" spans="1:5" ht="15.75" x14ac:dyDescent="0.25">
      <c r="A1691" s="869"/>
      <c r="B1691" s="912"/>
      <c r="C1691" s="912"/>
      <c r="D1691" s="912"/>
      <c r="E1691" s="912"/>
    </row>
    <row r="1692" spans="1:5" ht="15.75" x14ac:dyDescent="0.25">
      <c r="A1692" s="869"/>
      <c r="B1692" s="912"/>
      <c r="C1692" s="912"/>
      <c r="D1692" s="912"/>
      <c r="E1692" s="912"/>
    </row>
    <row r="1693" spans="1:5" ht="15.75" x14ac:dyDescent="0.25">
      <c r="A1693" s="869"/>
      <c r="B1693" s="912"/>
      <c r="C1693" s="912"/>
      <c r="D1693" s="912"/>
      <c r="E1693" s="912"/>
    </row>
    <row r="1694" spans="1:5" ht="15.75" x14ac:dyDescent="0.25">
      <c r="A1694" s="869"/>
      <c r="B1694" s="912"/>
      <c r="C1694" s="912"/>
      <c r="D1694" s="912"/>
      <c r="E1694" s="912"/>
    </row>
    <row r="1695" spans="1:5" ht="15.75" x14ac:dyDescent="0.25">
      <c r="A1695" s="869"/>
      <c r="B1695" s="912"/>
      <c r="C1695" s="912"/>
      <c r="D1695" s="912"/>
      <c r="E1695" s="912"/>
    </row>
    <row r="1696" spans="1:5" ht="15.75" x14ac:dyDescent="0.25">
      <c r="A1696" s="869"/>
      <c r="B1696" s="912"/>
      <c r="C1696" s="912"/>
      <c r="D1696" s="912"/>
      <c r="E1696" s="912"/>
    </row>
    <row r="1697" spans="1:5" ht="15.75" x14ac:dyDescent="0.25">
      <c r="A1697" s="869"/>
      <c r="B1697" s="912"/>
      <c r="C1697" s="912"/>
      <c r="D1697" s="912"/>
      <c r="E1697" s="912"/>
    </row>
    <row r="1698" spans="1:5" ht="15.75" x14ac:dyDescent="0.25">
      <c r="A1698" s="869"/>
      <c r="B1698" s="912"/>
      <c r="C1698" s="912"/>
      <c r="D1698" s="912"/>
      <c r="E1698" s="912"/>
    </row>
    <row r="1699" spans="1:5" ht="15.75" x14ac:dyDescent="0.25">
      <c r="A1699" s="869"/>
      <c r="B1699" s="912"/>
      <c r="C1699" s="912"/>
      <c r="D1699" s="912"/>
      <c r="E1699" s="912"/>
    </row>
    <row r="1700" spans="1:5" ht="15.75" x14ac:dyDescent="0.25">
      <c r="A1700" s="869"/>
      <c r="B1700" s="912"/>
      <c r="C1700" s="912"/>
      <c r="D1700" s="912"/>
      <c r="E1700" s="912"/>
    </row>
    <row r="1701" spans="1:5" ht="15.75" x14ac:dyDescent="0.25">
      <c r="A1701" s="869"/>
      <c r="B1701" s="912"/>
      <c r="C1701" s="912"/>
      <c r="D1701" s="912"/>
      <c r="E1701" s="912"/>
    </row>
    <row r="1702" spans="1:5" ht="15.75" x14ac:dyDescent="0.25">
      <c r="A1702" s="869"/>
      <c r="B1702" s="912"/>
      <c r="C1702" s="912"/>
      <c r="D1702" s="912"/>
      <c r="E1702" s="912"/>
    </row>
    <row r="1703" spans="1:5" ht="15.75" x14ac:dyDescent="0.25">
      <c r="A1703" s="869"/>
      <c r="B1703" s="912"/>
      <c r="C1703" s="912"/>
      <c r="D1703" s="912"/>
      <c r="E1703" s="912"/>
    </row>
    <row r="1704" spans="1:5" ht="15.75" x14ac:dyDescent="0.25">
      <c r="A1704" s="869"/>
      <c r="B1704" s="912"/>
      <c r="C1704" s="912"/>
      <c r="D1704" s="912"/>
      <c r="E1704" s="912"/>
    </row>
    <row r="1705" spans="1:5" ht="15.75" x14ac:dyDescent="0.25">
      <c r="A1705" s="869"/>
      <c r="B1705" s="912"/>
      <c r="C1705" s="912"/>
      <c r="D1705" s="912"/>
      <c r="E1705" s="912"/>
    </row>
    <row r="1706" spans="1:5" ht="15.75" x14ac:dyDescent="0.25">
      <c r="A1706" s="869"/>
      <c r="B1706" s="912"/>
      <c r="C1706" s="912"/>
      <c r="D1706" s="912"/>
      <c r="E1706" s="912"/>
    </row>
    <row r="1707" spans="1:5" ht="15.75" x14ac:dyDescent="0.25">
      <c r="A1707" s="869"/>
      <c r="B1707" s="912"/>
      <c r="C1707" s="912"/>
      <c r="D1707" s="912"/>
      <c r="E1707" s="912"/>
    </row>
    <row r="1708" spans="1:5" ht="15.75" x14ac:dyDescent="0.25">
      <c r="A1708" s="869"/>
      <c r="B1708" s="912"/>
      <c r="C1708" s="912"/>
      <c r="D1708" s="912"/>
      <c r="E1708" s="912"/>
    </row>
    <row r="1709" spans="1:5" ht="15.75" x14ac:dyDescent="0.25">
      <c r="A1709" s="869"/>
      <c r="B1709" s="912"/>
      <c r="C1709" s="912"/>
      <c r="D1709" s="912"/>
      <c r="E1709" s="912"/>
    </row>
    <row r="1710" spans="1:5" ht="15.75" x14ac:dyDescent="0.25">
      <c r="A1710" s="869"/>
      <c r="B1710" s="912"/>
      <c r="C1710" s="912"/>
      <c r="D1710" s="912"/>
      <c r="E1710" s="912"/>
    </row>
    <row r="1711" spans="1:5" ht="15.75" x14ac:dyDescent="0.25">
      <c r="A1711" s="869"/>
      <c r="B1711" s="912"/>
      <c r="C1711" s="912"/>
      <c r="D1711" s="912"/>
      <c r="E1711" s="912"/>
    </row>
    <row r="1712" spans="1:5" ht="15.75" x14ac:dyDescent="0.25">
      <c r="A1712" s="869"/>
      <c r="B1712" s="912"/>
      <c r="C1712" s="912"/>
      <c r="D1712" s="912"/>
      <c r="E1712" s="912"/>
    </row>
    <row r="1713" spans="1:5" ht="15.75" x14ac:dyDescent="0.25">
      <c r="A1713" s="869"/>
      <c r="B1713" s="912"/>
      <c r="C1713" s="912"/>
      <c r="D1713" s="912"/>
      <c r="E1713" s="912"/>
    </row>
    <row r="1714" spans="1:5" ht="15.75" x14ac:dyDescent="0.25">
      <c r="A1714" s="869"/>
      <c r="B1714" s="912"/>
      <c r="C1714" s="912"/>
      <c r="D1714" s="912"/>
      <c r="E1714" s="912"/>
    </row>
    <row r="1715" spans="1:5" ht="15.75" x14ac:dyDescent="0.25">
      <c r="A1715" s="869"/>
      <c r="B1715" s="912"/>
      <c r="C1715" s="912"/>
      <c r="D1715" s="912"/>
      <c r="E1715" s="912"/>
    </row>
    <row r="1716" spans="1:5" ht="15.75" x14ac:dyDescent="0.25">
      <c r="A1716" s="869"/>
      <c r="B1716" s="912"/>
      <c r="C1716" s="912"/>
      <c r="D1716" s="912"/>
      <c r="E1716" s="912"/>
    </row>
    <row r="1717" spans="1:5" ht="15.75" x14ac:dyDescent="0.25">
      <c r="A1717" s="869"/>
      <c r="B1717" s="912"/>
      <c r="C1717" s="912"/>
      <c r="D1717" s="912"/>
      <c r="E1717" s="912"/>
    </row>
    <row r="1718" spans="1:5" ht="15.75" x14ac:dyDescent="0.25">
      <c r="A1718" s="869"/>
      <c r="B1718" s="912"/>
      <c r="C1718" s="912"/>
      <c r="D1718" s="912"/>
      <c r="E1718" s="912"/>
    </row>
    <row r="1719" spans="1:5" ht="15.75" x14ac:dyDescent="0.25">
      <c r="A1719" s="869"/>
      <c r="B1719" s="912"/>
      <c r="C1719" s="912"/>
      <c r="D1719" s="912"/>
      <c r="E1719" s="912"/>
    </row>
    <row r="1720" spans="1:5" ht="15.75" x14ac:dyDescent="0.25">
      <c r="A1720" s="869"/>
      <c r="B1720" s="912"/>
      <c r="C1720" s="912"/>
      <c r="D1720" s="912"/>
      <c r="E1720" s="912"/>
    </row>
    <row r="1721" spans="1:5" ht="15.75" x14ac:dyDescent="0.25">
      <c r="A1721" s="869"/>
      <c r="B1721" s="912"/>
      <c r="C1721" s="912"/>
      <c r="D1721" s="912"/>
      <c r="E1721" s="912"/>
    </row>
    <row r="1722" spans="1:5" ht="15.75" x14ac:dyDescent="0.25">
      <c r="A1722" s="869"/>
      <c r="B1722" s="912"/>
      <c r="C1722" s="912"/>
      <c r="D1722" s="912"/>
      <c r="E1722" s="912"/>
    </row>
    <row r="1723" spans="1:5" ht="15.75" x14ac:dyDescent="0.25">
      <c r="A1723" s="869"/>
      <c r="B1723" s="912"/>
      <c r="C1723" s="912"/>
      <c r="D1723" s="912"/>
      <c r="E1723" s="912"/>
    </row>
    <row r="1724" spans="1:5" ht="15.75" x14ac:dyDescent="0.25">
      <c r="A1724" s="869"/>
      <c r="B1724" s="912"/>
      <c r="C1724" s="912"/>
      <c r="D1724" s="912"/>
      <c r="E1724" s="912"/>
    </row>
    <row r="1725" spans="1:5" ht="15.75" x14ac:dyDescent="0.25">
      <c r="A1725" s="869"/>
      <c r="B1725" s="912"/>
      <c r="C1725" s="912"/>
      <c r="D1725" s="912"/>
      <c r="E1725" s="912"/>
    </row>
    <row r="1726" spans="1:5" ht="15.75" x14ac:dyDescent="0.25">
      <c r="A1726" s="869"/>
      <c r="B1726" s="912"/>
      <c r="C1726" s="912"/>
      <c r="D1726" s="912"/>
      <c r="E1726" s="912"/>
    </row>
    <row r="1727" spans="1:5" ht="15.75" x14ac:dyDescent="0.25">
      <c r="A1727" s="869"/>
      <c r="B1727" s="912"/>
      <c r="C1727" s="912"/>
      <c r="D1727" s="912"/>
      <c r="E1727" s="912"/>
    </row>
    <row r="1728" spans="1:5" ht="15.75" x14ac:dyDescent="0.25">
      <c r="A1728" s="869"/>
      <c r="B1728" s="912"/>
      <c r="C1728" s="912"/>
      <c r="D1728" s="912"/>
      <c r="E1728" s="912"/>
    </row>
    <row r="1729" spans="1:5" ht="15.75" x14ac:dyDescent="0.25">
      <c r="A1729" s="869"/>
      <c r="B1729" s="912"/>
      <c r="C1729" s="912"/>
      <c r="D1729" s="912"/>
      <c r="E1729" s="912"/>
    </row>
    <row r="1730" spans="1:5" ht="15.75" x14ac:dyDescent="0.25">
      <c r="A1730" s="869"/>
      <c r="B1730" s="912"/>
      <c r="C1730" s="912"/>
      <c r="D1730" s="912"/>
      <c r="E1730" s="912"/>
    </row>
    <row r="1731" spans="1:5" ht="15.75" x14ac:dyDescent="0.25">
      <c r="A1731" s="869"/>
      <c r="B1731" s="912"/>
      <c r="C1731" s="912"/>
      <c r="D1731" s="912"/>
      <c r="E1731" s="912"/>
    </row>
    <row r="1732" spans="1:5" ht="15.75" x14ac:dyDescent="0.25">
      <c r="A1732" s="869"/>
      <c r="B1732" s="912"/>
      <c r="C1732" s="912"/>
      <c r="D1732" s="912"/>
      <c r="E1732" s="912"/>
    </row>
    <row r="1733" spans="1:5" ht="15.75" x14ac:dyDescent="0.25">
      <c r="A1733" s="869"/>
      <c r="B1733" s="912"/>
      <c r="C1733" s="912"/>
      <c r="D1733" s="912"/>
      <c r="E1733" s="912"/>
    </row>
    <row r="1734" spans="1:5" ht="15.75" x14ac:dyDescent="0.25">
      <c r="A1734" s="869"/>
      <c r="B1734" s="912"/>
      <c r="C1734" s="912"/>
      <c r="D1734" s="912"/>
      <c r="E1734" s="912"/>
    </row>
    <row r="1735" spans="1:5" ht="15.75" x14ac:dyDescent="0.25">
      <c r="A1735" s="869"/>
      <c r="B1735" s="912"/>
      <c r="C1735" s="912"/>
      <c r="D1735" s="912"/>
      <c r="E1735" s="912"/>
    </row>
    <row r="1736" spans="1:5" ht="15.75" x14ac:dyDescent="0.25">
      <c r="A1736" s="869"/>
      <c r="B1736" s="912"/>
      <c r="C1736" s="912"/>
      <c r="D1736" s="912"/>
      <c r="E1736" s="912"/>
    </row>
    <row r="1737" spans="1:5" ht="15.75" x14ac:dyDescent="0.25">
      <c r="A1737" s="869"/>
      <c r="B1737" s="912"/>
      <c r="C1737" s="912"/>
      <c r="D1737" s="912"/>
      <c r="E1737" s="912"/>
    </row>
    <row r="1738" spans="1:5" ht="15.75" x14ac:dyDescent="0.25">
      <c r="A1738" s="869"/>
      <c r="B1738" s="912"/>
      <c r="C1738" s="912"/>
      <c r="D1738" s="912"/>
      <c r="E1738" s="912"/>
    </row>
    <row r="1739" spans="1:5" ht="15.75" x14ac:dyDescent="0.25">
      <c r="A1739" s="869"/>
      <c r="B1739" s="912"/>
      <c r="C1739" s="912"/>
      <c r="D1739" s="912"/>
      <c r="E1739" s="912"/>
    </row>
    <row r="1740" spans="1:5" ht="15.75" x14ac:dyDescent="0.25">
      <c r="A1740" s="869"/>
      <c r="B1740" s="912"/>
      <c r="C1740" s="912"/>
      <c r="D1740" s="912"/>
      <c r="E1740" s="912"/>
    </row>
    <row r="1741" spans="1:5" ht="15.75" x14ac:dyDescent="0.25">
      <c r="A1741" s="869"/>
      <c r="B1741" s="912"/>
      <c r="C1741" s="912"/>
      <c r="D1741" s="912"/>
      <c r="E1741" s="912"/>
    </row>
    <row r="1742" spans="1:5" ht="15.75" x14ac:dyDescent="0.25">
      <c r="A1742" s="869"/>
      <c r="B1742" s="912"/>
      <c r="C1742" s="912"/>
      <c r="D1742" s="912"/>
      <c r="E1742" s="912"/>
    </row>
    <row r="1743" spans="1:5" ht="15.75" x14ac:dyDescent="0.25">
      <c r="A1743" s="869"/>
      <c r="B1743" s="912"/>
      <c r="C1743" s="912"/>
      <c r="D1743" s="912"/>
      <c r="E1743" s="912"/>
    </row>
    <row r="1744" spans="1:5" ht="15.75" x14ac:dyDescent="0.25">
      <c r="A1744" s="869"/>
      <c r="B1744" s="912"/>
      <c r="C1744" s="912"/>
      <c r="D1744" s="912"/>
      <c r="E1744" s="912"/>
    </row>
    <row r="1745" spans="1:5" ht="15.75" x14ac:dyDescent="0.25">
      <c r="A1745" s="869"/>
      <c r="B1745" s="912"/>
      <c r="C1745" s="912"/>
      <c r="D1745" s="912"/>
      <c r="E1745" s="912"/>
    </row>
    <row r="1746" spans="1:5" ht="15.75" x14ac:dyDescent="0.25">
      <c r="A1746" s="869"/>
      <c r="B1746" s="912"/>
      <c r="C1746" s="912"/>
      <c r="D1746" s="912"/>
      <c r="E1746" s="912"/>
    </row>
    <row r="1747" spans="1:5" ht="15.75" x14ac:dyDescent="0.25">
      <c r="A1747" s="869"/>
      <c r="B1747" s="912"/>
      <c r="C1747" s="912"/>
      <c r="D1747" s="912"/>
      <c r="E1747" s="912"/>
    </row>
    <row r="1748" spans="1:5" ht="15.75" x14ac:dyDescent="0.25">
      <c r="A1748" s="869"/>
      <c r="B1748" s="912"/>
      <c r="C1748" s="912"/>
      <c r="D1748" s="912"/>
      <c r="E1748" s="912"/>
    </row>
    <row r="1749" spans="1:5" ht="15.75" x14ac:dyDescent="0.25">
      <c r="A1749" s="869"/>
      <c r="B1749" s="912"/>
      <c r="C1749" s="912"/>
      <c r="D1749" s="912"/>
      <c r="E1749" s="912"/>
    </row>
    <row r="1750" spans="1:5" ht="15.75" x14ac:dyDescent="0.25">
      <c r="A1750" s="869"/>
      <c r="B1750" s="912"/>
      <c r="C1750" s="912"/>
      <c r="D1750" s="912"/>
      <c r="E1750" s="912"/>
    </row>
    <row r="1751" spans="1:5" ht="15.75" x14ac:dyDescent="0.25">
      <c r="A1751" s="869"/>
      <c r="B1751" s="912"/>
      <c r="C1751" s="912"/>
      <c r="D1751" s="912"/>
      <c r="E1751" s="912"/>
    </row>
    <row r="1752" spans="1:5" ht="15.75" x14ac:dyDescent="0.25">
      <c r="A1752" s="869"/>
      <c r="B1752" s="912"/>
      <c r="C1752" s="912"/>
      <c r="D1752" s="912"/>
      <c r="E1752" s="912"/>
    </row>
    <row r="1753" spans="1:5" ht="15.75" x14ac:dyDescent="0.25">
      <c r="A1753" s="869"/>
      <c r="B1753" s="912"/>
      <c r="C1753" s="912"/>
      <c r="D1753" s="912"/>
      <c r="E1753" s="912"/>
    </row>
    <row r="1754" spans="1:5" ht="15.75" x14ac:dyDescent="0.25">
      <c r="A1754" s="869"/>
      <c r="B1754" s="912"/>
      <c r="C1754" s="912"/>
      <c r="D1754" s="912"/>
      <c r="E1754" s="912"/>
    </row>
    <row r="1755" spans="1:5" ht="15.75" x14ac:dyDescent="0.25">
      <c r="A1755" s="869"/>
      <c r="B1755" s="912"/>
      <c r="C1755" s="912"/>
      <c r="D1755" s="912"/>
      <c r="E1755" s="912"/>
    </row>
    <row r="1756" spans="1:5" ht="15.75" x14ac:dyDescent="0.25">
      <c r="A1756" s="869"/>
      <c r="B1756" s="912"/>
      <c r="C1756" s="912"/>
      <c r="D1756" s="912"/>
      <c r="E1756" s="912"/>
    </row>
    <row r="1757" spans="1:5" ht="15.75" x14ac:dyDescent="0.25">
      <c r="A1757" s="869"/>
      <c r="B1757" s="912"/>
      <c r="C1757" s="912"/>
      <c r="D1757" s="912"/>
      <c r="E1757" s="912"/>
    </row>
    <row r="1758" spans="1:5" ht="15.75" x14ac:dyDescent="0.25">
      <c r="A1758" s="869"/>
      <c r="B1758" s="912"/>
      <c r="C1758" s="912"/>
      <c r="D1758" s="912"/>
      <c r="E1758" s="912"/>
    </row>
    <row r="1759" spans="1:5" ht="15.75" x14ac:dyDescent="0.25">
      <c r="A1759" s="869"/>
      <c r="B1759" s="912"/>
      <c r="C1759" s="912"/>
      <c r="D1759" s="912"/>
      <c r="E1759" s="912"/>
    </row>
    <row r="1760" spans="1:5" ht="15.75" x14ac:dyDescent="0.25">
      <c r="A1760" s="869"/>
      <c r="B1760" s="912"/>
      <c r="C1760" s="912"/>
      <c r="D1760" s="912"/>
      <c r="E1760" s="912"/>
    </row>
    <row r="1761" spans="1:5" ht="15.75" x14ac:dyDescent="0.25">
      <c r="A1761" s="869"/>
      <c r="B1761" s="912"/>
      <c r="C1761" s="912"/>
      <c r="D1761" s="912"/>
      <c r="E1761" s="912"/>
    </row>
    <row r="1762" spans="1:5" ht="15.75" x14ac:dyDescent="0.25">
      <c r="A1762" s="869"/>
      <c r="B1762" s="912"/>
      <c r="C1762" s="912"/>
      <c r="D1762" s="912"/>
      <c r="E1762" s="912"/>
    </row>
    <row r="1763" spans="1:5" ht="15.75" x14ac:dyDescent="0.25">
      <c r="A1763" s="869"/>
      <c r="B1763" s="912"/>
      <c r="C1763" s="912"/>
      <c r="D1763" s="912"/>
      <c r="E1763" s="912"/>
    </row>
    <row r="1764" spans="1:5" ht="15.75" x14ac:dyDescent="0.25">
      <c r="A1764" s="869"/>
      <c r="B1764" s="912"/>
      <c r="C1764" s="912"/>
      <c r="D1764" s="912"/>
      <c r="E1764" s="912"/>
    </row>
    <row r="1765" spans="1:5" ht="15.75" x14ac:dyDescent="0.25">
      <c r="A1765" s="869"/>
      <c r="B1765" s="912"/>
      <c r="C1765" s="912"/>
      <c r="D1765" s="912"/>
      <c r="E1765" s="912"/>
    </row>
    <row r="1766" spans="1:5" ht="15.75" x14ac:dyDescent="0.25">
      <c r="A1766" s="869"/>
      <c r="B1766" s="912"/>
      <c r="C1766" s="912"/>
      <c r="D1766" s="912"/>
      <c r="E1766" s="912"/>
    </row>
    <row r="1767" spans="1:5" ht="15.75" x14ac:dyDescent="0.25">
      <c r="A1767" s="869"/>
      <c r="B1767" s="912"/>
      <c r="C1767" s="912"/>
      <c r="D1767" s="912"/>
      <c r="E1767" s="912"/>
    </row>
    <row r="1768" spans="1:5" ht="15.75" x14ac:dyDescent="0.25">
      <c r="A1768" s="869"/>
      <c r="B1768" s="912"/>
      <c r="C1768" s="912"/>
      <c r="D1768" s="912"/>
      <c r="E1768" s="912"/>
    </row>
    <row r="1769" spans="1:5" ht="15.75" x14ac:dyDescent="0.25">
      <c r="A1769" s="869"/>
      <c r="B1769" s="912"/>
      <c r="C1769" s="912"/>
      <c r="D1769" s="912"/>
      <c r="E1769" s="912"/>
    </row>
    <row r="1770" spans="1:5" ht="15.75" x14ac:dyDescent="0.25">
      <c r="A1770" s="869"/>
      <c r="B1770" s="912"/>
      <c r="C1770" s="912"/>
      <c r="D1770" s="912"/>
      <c r="E1770" s="912"/>
    </row>
    <row r="1771" spans="1:5" ht="15.75" x14ac:dyDescent="0.25">
      <c r="A1771" s="869"/>
      <c r="B1771" s="912"/>
      <c r="C1771" s="912"/>
      <c r="D1771" s="912"/>
      <c r="E1771" s="912"/>
    </row>
    <row r="1772" spans="1:5" ht="15.75" x14ac:dyDescent="0.25">
      <c r="A1772" s="869"/>
      <c r="B1772" s="912"/>
      <c r="C1772" s="912"/>
      <c r="D1772" s="912"/>
      <c r="E1772" s="912"/>
    </row>
    <row r="1773" spans="1:5" ht="15.75" x14ac:dyDescent="0.25">
      <c r="A1773" s="869"/>
      <c r="B1773" s="912"/>
      <c r="C1773" s="912"/>
      <c r="D1773" s="912"/>
      <c r="E1773" s="912"/>
    </row>
    <row r="1774" spans="1:5" ht="15.75" x14ac:dyDescent="0.25">
      <c r="A1774" s="869"/>
      <c r="B1774" s="912"/>
      <c r="C1774" s="912"/>
      <c r="D1774" s="912"/>
      <c r="E1774" s="912"/>
    </row>
    <row r="1775" spans="1:5" ht="15.75" x14ac:dyDescent="0.25">
      <c r="A1775" s="869"/>
      <c r="B1775" s="912"/>
      <c r="C1775" s="912"/>
      <c r="D1775" s="912"/>
      <c r="E1775" s="912"/>
    </row>
    <row r="1776" spans="1:5" ht="15.75" x14ac:dyDescent="0.25">
      <c r="A1776" s="869"/>
      <c r="B1776" s="912"/>
      <c r="C1776" s="912"/>
      <c r="D1776" s="912"/>
      <c r="E1776" s="912"/>
    </row>
    <row r="1777" spans="1:5" ht="15.75" x14ac:dyDescent="0.25">
      <c r="A1777" s="869"/>
      <c r="B1777" s="912"/>
      <c r="C1777" s="912"/>
      <c r="D1777" s="912"/>
      <c r="E1777" s="912"/>
    </row>
    <row r="1778" spans="1:5" ht="15.75" x14ac:dyDescent="0.25">
      <c r="A1778" s="869"/>
      <c r="B1778" s="912"/>
      <c r="C1778" s="912"/>
      <c r="D1778" s="912"/>
      <c r="E1778" s="912"/>
    </row>
    <row r="1779" spans="1:5" ht="15.75" x14ac:dyDescent="0.25">
      <c r="A1779" s="869"/>
      <c r="B1779" s="912"/>
      <c r="C1779" s="912"/>
      <c r="D1779" s="912"/>
      <c r="E1779" s="912"/>
    </row>
    <row r="1780" spans="1:5" ht="15.75" x14ac:dyDescent="0.25">
      <c r="A1780" s="869"/>
      <c r="B1780" s="912"/>
      <c r="C1780" s="912"/>
      <c r="D1780" s="912"/>
      <c r="E1780" s="912"/>
    </row>
    <row r="1781" spans="1:5" ht="15.75" x14ac:dyDescent="0.25">
      <c r="A1781" s="869"/>
      <c r="B1781" s="912"/>
      <c r="C1781" s="912"/>
      <c r="D1781" s="912"/>
      <c r="E1781" s="912"/>
    </row>
    <row r="1782" spans="1:5" ht="15.75" x14ac:dyDescent="0.25">
      <c r="A1782" s="869"/>
      <c r="B1782" s="912"/>
      <c r="C1782" s="912"/>
      <c r="D1782" s="912"/>
      <c r="E1782" s="912"/>
    </row>
    <row r="1783" spans="1:5" ht="15.75" x14ac:dyDescent="0.25">
      <c r="A1783" s="869"/>
      <c r="B1783" s="912"/>
      <c r="C1783" s="912"/>
      <c r="D1783" s="912"/>
      <c r="E1783" s="912"/>
    </row>
    <row r="1784" spans="1:5" ht="15.75" x14ac:dyDescent="0.25">
      <c r="A1784" s="869"/>
      <c r="B1784" s="912"/>
      <c r="C1784" s="912"/>
      <c r="D1784" s="912"/>
      <c r="E1784" s="912"/>
    </row>
    <row r="1785" spans="1:5" ht="15.75" x14ac:dyDescent="0.25">
      <c r="A1785" s="869"/>
      <c r="B1785" s="912"/>
      <c r="C1785" s="912"/>
      <c r="D1785" s="912"/>
      <c r="E1785" s="912"/>
    </row>
    <row r="1786" spans="1:5" ht="15.75" x14ac:dyDescent="0.25">
      <c r="A1786" s="869"/>
      <c r="B1786" s="912"/>
      <c r="C1786" s="912"/>
      <c r="D1786" s="912"/>
      <c r="E1786" s="912"/>
    </row>
    <row r="1787" spans="1:5" ht="15.75" x14ac:dyDescent="0.25">
      <c r="A1787" s="869"/>
      <c r="B1787" s="912"/>
      <c r="C1787" s="912"/>
      <c r="D1787" s="912"/>
      <c r="E1787" s="912"/>
    </row>
    <row r="1788" spans="1:5" ht="15.75" x14ac:dyDescent="0.25">
      <c r="A1788" s="869"/>
      <c r="B1788" s="912"/>
      <c r="C1788" s="912"/>
      <c r="D1788" s="912"/>
      <c r="E1788" s="912"/>
    </row>
    <row r="1789" spans="1:5" ht="15.75" x14ac:dyDescent="0.25">
      <c r="A1789" s="869"/>
      <c r="B1789" s="912"/>
      <c r="C1789" s="912"/>
      <c r="D1789" s="912"/>
      <c r="E1789" s="912"/>
    </row>
    <row r="1790" spans="1:5" ht="15.75" x14ac:dyDescent="0.25">
      <c r="A1790" s="869"/>
      <c r="B1790" s="912"/>
      <c r="C1790" s="912"/>
      <c r="D1790" s="912"/>
      <c r="E1790" s="912"/>
    </row>
    <row r="1791" spans="1:5" ht="15.75" x14ac:dyDescent="0.25">
      <c r="A1791" s="869"/>
      <c r="B1791" s="912"/>
      <c r="C1791" s="912"/>
      <c r="D1791" s="912"/>
      <c r="E1791" s="912"/>
    </row>
    <row r="1792" spans="1:5" ht="15.75" x14ac:dyDescent="0.25">
      <c r="A1792" s="869"/>
      <c r="B1792" s="912"/>
      <c r="C1792" s="912"/>
      <c r="D1792" s="912"/>
      <c r="E1792" s="912"/>
    </row>
    <row r="1793" spans="1:5" ht="15.75" x14ac:dyDescent="0.25">
      <c r="A1793" s="869"/>
      <c r="B1793" s="912"/>
      <c r="C1793" s="912"/>
      <c r="D1793" s="912"/>
      <c r="E1793" s="912"/>
    </row>
    <row r="1794" spans="1:5" ht="15.75" x14ac:dyDescent="0.25">
      <c r="A1794" s="869"/>
      <c r="B1794" s="912"/>
      <c r="C1794" s="912"/>
      <c r="D1794" s="912"/>
      <c r="E1794" s="912"/>
    </row>
    <row r="1795" spans="1:5" ht="15.75" x14ac:dyDescent="0.25">
      <c r="A1795" s="869"/>
      <c r="B1795" s="912"/>
      <c r="C1795" s="912"/>
      <c r="D1795" s="912"/>
      <c r="E1795" s="912"/>
    </row>
    <row r="1796" spans="1:5" ht="15.75" x14ac:dyDescent="0.25">
      <c r="A1796" s="869"/>
      <c r="B1796" s="912"/>
      <c r="C1796" s="912"/>
      <c r="D1796" s="912"/>
      <c r="E1796" s="912"/>
    </row>
    <row r="1797" spans="1:5" ht="15.75" x14ac:dyDescent="0.25">
      <c r="A1797" s="869"/>
      <c r="B1797" s="912"/>
      <c r="C1797" s="912"/>
      <c r="D1797" s="912"/>
      <c r="E1797" s="912"/>
    </row>
    <row r="1798" spans="1:5" ht="15.75" x14ac:dyDescent="0.25">
      <c r="A1798" s="869"/>
      <c r="B1798" s="912"/>
      <c r="C1798" s="912"/>
      <c r="D1798" s="912"/>
      <c r="E1798" s="912"/>
    </row>
    <row r="1799" spans="1:5" ht="15.75" x14ac:dyDescent="0.25">
      <c r="A1799" s="869"/>
      <c r="B1799" s="912"/>
      <c r="C1799" s="912"/>
      <c r="D1799" s="912"/>
      <c r="E1799" s="912"/>
    </row>
    <row r="1800" spans="1:5" ht="15.75" x14ac:dyDescent="0.25">
      <c r="A1800" s="869"/>
      <c r="B1800" s="912"/>
      <c r="C1800" s="912"/>
      <c r="D1800" s="912"/>
      <c r="E1800" s="912"/>
    </row>
    <row r="1801" spans="1:5" ht="15.75" x14ac:dyDescent="0.25">
      <c r="A1801" s="869"/>
      <c r="B1801" s="912"/>
      <c r="C1801" s="912"/>
      <c r="D1801" s="912"/>
      <c r="E1801" s="912"/>
    </row>
    <row r="1802" spans="1:5" ht="15.75" x14ac:dyDescent="0.25">
      <c r="A1802" s="869"/>
      <c r="B1802" s="912"/>
      <c r="C1802" s="912"/>
      <c r="D1802" s="912"/>
      <c r="E1802" s="912"/>
    </row>
    <row r="1803" spans="1:5" ht="15.75" x14ac:dyDescent="0.25">
      <c r="A1803" s="869"/>
      <c r="B1803" s="912"/>
      <c r="C1803" s="912"/>
      <c r="D1803" s="912"/>
      <c r="E1803" s="912"/>
    </row>
    <row r="1804" spans="1:5" ht="15.75" x14ac:dyDescent="0.25">
      <c r="A1804" s="869"/>
      <c r="B1804" s="912"/>
      <c r="C1804" s="912"/>
      <c r="D1804" s="912"/>
      <c r="E1804" s="912"/>
    </row>
    <row r="1805" spans="1:5" ht="15.75" x14ac:dyDescent="0.25">
      <c r="A1805" s="869"/>
      <c r="B1805" s="912"/>
      <c r="C1805" s="912"/>
      <c r="D1805" s="912"/>
      <c r="E1805" s="912"/>
    </row>
    <row r="1806" spans="1:5" ht="15.75" x14ac:dyDescent="0.25">
      <c r="A1806" s="869"/>
      <c r="B1806" s="912"/>
      <c r="C1806" s="912"/>
      <c r="D1806" s="912"/>
      <c r="E1806" s="912"/>
    </row>
    <row r="1807" spans="1:5" ht="15.75" x14ac:dyDescent="0.25">
      <c r="A1807" s="869"/>
      <c r="B1807" s="912"/>
      <c r="C1807" s="912"/>
      <c r="D1807" s="912"/>
      <c r="E1807" s="912"/>
    </row>
    <row r="1808" spans="1:5" ht="15.75" x14ac:dyDescent="0.25">
      <c r="A1808" s="869"/>
      <c r="B1808" s="912"/>
      <c r="C1808" s="912"/>
      <c r="D1808" s="912"/>
      <c r="E1808" s="912"/>
    </row>
    <row r="1809" spans="1:5" ht="15.75" x14ac:dyDescent="0.25">
      <c r="A1809" s="869"/>
      <c r="B1809" s="912"/>
      <c r="C1809" s="912"/>
      <c r="D1809" s="912"/>
      <c r="E1809" s="912"/>
    </row>
    <row r="1810" spans="1:5" ht="15.75" x14ac:dyDescent="0.25">
      <c r="A1810" s="869"/>
      <c r="B1810" s="912"/>
      <c r="C1810" s="912"/>
      <c r="D1810" s="912"/>
      <c r="E1810" s="912"/>
    </row>
    <row r="1811" spans="1:5" ht="15.75" x14ac:dyDescent="0.25">
      <c r="A1811" s="869"/>
      <c r="B1811" s="912"/>
      <c r="C1811" s="912"/>
      <c r="D1811" s="912"/>
      <c r="E1811" s="912"/>
    </row>
    <row r="1812" spans="1:5" ht="15.75" x14ac:dyDescent="0.25">
      <c r="A1812" s="869"/>
      <c r="B1812" s="912"/>
      <c r="C1812" s="912"/>
      <c r="D1812" s="912"/>
      <c r="E1812" s="912"/>
    </row>
    <row r="1813" spans="1:5" ht="15.75" x14ac:dyDescent="0.25">
      <c r="A1813" s="869"/>
      <c r="B1813" s="912"/>
      <c r="C1813" s="912"/>
      <c r="D1813" s="912"/>
      <c r="E1813" s="912"/>
    </row>
    <row r="1814" spans="1:5" ht="15.75" x14ac:dyDescent="0.25">
      <c r="A1814" s="869"/>
      <c r="B1814" s="912"/>
      <c r="C1814" s="912"/>
      <c r="D1814" s="912"/>
      <c r="E1814" s="912"/>
    </row>
    <row r="1815" spans="1:5" ht="15.75" x14ac:dyDescent="0.25">
      <c r="A1815" s="869"/>
      <c r="B1815" s="912"/>
      <c r="C1815" s="912"/>
      <c r="D1815" s="912"/>
      <c r="E1815" s="912"/>
    </row>
    <row r="1816" spans="1:5" ht="15.75" x14ac:dyDescent="0.25">
      <c r="A1816" s="869"/>
      <c r="B1816" s="912"/>
      <c r="C1816" s="912"/>
      <c r="D1816" s="912"/>
      <c r="E1816" s="912"/>
    </row>
    <row r="1817" spans="1:5" ht="15.75" x14ac:dyDescent="0.25">
      <c r="A1817" s="869"/>
      <c r="B1817" s="912"/>
      <c r="C1817" s="912"/>
      <c r="D1817" s="912"/>
      <c r="E1817" s="912"/>
    </row>
    <row r="1818" spans="1:5" ht="15.75" x14ac:dyDescent="0.25">
      <c r="A1818" s="869"/>
      <c r="B1818" s="912"/>
      <c r="C1818" s="912"/>
      <c r="D1818" s="912"/>
      <c r="E1818" s="912"/>
    </row>
    <row r="1819" spans="1:5" ht="15.75" x14ac:dyDescent="0.25">
      <c r="A1819" s="869"/>
      <c r="B1819" s="912"/>
      <c r="C1819" s="912"/>
      <c r="D1819" s="912"/>
      <c r="E1819" s="912"/>
    </row>
    <row r="1820" spans="1:5" ht="15.75" x14ac:dyDescent="0.25">
      <c r="A1820" s="869"/>
      <c r="B1820" s="912"/>
      <c r="C1820" s="912"/>
      <c r="D1820" s="912"/>
      <c r="E1820" s="912"/>
    </row>
    <row r="1821" spans="1:5" ht="15.75" x14ac:dyDescent="0.25">
      <c r="A1821" s="869"/>
      <c r="B1821" s="912"/>
      <c r="C1821" s="912"/>
      <c r="D1821" s="912"/>
      <c r="E1821" s="912"/>
    </row>
    <row r="1822" spans="1:5" ht="15.75" x14ac:dyDescent="0.25">
      <c r="A1822" s="869"/>
      <c r="B1822" s="912"/>
      <c r="C1822" s="912"/>
      <c r="D1822" s="912"/>
      <c r="E1822" s="912"/>
    </row>
    <row r="1823" spans="1:5" ht="15.75" x14ac:dyDescent="0.25">
      <c r="A1823" s="869"/>
      <c r="B1823" s="912"/>
      <c r="C1823" s="912"/>
      <c r="D1823" s="912"/>
      <c r="E1823" s="912"/>
    </row>
    <row r="1824" spans="1:5" ht="15.75" x14ac:dyDescent="0.25">
      <c r="A1824" s="869"/>
      <c r="B1824" s="912"/>
      <c r="C1824" s="912"/>
      <c r="D1824" s="912"/>
      <c r="E1824" s="912"/>
    </row>
    <row r="1825" spans="1:5" ht="15.75" x14ac:dyDescent="0.25">
      <c r="A1825" s="869"/>
      <c r="B1825" s="912"/>
      <c r="C1825" s="912"/>
      <c r="D1825" s="912"/>
      <c r="E1825" s="912"/>
    </row>
    <row r="1826" spans="1:5" ht="15.75" x14ac:dyDescent="0.25">
      <c r="A1826" s="869"/>
      <c r="B1826" s="912"/>
      <c r="C1826" s="912"/>
      <c r="D1826" s="912"/>
      <c r="E1826" s="912"/>
    </row>
    <row r="1827" spans="1:5" ht="15.75" x14ac:dyDescent="0.25">
      <c r="A1827" s="869"/>
      <c r="B1827" s="912"/>
      <c r="C1827" s="912"/>
      <c r="D1827" s="912"/>
      <c r="E1827" s="912"/>
    </row>
    <row r="1828" spans="1:5" ht="15.75" x14ac:dyDescent="0.25">
      <c r="A1828" s="869"/>
      <c r="B1828" s="912"/>
      <c r="C1828" s="912"/>
      <c r="D1828" s="912"/>
      <c r="E1828" s="912"/>
    </row>
    <row r="1829" spans="1:5" ht="15.75" x14ac:dyDescent="0.25">
      <c r="A1829" s="869"/>
      <c r="B1829" s="912"/>
      <c r="C1829" s="912"/>
      <c r="D1829" s="912"/>
      <c r="E1829" s="912"/>
    </row>
    <row r="1830" spans="1:5" ht="15.75" x14ac:dyDescent="0.25">
      <c r="A1830" s="869"/>
      <c r="B1830" s="912"/>
      <c r="C1830" s="912"/>
      <c r="D1830" s="912"/>
      <c r="E1830" s="912"/>
    </row>
    <row r="1831" spans="1:5" ht="15.75" x14ac:dyDescent="0.25">
      <c r="A1831" s="869"/>
      <c r="B1831" s="912"/>
      <c r="C1831" s="912"/>
      <c r="D1831" s="912"/>
      <c r="E1831" s="912"/>
    </row>
    <row r="1832" spans="1:5" ht="15.75" x14ac:dyDescent="0.25">
      <c r="A1832" s="869"/>
      <c r="B1832" s="912"/>
      <c r="C1832" s="912"/>
      <c r="D1832" s="912"/>
      <c r="E1832" s="912"/>
    </row>
    <row r="1833" spans="1:5" ht="15.75" x14ac:dyDescent="0.25">
      <c r="A1833" s="869"/>
      <c r="B1833" s="912"/>
      <c r="C1833" s="912"/>
      <c r="D1833" s="912"/>
      <c r="E1833" s="912"/>
    </row>
    <row r="1834" spans="1:5" ht="15.75" x14ac:dyDescent="0.25">
      <c r="A1834" s="869"/>
      <c r="B1834" s="912"/>
      <c r="C1834" s="912"/>
      <c r="D1834" s="912"/>
      <c r="E1834" s="912"/>
    </row>
    <row r="1835" spans="1:5" ht="15.75" x14ac:dyDescent="0.25">
      <c r="A1835" s="869"/>
      <c r="B1835" s="912"/>
      <c r="C1835" s="912"/>
      <c r="D1835" s="912"/>
      <c r="E1835" s="912"/>
    </row>
    <row r="1836" spans="1:5" ht="15.75" x14ac:dyDescent="0.25">
      <c r="A1836" s="869"/>
      <c r="B1836" s="912"/>
      <c r="C1836" s="912"/>
      <c r="D1836" s="912"/>
      <c r="E1836" s="912"/>
    </row>
    <row r="1837" spans="1:5" ht="15.75" x14ac:dyDescent="0.25">
      <c r="A1837" s="869"/>
      <c r="B1837" s="912"/>
      <c r="C1837" s="912"/>
      <c r="D1837" s="912"/>
      <c r="E1837" s="912"/>
    </row>
    <row r="1838" spans="1:5" ht="15.75" x14ac:dyDescent="0.25">
      <c r="A1838" s="869"/>
      <c r="B1838" s="912"/>
      <c r="C1838" s="912"/>
      <c r="D1838" s="912"/>
      <c r="E1838" s="912"/>
    </row>
    <row r="1839" spans="1:5" ht="15.75" x14ac:dyDescent="0.25">
      <c r="A1839" s="869"/>
      <c r="B1839" s="912"/>
      <c r="C1839" s="912"/>
      <c r="D1839" s="912"/>
      <c r="E1839" s="912"/>
    </row>
    <row r="1840" spans="1:5" ht="15.75" x14ac:dyDescent="0.25">
      <c r="A1840" s="869"/>
      <c r="B1840" s="912"/>
      <c r="C1840" s="912"/>
      <c r="D1840" s="912"/>
      <c r="E1840" s="912"/>
    </row>
    <row r="1841" spans="1:5" ht="15.75" x14ac:dyDescent="0.25">
      <c r="A1841" s="869"/>
      <c r="B1841" s="912"/>
      <c r="C1841" s="912"/>
      <c r="D1841" s="912"/>
      <c r="E1841" s="912"/>
    </row>
    <row r="1842" spans="1:5" ht="15.75" x14ac:dyDescent="0.25">
      <c r="A1842" s="869"/>
      <c r="B1842" s="912"/>
      <c r="C1842" s="912"/>
      <c r="D1842" s="912"/>
      <c r="E1842" s="912"/>
    </row>
    <row r="1843" spans="1:5" ht="15.75" x14ac:dyDescent="0.25">
      <c r="A1843" s="869"/>
      <c r="B1843" s="912"/>
      <c r="C1843" s="912"/>
      <c r="D1843" s="912"/>
      <c r="E1843" s="912"/>
    </row>
    <row r="1844" spans="1:5" ht="15.75" x14ac:dyDescent="0.25">
      <c r="A1844" s="869"/>
      <c r="B1844" s="912"/>
      <c r="C1844" s="912"/>
      <c r="D1844" s="912"/>
      <c r="E1844" s="912"/>
    </row>
    <row r="1845" spans="1:5" ht="15.75" x14ac:dyDescent="0.25">
      <c r="A1845" s="869"/>
      <c r="B1845" s="912"/>
      <c r="C1845" s="912"/>
      <c r="D1845" s="912"/>
      <c r="E1845" s="912"/>
    </row>
    <row r="1846" spans="1:5" ht="15.75" x14ac:dyDescent="0.25">
      <c r="A1846" s="869"/>
      <c r="B1846" s="912"/>
      <c r="C1846" s="912"/>
      <c r="D1846" s="912"/>
      <c r="E1846" s="912"/>
    </row>
    <row r="1847" spans="1:5" ht="15.75" x14ac:dyDescent="0.25">
      <c r="A1847" s="869"/>
      <c r="B1847" s="912"/>
      <c r="C1847" s="912"/>
      <c r="D1847" s="912"/>
      <c r="E1847" s="912"/>
    </row>
    <row r="1848" spans="1:5" ht="15.75" x14ac:dyDescent="0.25">
      <c r="A1848" s="869"/>
      <c r="B1848" s="912"/>
      <c r="C1848" s="912"/>
      <c r="D1848" s="912"/>
      <c r="E1848" s="912"/>
    </row>
    <row r="1849" spans="1:5" ht="15.75" x14ac:dyDescent="0.25">
      <c r="A1849" s="869"/>
      <c r="B1849" s="912"/>
      <c r="C1849" s="912"/>
      <c r="D1849" s="912"/>
      <c r="E1849" s="912"/>
    </row>
    <row r="1850" spans="1:5" ht="15.75" x14ac:dyDescent="0.25">
      <c r="A1850" s="869"/>
      <c r="B1850" s="912"/>
      <c r="C1850" s="912"/>
      <c r="D1850" s="912"/>
      <c r="E1850" s="912"/>
    </row>
    <row r="1851" spans="1:5" ht="15.75" x14ac:dyDescent="0.25">
      <c r="A1851" s="869"/>
      <c r="B1851" s="912"/>
      <c r="C1851" s="912"/>
      <c r="D1851" s="912"/>
      <c r="E1851" s="912"/>
    </row>
    <row r="1852" spans="1:5" ht="15.75" x14ac:dyDescent="0.25">
      <c r="A1852" s="869"/>
      <c r="B1852" s="912"/>
      <c r="C1852" s="912"/>
      <c r="D1852" s="912"/>
      <c r="E1852" s="912"/>
    </row>
    <row r="1853" spans="1:5" ht="15.75" x14ac:dyDescent="0.25">
      <c r="A1853" s="869"/>
      <c r="B1853" s="912"/>
      <c r="C1853" s="912"/>
      <c r="D1853" s="912"/>
      <c r="E1853" s="912"/>
    </row>
    <row r="1854" spans="1:5" ht="15.75" x14ac:dyDescent="0.25">
      <c r="A1854" s="869"/>
      <c r="B1854" s="912"/>
      <c r="C1854" s="912"/>
      <c r="D1854" s="912"/>
      <c r="E1854" s="912"/>
    </row>
    <row r="1855" spans="1:5" ht="15.75" x14ac:dyDescent="0.25">
      <c r="A1855" s="869"/>
      <c r="B1855" s="912"/>
      <c r="C1855" s="912"/>
      <c r="D1855" s="912"/>
      <c r="E1855" s="912"/>
    </row>
    <row r="1856" spans="1:5" ht="15.75" x14ac:dyDescent="0.25">
      <c r="A1856" s="869"/>
      <c r="B1856" s="912"/>
      <c r="C1856" s="912"/>
      <c r="D1856" s="912"/>
      <c r="E1856" s="912"/>
    </row>
    <row r="1857" spans="1:5" ht="15.75" x14ac:dyDescent="0.25">
      <c r="A1857" s="869"/>
      <c r="B1857" s="912"/>
      <c r="C1857" s="912"/>
      <c r="D1857" s="912"/>
      <c r="E1857" s="912"/>
    </row>
    <row r="1858" spans="1:5" ht="15.75" x14ac:dyDescent="0.25">
      <c r="A1858" s="869"/>
      <c r="B1858" s="912"/>
      <c r="C1858" s="912"/>
      <c r="D1858" s="912"/>
      <c r="E1858" s="912"/>
    </row>
    <row r="1859" spans="1:5" ht="15.75" x14ac:dyDescent="0.25">
      <c r="A1859" s="869"/>
      <c r="B1859" s="912"/>
      <c r="C1859" s="912"/>
      <c r="D1859" s="912"/>
      <c r="E1859" s="912"/>
    </row>
    <row r="1860" spans="1:5" ht="15.75" x14ac:dyDescent="0.25">
      <c r="A1860" s="869"/>
      <c r="B1860" s="912"/>
      <c r="C1860" s="912"/>
      <c r="D1860" s="912"/>
      <c r="E1860" s="912"/>
    </row>
    <row r="1861" spans="1:5" ht="15.75" x14ac:dyDescent="0.25">
      <c r="A1861" s="869"/>
      <c r="B1861" s="912"/>
      <c r="C1861" s="912"/>
      <c r="D1861" s="912"/>
      <c r="E1861" s="912"/>
    </row>
    <row r="1862" spans="1:5" ht="15.75" x14ac:dyDescent="0.25">
      <c r="A1862" s="869"/>
      <c r="B1862" s="912"/>
      <c r="C1862" s="912"/>
      <c r="D1862" s="912"/>
      <c r="E1862" s="912"/>
    </row>
    <row r="1863" spans="1:5" ht="15.75" x14ac:dyDescent="0.25">
      <c r="A1863" s="869"/>
      <c r="B1863" s="912"/>
      <c r="C1863" s="912"/>
      <c r="D1863" s="912"/>
      <c r="E1863" s="912"/>
    </row>
    <row r="1864" spans="1:5" ht="15.75" x14ac:dyDescent="0.25">
      <c r="A1864" s="869"/>
      <c r="B1864" s="912"/>
      <c r="C1864" s="912"/>
      <c r="D1864" s="912"/>
      <c r="E1864" s="912"/>
    </row>
    <row r="1865" spans="1:5" ht="15.75" x14ac:dyDescent="0.25">
      <c r="A1865" s="869"/>
      <c r="B1865" s="912"/>
      <c r="C1865" s="912"/>
      <c r="D1865" s="912"/>
      <c r="E1865" s="912"/>
    </row>
    <row r="1866" spans="1:5" ht="15.75" x14ac:dyDescent="0.25">
      <c r="A1866" s="869"/>
      <c r="B1866" s="912"/>
      <c r="C1866" s="912"/>
      <c r="D1866" s="912"/>
      <c r="E1866" s="912"/>
    </row>
    <row r="1867" spans="1:5" ht="15.75" x14ac:dyDescent="0.25">
      <c r="A1867" s="869"/>
      <c r="B1867" s="912"/>
      <c r="C1867" s="912"/>
      <c r="D1867" s="912"/>
      <c r="E1867" s="912"/>
    </row>
    <row r="1868" spans="1:5" ht="15.75" x14ac:dyDescent="0.25">
      <c r="A1868" s="869"/>
      <c r="B1868" s="912"/>
      <c r="C1868" s="912"/>
      <c r="D1868" s="912"/>
      <c r="E1868" s="912"/>
    </row>
    <row r="1869" spans="1:5" ht="15.75" x14ac:dyDescent="0.25">
      <c r="A1869" s="869"/>
      <c r="B1869" s="912"/>
      <c r="C1869" s="912"/>
      <c r="D1869" s="912"/>
      <c r="E1869" s="912"/>
    </row>
    <row r="1870" spans="1:5" ht="15.75" x14ac:dyDescent="0.25">
      <c r="A1870" s="869"/>
      <c r="B1870" s="912"/>
      <c r="C1870" s="912"/>
      <c r="D1870" s="912"/>
      <c r="E1870" s="912"/>
    </row>
    <row r="1871" spans="1:5" ht="15.75" x14ac:dyDescent="0.25">
      <c r="A1871" s="869"/>
      <c r="B1871" s="912"/>
      <c r="C1871" s="912"/>
      <c r="D1871" s="912"/>
      <c r="E1871" s="912"/>
    </row>
    <row r="1872" spans="1:5" ht="15.75" x14ac:dyDescent="0.25">
      <c r="A1872" s="869"/>
      <c r="B1872" s="912"/>
      <c r="C1872" s="912"/>
      <c r="D1872" s="912"/>
      <c r="E1872" s="912"/>
    </row>
    <row r="1873" spans="1:5" ht="15.75" x14ac:dyDescent="0.25">
      <c r="A1873" s="869"/>
      <c r="B1873" s="912"/>
      <c r="C1873" s="912"/>
      <c r="D1873" s="912"/>
      <c r="E1873" s="912"/>
    </row>
    <row r="1874" spans="1:5" ht="15.75" x14ac:dyDescent="0.25">
      <c r="A1874" s="869"/>
      <c r="B1874" s="912"/>
      <c r="C1874" s="912"/>
      <c r="D1874" s="912"/>
      <c r="E1874" s="912"/>
    </row>
    <row r="1875" spans="1:5" ht="15.75" x14ac:dyDescent="0.25">
      <c r="A1875" s="869"/>
      <c r="B1875" s="912"/>
      <c r="C1875" s="912"/>
      <c r="D1875" s="912"/>
      <c r="E1875" s="912"/>
    </row>
    <row r="1876" spans="1:5" ht="15.75" x14ac:dyDescent="0.25">
      <c r="A1876" s="869"/>
      <c r="B1876" s="912"/>
      <c r="C1876" s="912"/>
      <c r="D1876" s="912"/>
      <c r="E1876" s="912"/>
    </row>
    <row r="1877" spans="1:5" ht="15.75" x14ac:dyDescent="0.25">
      <c r="A1877" s="869"/>
      <c r="B1877" s="912"/>
      <c r="C1877" s="912"/>
      <c r="D1877" s="912"/>
      <c r="E1877" s="912"/>
    </row>
    <row r="1878" spans="1:5" ht="15.75" x14ac:dyDescent="0.25">
      <c r="A1878" s="869"/>
      <c r="B1878" s="912"/>
      <c r="C1878" s="912"/>
      <c r="D1878" s="912"/>
      <c r="E1878" s="912"/>
    </row>
    <row r="1879" spans="1:5" ht="15.75" x14ac:dyDescent="0.25">
      <c r="A1879" s="869"/>
      <c r="B1879" s="912"/>
      <c r="C1879" s="912"/>
      <c r="D1879" s="912"/>
      <c r="E1879" s="912"/>
    </row>
    <row r="1880" spans="1:5" ht="15.75" x14ac:dyDescent="0.25">
      <c r="A1880" s="869"/>
      <c r="B1880" s="912"/>
      <c r="C1880" s="912"/>
      <c r="D1880" s="912"/>
      <c r="E1880" s="912"/>
    </row>
    <row r="1881" spans="1:5" ht="15.75" x14ac:dyDescent="0.25">
      <c r="A1881" s="869"/>
      <c r="B1881" s="912"/>
      <c r="C1881" s="912"/>
      <c r="D1881" s="912"/>
      <c r="E1881" s="912"/>
    </row>
    <row r="1882" spans="1:5" ht="15.75" x14ac:dyDescent="0.25">
      <c r="A1882" s="869"/>
      <c r="B1882" s="912"/>
      <c r="C1882" s="912"/>
      <c r="D1882" s="912"/>
      <c r="E1882" s="912"/>
    </row>
    <row r="1883" spans="1:5" ht="15.75" x14ac:dyDescent="0.25">
      <c r="A1883" s="869"/>
      <c r="B1883" s="912"/>
      <c r="C1883" s="912"/>
      <c r="D1883" s="912"/>
      <c r="E1883" s="912"/>
    </row>
    <row r="1884" spans="1:5" ht="15.75" x14ac:dyDescent="0.25">
      <c r="A1884" s="869"/>
      <c r="B1884" s="912"/>
      <c r="C1884" s="912"/>
      <c r="D1884" s="912"/>
      <c r="E1884" s="912"/>
    </row>
    <row r="1885" spans="1:5" ht="15.75" x14ac:dyDescent="0.25">
      <c r="A1885" s="869"/>
      <c r="B1885" s="912"/>
      <c r="C1885" s="912"/>
      <c r="D1885" s="912"/>
      <c r="E1885" s="912"/>
    </row>
    <row r="1886" spans="1:5" ht="15.75" x14ac:dyDescent="0.25">
      <c r="A1886" s="869"/>
      <c r="B1886" s="912"/>
      <c r="C1886" s="912"/>
      <c r="D1886" s="912"/>
      <c r="E1886" s="912"/>
    </row>
    <row r="1887" spans="1:5" ht="15.75" x14ac:dyDescent="0.25">
      <c r="A1887" s="869"/>
      <c r="B1887" s="912"/>
      <c r="C1887" s="912"/>
      <c r="D1887" s="912"/>
      <c r="E1887" s="912"/>
    </row>
    <row r="1888" spans="1:5" ht="15.75" x14ac:dyDescent="0.25">
      <c r="A1888" s="869"/>
      <c r="B1888" s="912"/>
      <c r="C1888" s="912"/>
      <c r="D1888" s="912"/>
      <c r="E1888" s="912"/>
    </row>
    <row r="1889" spans="1:5" ht="15.75" x14ac:dyDescent="0.25">
      <c r="A1889" s="869"/>
      <c r="B1889" s="912"/>
      <c r="C1889" s="912"/>
      <c r="D1889" s="912"/>
      <c r="E1889" s="912"/>
    </row>
    <row r="1890" spans="1:5" ht="15.75" x14ac:dyDescent="0.25">
      <c r="A1890" s="869"/>
      <c r="B1890" s="912"/>
      <c r="C1890" s="912"/>
      <c r="D1890" s="912"/>
      <c r="E1890" s="912"/>
    </row>
    <row r="1891" spans="1:5" ht="15.75" x14ac:dyDescent="0.25">
      <c r="A1891" s="869"/>
      <c r="B1891" s="912"/>
      <c r="C1891" s="912"/>
      <c r="D1891" s="912"/>
      <c r="E1891" s="912"/>
    </row>
    <row r="1892" spans="1:5" ht="15.75" x14ac:dyDescent="0.25">
      <c r="A1892" s="869"/>
      <c r="B1892" s="912"/>
      <c r="C1892" s="912"/>
      <c r="D1892" s="912"/>
      <c r="E1892" s="912"/>
    </row>
    <row r="1893" spans="1:5" ht="15.75" x14ac:dyDescent="0.25">
      <c r="A1893" s="869"/>
      <c r="B1893" s="912"/>
      <c r="C1893" s="912"/>
      <c r="D1893" s="912"/>
      <c r="E1893" s="912"/>
    </row>
    <row r="1894" spans="1:5" ht="15.75" x14ac:dyDescent="0.25">
      <c r="A1894" s="869"/>
      <c r="B1894" s="912"/>
      <c r="C1894" s="912"/>
      <c r="D1894" s="912"/>
      <c r="E1894" s="912"/>
    </row>
    <row r="1895" spans="1:5" ht="15.75" x14ac:dyDescent="0.25">
      <c r="A1895" s="869"/>
      <c r="B1895" s="912"/>
      <c r="C1895" s="912"/>
      <c r="D1895" s="912"/>
      <c r="E1895" s="912"/>
    </row>
    <row r="1896" spans="1:5" ht="15.75" x14ac:dyDescent="0.25">
      <c r="A1896" s="869"/>
      <c r="B1896" s="912"/>
      <c r="C1896" s="912"/>
      <c r="D1896" s="912"/>
      <c r="E1896" s="912"/>
    </row>
    <row r="1897" spans="1:5" ht="15.75" x14ac:dyDescent="0.25">
      <c r="A1897" s="869"/>
      <c r="B1897" s="912"/>
      <c r="C1897" s="912"/>
      <c r="D1897" s="912"/>
      <c r="E1897" s="912"/>
    </row>
    <row r="1898" spans="1:5" ht="15.75" x14ac:dyDescent="0.25">
      <c r="A1898" s="869"/>
      <c r="B1898" s="912"/>
      <c r="C1898" s="912"/>
      <c r="D1898" s="912"/>
      <c r="E1898" s="912"/>
    </row>
    <row r="1899" spans="1:5" ht="15.75" x14ac:dyDescent="0.25">
      <c r="A1899" s="869"/>
      <c r="B1899" s="912"/>
      <c r="C1899" s="912"/>
      <c r="D1899" s="912"/>
      <c r="E1899" s="912"/>
    </row>
    <row r="1900" spans="1:5" ht="15.75" x14ac:dyDescent="0.25">
      <c r="A1900" s="869"/>
      <c r="B1900" s="912"/>
      <c r="C1900" s="912"/>
      <c r="D1900" s="912"/>
      <c r="E1900" s="912"/>
    </row>
    <row r="1901" spans="1:5" ht="15.75" x14ac:dyDescent="0.25">
      <c r="A1901" s="869"/>
      <c r="B1901" s="912"/>
      <c r="C1901" s="912"/>
      <c r="D1901" s="912"/>
      <c r="E1901" s="912"/>
    </row>
    <row r="1902" spans="1:5" ht="15.75" x14ac:dyDescent="0.25">
      <c r="A1902" s="869"/>
      <c r="B1902" s="912"/>
      <c r="C1902" s="912"/>
      <c r="D1902" s="912"/>
      <c r="E1902" s="912"/>
    </row>
    <row r="1903" spans="1:5" ht="15.75" x14ac:dyDescent="0.25">
      <c r="A1903" s="869"/>
      <c r="B1903" s="912"/>
      <c r="C1903" s="912"/>
      <c r="D1903" s="912"/>
      <c r="E1903" s="912"/>
    </row>
    <row r="1904" spans="1:5" ht="15.75" x14ac:dyDescent="0.25">
      <c r="A1904" s="869"/>
      <c r="B1904" s="912"/>
      <c r="C1904" s="912"/>
      <c r="D1904" s="912"/>
      <c r="E1904" s="912"/>
    </row>
    <row r="1905" spans="1:5" ht="15.75" x14ac:dyDescent="0.25">
      <c r="A1905" s="869"/>
      <c r="B1905" s="912"/>
      <c r="C1905" s="912"/>
      <c r="D1905" s="912"/>
      <c r="E1905" s="912"/>
    </row>
    <row r="1906" spans="1:5" ht="15.75" x14ac:dyDescent="0.25">
      <c r="A1906" s="869"/>
      <c r="B1906" s="912"/>
      <c r="C1906" s="912"/>
      <c r="D1906" s="912"/>
      <c r="E1906" s="912"/>
    </row>
    <row r="1907" spans="1:5" ht="15.75" x14ac:dyDescent="0.25">
      <c r="A1907" s="869"/>
      <c r="B1907" s="912"/>
      <c r="C1907" s="912"/>
      <c r="D1907" s="912"/>
      <c r="E1907" s="912"/>
    </row>
    <row r="1908" spans="1:5" ht="15.75" x14ac:dyDescent="0.25">
      <c r="A1908" s="869"/>
      <c r="B1908" s="912"/>
      <c r="C1908" s="912"/>
      <c r="D1908" s="912"/>
      <c r="E1908" s="912"/>
    </row>
    <row r="1909" spans="1:5" ht="15.75" x14ac:dyDescent="0.25">
      <c r="A1909" s="869"/>
      <c r="B1909" s="912"/>
      <c r="C1909" s="912"/>
      <c r="D1909" s="912"/>
      <c r="E1909" s="912"/>
    </row>
    <row r="1910" spans="1:5" ht="15.75" x14ac:dyDescent="0.25">
      <c r="A1910" s="869"/>
      <c r="B1910" s="912"/>
      <c r="C1910" s="912"/>
      <c r="D1910" s="912"/>
      <c r="E1910" s="912"/>
    </row>
    <row r="1911" spans="1:5" ht="15.75" x14ac:dyDescent="0.25">
      <c r="A1911" s="869"/>
      <c r="B1911" s="912"/>
      <c r="C1911" s="912"/>
      <c r="D1911" s="912"/>
      <c r="E1911" s="912"/>
    </row>
    <row r="1912" spans="1:5" ht="15.75" x14ac:dyDescent="0.25">
      <c r="A1912" s="869"/>
      <c r="B1912" s="912"/>
      <c r="C1912" s="912"/>
      <c r="D1912" s="912"/>
      <c r="E1912" s="912"/>
    </row>
    <row r="1913" spans="1:5" ht="15.75" x14ac:dyDescent="0.25">
      <c r="A1913" s="869"/>
      <c r="B1913" s="912"/>
      <c r="C1913" s="912"/>
      <c r="D1913" s="912"/>
      <c r="E1913" s="912"/>
    </row>
    <row r="1914" spans="1:5" ht="15.75" x14ac:dyDescent="0.25">
      <c r="A1914" s="869"/>
      <c r="B1914" s="912"/>
      <c r="C1914" s="912"/>
      <c r="D1914" s="912"/>
      <c r="E1914" s="912"/>
    </row>
    <row r="1915" spans="1:5" ht="15.75" x14ac:dyDescent="0.25">
      <c r="A1915" s="869"/>
      <c r="B1915" s="912"/>
      <c r="C1915" s="912"/>
      <c r="D1915" s="912"/>
      <c r="E1915" s="912"/>
    </row>
    <row r="1916" spans="1:5" ht="15.75" x14ac:dyDescent="0.25">
      <c r="A1916" s="869"/>
      <c r="B1916" s="912"/>
      <c r="C1916" s="912"/>
      <c r="D1916" s="912"/>
      <c r="E1916" s="912"/>
    </row>
    <row r="1917" spans="1:5" ht="15.75" x14ac:dyDescent="0.25">
      <c r="A1917" s="869"/>
      <c r="B1917" s="912"/>
      <c r="C1917" s="912"/>
      <c r="D1917" s="912"/>
      <c r="E1917" s="912"/>
    </row>
    <row r="1918" spans="1:5" ht="15.75" x14ac:dyDescent="0.25">
      <c r="A1918" s="869"/>
      <c r="B1918" s="912"/>
      <c r="C1918" s="912"/>
      <c r="D1918" s="912"/>
      <c r="E1918" s="912"/>
    </row>
    <row r="1919" spans="1:5" ht="15.75" x14ac:dyDescent="0.25">
      <c r="A1919" s="869"/>
      <c r="B1919" s="912"/>
      <c r="C1919" s="912"/>
      <c r="D1919" s="912"/>
      <c r="E1919" s="912"/>
    </row>
    <row r="1920" spans="1:5" ht="15.75" x14ac:dyDescent="0.25">
      <c r="A1920" s="869"/>
      <c r="B1920" s="912"/>
      <c r="C1920" s="912"/>
      <c r="D1920" s="912"/>
      <c r="E1920" s="912"/>
    </row>
    <row r="1921" spans="1:5" ht="15.75" x14ac:dyDescent="0.25">
      <c r="A1921" s="869"/>
      <c r="B1921" s="912"/>
      <c r="C1921" s="912"/>
      <c r="D1921" s="912"/>
      <c r="E1921" s="912"/>
    </row>
    <row r="1922" spans="1:5" ht="15.75" x14ac:dyDescent="0.25">
      <c r="A1922" s="869"/>
      <c r="B1922" s="912"/>
      <c r="C1922" s="912"/>
      <c r="D1922" s="912"/>
      <c r="E1922" s="912"/>
    </row>
    <row r="1923" spans="1:5" ht="15.75" x14ac:dyDescent="0.25">
      <c r="A1923" s="869"/>
      <c r="B1923" s="912"/>
      <c r="C1923" s="912"/>
      <c r="D1923" s="912"/>
      <c r="E1923" s="912"/>
    </row>
    <row r="1924" spans="1:5" ht="15.75" x14ac:dyDescent="0.25">
      <c r="A1924" s="869"/>
      <c r="B1924" s="912"/>
      <c r="C1924" s="912"/>
      <c r="D1924" s="912"/>
      <c r="E1924" s="912"/>
    </row>
    <row r="1925" spans="1:5" ht="15.75" x14ac:dyDescent="0.25">
      <c r="A1925" s="869"/>
      <c r="B1925" s="912"/>
      <c r="C1925" s="912"/>
      <c r="D1925" s="912"/>
      <c r="E1925" s="912"/>
    </row>
    <row r="1926" spans="1:5" ht="15.75" x14ac:dyDescent="0.25">
      <c r="A1926" s="869"/>
      <c r="B1926" s="912"/>
      <c r="C1926" s="912"/>
      <c r="D1926" s="912"/>
      <c r="E1926" s="912"/>
    </row>
    <row r="1927" spans="1:5" ht="15.75" x14ac:dyDescent="0.25">
      <c r="A1927" s="869"/>
      <c r="B1927" s="912"/>
      <c r="C1927" s="912"/>
      <c r="D1927" s="912"/>
      <c r="E1927" s="912"/>
    </row>
    <row r="1928" spans="1:5" ht="15.75" x14ac:dyDescent="0.25">
      <c r="A1928" s="869"/>
      <c r="B1928" s="912"/>
      <c r="C1928" s="912"/>
      <c r="D1928" s="912"/>
      <c r="E1928" s="912"/>
    </row>
    <row r="1929" spans="1:5" ht="15.75" x14ac:dyDescent="0.25">
      <c r="A1929" s="869"/>
      <c r="B1929" s="912"/>
      <c r="C1929" s="912"/>
      <c r="D1929" s="912"/>
      <c r="E1929" s="912"/>
    </row>
    <row r="1930" spans="1:5" ht="15.75" x14ac:dyDescent="0.25">
      <c r="A1930" s="869"/>
      <c r="B1930" s="912"/>
      <c r="C1930" s="912"/>
      <c r="D1930" s="912"/>
      <c r="E1930" s="912"/>
    </row>
    <row r="1931" spans="1:5" ht="15.75" x14ac:dyDescent="0.25">
      <c r="A1931" s="869"/>
      <c r="B1931" s="912"/>
      <c r="C1931" s="912"/>
      <c r="D1931" s="912"/>
      <c r="E1931" s="912"/>
    </row>
    <row r="1932" spans="1:5" ht="15.75" x14ac:dyDescent="0.25">
      <c r="A1932" s="869"/>
      <c r="B1932" s="912"/>
      <c r="C1932" s="912"/>
      <c r="D1932" s="912"/>
      <c r="E1932" s="912"/>
    </row>
    <row r="1933" spans="1:5" ht="15.75" x14ac:dyDescent="0.25">
      <c r="A1933" s="869"/>
      <c r="B1933" s="912"/>
      <c r="C1933" s="912"/>
      <c r="D1933" s="912"/>
      <c r="E1933" s="912"/>
    </row>
    <row r="1934" spans="1:5" ht="15.75" x14ac:dyDescent="0.25">
      <c r="A1934" s="869"/>
      <c r="B1934" s="912"/>
      <c r="C1934" s="912"/>
      <c r="D1934" s="912"/>
      <c r="E1934" s="912"/>
    </row>
    <row r="1935" spans="1:5" ht="15.75" x14ac:dyDescent="0.25">
      <c r="A1935" s="869"/>
      <c r="B1935" s="912"/>
      <c r="C1935" s="912"/>
      <c r="D1935" s="912"/>
      <c r="E1935" s="912"/>
    </row>
    <row r="1936" spans="1:5" ht="15.75" x14ac:dyDescent="0.25">
      <c r="A1936" s="869"/>
      <c r="B1936" s="912"/>
      <c r="C1936" s="912"/>
      <c r="D1936" s="912"/>
      <c r="E1936" s="912"/>
    </row>
    <row r="1937" spans="1:5" ht="15.75" x14ac:dyDescent="0.25">
      <c r="A1937" s="869"/>
      <c r="B1937" s="912"/>
      <c r="C1937" s="912"/>
      <c r="D1937" s="912"/>
      <c r="E1937" s="912"/>
    </row>
    <row r="1938" spans="1:5" ht="15.75" x14ac:dyDescent="0.25">
      <c r="A1938" s="869"/>
      <c r="B1938" s="912"/>
      <c r="C1938" s="912"/>
      <c r="D1938" s="912"/>
      <c r="E1938" s="912"/>
    </row>
    <row r="1939" spans="1:5" ht="15.75" x14ac:dyDescent="0.25">
      <c r="A1939" s="869"/>
      <c r="B1939" s="912"/>
      <c r="C1939" s="912"/>
      <c r="D1939" s="912"/>
      <c r="E1939" s="912"/>
    </row>
    <row r="1940" spans="1:5" ht="15.75" x14ac:dyDescent="0.25">
      <c r="A1940" s="869"/>
      <c r="B1940" s="912"/>
      <c r="C1940" s="912"/>
      <c r="D1940" s="912"/>
      <c r="E1940" s="912"/>
    </row>
    <row r="1941" spans="1:5" ht="15.75" x14ac:dyDescent="0.25">
      <c r="A1941" s="869"/>
      <c r="B1941" s="912"/>
      <c r="C1941" s="912"/>
      <c r="D1941" s="912"/>
      <c r="E1941" s="912"/>
    </row>
    <row r="1942" spans="1:5" ht="15.75" x14ac:dyDescent="0.25">
      <c r="A1942" s="869"/>
      <c r="B1942" s="912"/>
      <c r="C1942" s="912"/>
      <c r="D1942" s="912"/>
      <c r="E1942" s="912"/>
    </row>
    <row r="1943" spans="1:5" ht="15.75" x14ac:dyDescent="0.25">
      <c r="A1943" s="869"/>
      <c r="B1943" s="912"/>
      <c r="C1943" s="912"/>
      <c r="D1943" s="912"/>
      <c r="E1943" s="912"/>
    </row>
    <row r="1944" spans="1:5" ht="15.75" x14ac:dyDescent="0.25">
      <c r="A1944" s="869"/>
      <c r="B1944" s="912"/>
      <c r="C1944" s="912"/>
      <c r="D1944" s="912"/>
      <c r="E1944" s="912"/>
    </row>
    <row r="1945" spans="1:5" ht="15.75" x14ac:dyDescent="0.25">
      <c r="A1945" s="869"/>
      <c r="B1945" s="912"/>
      <c r="C1945" s="912"/>
      <c r="D1945" s="912"/>
      <c r="E1945" s="912"/>
    </row>
    <row r="1946" spans="1:5" ht="15.75" x14ac:dyDescent="0.25">
      <c r="A1946" s="869"/>
      <c r="B1946" s="912"/>
      <c r="C1946" s="912"/>
      <c r="D1946" s="912"/>
      <c r="E1946" s="912"/>
    </row>
    <row r="1947" spans="1:5" ht="15.75" x14ac:dyDescent="0.25">
      <c r="A1947" s="869"/>
      <c r="B1947" s="912"/>
      <c r="C1947" s="912"/>
      <c r="D1947" s="912"/>
      <c r="E1947" s="912"/>
    </row>
    <row r="1948" spans="1:5" ht="15.75" x14ac:dyDescent="0.25">
      <c r="A1948" s="869"/>
      <c r="B1948" s="912"/>
      <c r="C1948" s="912"/>
      <c r="D1948" s="912"/>
      <c r="E1948" s="912"/>
    </row>
    <row r="1949" spans="1:5" ht="15.75" x14ac:dyDescent="0.25">
      <c r="A1949" s="869"/>
      <c r="B1949" s="912"/>
      <c r="C1949" s="912"/>
      <c r="D1949" s="912"/>
      <c r="E1949" s="912"/>
    </row>
    <row r="1950" spans="1:5" ht="15.75" x14ac:dyDescent="0.25">
      <c r="A1950" s="869"/>
      <c r="B1950" s="912"/>
      <c r="C1950" s="912"/>
      <c r="D1950" s="912"/>
      <c r="E1950" s="912"/>
    </row>
    <row r="1951" spans="1:5" ht="15.75" x14ac:dyDescent="0.25">
      <c r="A1951" s="869"/>
      <c r="B1951" s="912"/>
      <c r="C1951" s="912"/>
      <c r="D1951" s="912"/>
      <c r="E1951" s="912"/>
    </row>
    <row r="1952" spans="1:5" ht="15.75" x14ac:dyDescent="0.25">
      <c r="A1952" s="869"/>
      <c r="B1952" s="912"/>
      <c r="C1952" s="912"/>
      <c r="D1952" s="912"/>
      <c r="E1952" s="912"/>
    </row>
    <row r="1953" spans="1:5" ht="15.75" x14ac:dyDescent="0.25">
      <c r="A1953" s="869"/>
      <c r="B1953" s="912"/>
      <c r="C1953" s="912"/>
      <c r="D1953" s="912"/>
      <c r="E1953" s="912"/>
    </row>
    <row r="1954" spans="1:5" ht="15.75" x14ac:dyDescent="0.25">
      <c r="A1954" s="869"/>
      <c r="B1954" s="912"/>
      <c r="C1954" s="912"/>
      <c r="D1954" s="912"/>
      <c r="E1954" s="912"/>
    </row>
    <row r="1955" spans="1:5" ht="15.75" x14ac:dyDescent="0.25">
      <c r="A1955" s="869"/>
      <c r="B1955" s="912"/>
      <c r="C1955" s="912"/>
      <c r="D1955" s="912"/>
      <c r="E1955" s="912"/>
    </row>
    <row r="1956" spans="1:5" ht="15.75" x14ac:dyDescent="0.25">
      <c r="A1956" s="869"/>
      <c r="B1956" s="912"/>
      <c r="C1956" s="912"/>
      <c r="D1956" s="912"/>
      <c r="E1956" s="912"/>
    </row>
    <row r="1957" spans="1:5" ht="15.75" x14ac:dyDescent="0.25">
      <c r="A1957" s="869"/>
      <c r="B1957" s="912"/>
      <c r="C1957" s="912"/>
      <c r="D1957" s="912"/>
      <c r="E1957" s="912"/>
    </row>
    <row r="1958" spans="1:5" ht="15.75" x14ac:dyDescent="0.25">
      <c r="A1958" s="869"/>
      <c r="B1958" s="912"/>
      <c r="C1958" s="912"/>
      <c r="D1958" s="912"/>
      <c r="E1958" s="912"/>
    </row>
    <row r="1959" spans="1:5" ht="15.75" x14ac:dyDescent="0.25">
      <c r="A1959" s="869"/>
      <c r="B1959" s="912"/>
      <c r="C1959" s="912"/>
      <c r="D1959" s="912"/>
      <c r="E1959" s="912"/>
    </row>
    <row r="1960" spans="1:5" ht="15.75" x14ac:dyDescent="0.25">
      <c r="A1960" s="869"/>
      <c r="B1960" s="912"/>
      <c r="C1960" s="912"/>
      <c r="D1960" s="912"/>
      <c r="E1960" s="912"/>
    </row>
    <row r="1961" spans="1:5" ht="15.75" x14ac:dyDescent="0.25">
      <c r="A1961" s="869"/>
      <c r="B1961" s="912"/>
      <c r="C1961" s="912"/>
      <c r="D1961" s="912"/>
      <c r="E1961" s="912"/>
    </row>
    <row r="1962" spans="1:5" ht="15.75" x14ac:dyDescent="0.25">
      <c r="A1962" s="869"/>
      <c r="B1962" s="912"/>
      <c r="C1962" s="912"/>
      <c r="D1962" s="912"/>
      <c r="E1962" s="912"/>
    </row>
    <row r="1963" spans="1:5" ht="15.75" x14ac:dyDescent="0.25">
      <c r="A1963" s="869"/>
      <c r="B1963" s="912"/>
      <c r="C1963" s="912"/>
      <c r="D1963" s="912"/>
      <c r="E1963" s="912"/>
    </row>
    <row r="1964" spans="1:5" ht="15.75" x14ac:dyDescent="0.25">
      <c r="A1964" s="869"/>
      <c r="B1964" s="912"/>
      <c r="C1964" s="912"/>
      <c r="D1964" s="912"/>
      <c r="E1964" s="912"/>
    </row>
    <row r="1965" spans="1:5" ht="15.75" x14ac:dyDescent="0.25">
      <c r="A1965" s="869"/>
      <c r="B1965" s="912"/>
      <c r="C1965" s="912"/>
      <c r="D1965" s="912"/>
      <c r="E1965" s="912"/>
    </row>
    <row r="1966" spans="1:5" ht="15.75" x14ac:dyDescent="0.25">
      <c r="A1966" s="869"/>
      <c r="B1966" s="912"/>
      <c r="C1966" s="912"/>
      <c r="D1966" s="912"/>
      <c r="E1966" s="912"/>
    </row>
    <row r="1967" spans="1:5" ht="15.75" x14ac:dyDescent="0.25">
      <c r="A1967" s="869"/>
      <c r="B1967" s="912"/>
      <c r="C1967" s="912"/>
      <c r="D1967" s="912"/>
      <c r="E1967" s="912"/>
    </row>
    <row r="1968" spans="1:5" ht="15.75" x14ac:dyDescent="0.25">
      <c r="A1968" s="869"/>
      <c r="B1968" s="912"/>
      <c r="C1968" s="912"/>
      <c r="D1968" s="912"/>
      <c r="E1968" s="912"/>
    </row>
    <row r="1969" spans="1:5" ht="15.75" x14ac:dyDescent="0.25">
      <c r="A1969" s="869"/>
      <c r="B1969" s="912"/>
      <c r="C1969" s="912"/>
      <c r="D1969" s="912"/>
      <c r="E1969" s="912"/>
    </row>
    <row r="1970" spans="1:5" ht="15.75" x14ac:dyDescent="0.25">
      <c r="A1970" s="869"/>
      <c r="B1970" s="912"/>
      <c r="C1970" s="912"/>
      <c r="D1970" s="912"/>
      <c r="E1970" s="912"/>
    </row>
    <row r="1971" spans="1:5" ht="15.75" x14ac:dyDescent="0.25">
      <c r="A1971" s="869"/>
      <c r="B1971" s="912"/>
      <c r="C1971" s="912"/>
      <c r="D1971" s="912"/>
      <c r="E1971" s="912"/>
    </row>
    <row r="1972" spans="1:5" ht="15.75" x14ac:dyDescent="0.25">
      <c r="A1972" s="869"/>
      <c r="B1972" s="912"/>
      <c r="C1972" s="912"/>
      <c r="D1972" s="912"/>
      <c r="E1972" s="912"/>
    </row>
    <row r="1973" spans="1:5" ht="15.75" x14ac:dyDescent="0.25">
      <c r="A1973" s="869"/>
      <c r="B1973" s="912"/>
      <c r="C1973" s="912"/>
      <c r="D1973" s="912"/>
      <c r="E1973" s="912"/>
    </row>
    <row r="1974" spans="1:5" ht="15.75" x14ac:dyDescent="0.25">
      <c r="A1974" s="869"/>
      <c r="B1974" s="912"/>
      <c r="C1974" s="912"/>
      <c r="D1974" s="912"/>
      <c r="E1974" s="912"/>
    </row>
    <row r="1975" spans="1:5" ht="15.75" x14ac:dyDescent="0.25">
      <c r="A1975" s="869"/>
      <c r="B1975" s="912"/>
      <c r="C1975" s="912"/>
      <c r="D1975" s="912"/>
      <c r="E1975" s="912"/>
    </row>
    <row r="1976" spans="1:5" ht="15.75" x14ac:dyDescent="0.25">
      <c r="A1976" s="869"/>
      <c r="B1976" s="912"/>
      <c r="C1976" s="912"/>
      <c r="D1976" s="912"/>
      <c r="E1976" s="912"/>
    </row>
    <row r="1977" spans="1:5" ht="15.75" x14ac:dyDescent="0.25">
      <c r="A1977" s="869"/>
      <c r="B1977" s="912"/>
      <c r="C1977" s="912"/>
      <c r="D1977" s="912"/>
      <c r="E1977" s="912"/>
    </row>
    <row r="1978" spans="1:5" ht="15.75" x14ac:dyDescent="0.25">
      <c r="A1978" s="869"/>
      <c r="B1978" s="912"/>
      <c r="C1978" s="912"/>
      <c r="D1978" s="912"/>
      <c r="E1978" s="912"/>
    </row>
    <row r="1979" spans="1:5" ht="15.75" x14ac:dyDescent="0.25">
      <c r="A1979" s="869"/>
      <c r="B1979" s="912"/>
      <c r="C1979" s="912"/>
      <c r="D1979" s="912"/>
      <c r="E1979" s="912"/>
    </row>
    <row r="1980" spans="1:5" ht="15.75" x14ac:dyDescent="0.25">
      <c r="A1980" s="869"/>
      <c r="B1980" s="912"/>
      <c r="C1980" s="912"/>
      <c r="D1980" s="912"/>
      <c r="E1980" s="912"/>
    </row>
    <row r="1981" spans="1:5" ht="15.75" x14ac:dyDescent="0.25">
      <c r="A1981" s="869"/>
      <c r="B1981" s="912"/>
      <c r="C1981" s="912"/>
      <c r="D1981" s="912"/>
      <c r="E1981" s="912"/>
    </row>
    <row r="1982" spans="1:5" ht="15.75" x14ac:dyDescent="0.25">
      <c r="A1982" s="869"/>
      <c r="B1982" s="912"/>
      <c r="C1982" s="912"/>
      <c r="D1982" s="912"/>
      <c r="E1982" s="912"/>
    </row>
    <row r="1983" spans="1:5" ht="15.75" x14ac:dyDescent="0.25">
      <c r="A1983" s="869"/>
      <c r="B1983" s="912"/>
      <c r="C1983" s="912"/>
      <c r="D1983" s="912"/>
      <c r="E1983" s="912"/>
    </row>
    <row r="1984" spans="1:5" ht="15.75" x14ac:dyDescent="0.25">
      <c r="A1984" s="869"/>
      <c r="B1984" s="912"/>
      <c r="C1984" s="912"/>
      <c r="D1984" s="912"/>
      <c r="E1984" s="912"/>
    </row>
    <row r="1985" spans="1:5" ht="15.75" x14ac:dyDescent="0.25">
      <c r="A1985" s="869"/>
      <c r="B1985" s="912"/>
      <c r="C1985" s="912"/>
      <c r="D1985" s="912"/>
      <c r="E1985" s="912"/>
    </row>
    <row r="1986" spans="1:5" ht="15.75" x14ac:dyDescent="0.25">
      <c r="A1986" s="869"/>
      <c r="B1986" s="912"/>
      <c r="C1986" s="912"/>
      <c r="D1986" s="912"/>
      <c r="E1986" s="912"/>
    </row>
    <row r="1987" spans="1:5" ht="15.75" x14ac:dyDescent="0.25">
      <c r="A1987" s="869"/>
      <c r="B1987" s="912"/>
      <c r="C1987" s="912"/>
      <c r="D1987" s="912"/>
      <c r="E1987" s="912"/>
    </row>
    <row r="1988" spans="1:5" ht="15.75" x14ac:dyDescent="0.25">
      <c r="A1988" s="869"/>
      <c r="B1988" s="912"/>
      <c r="C1988" s="912"/>
      <c r="D1988" s="912"/>
      <c r="E1988" s="912"/>
    </row>
    <row r="1989" spans="1:5" ht="15.75" x14ac:dyDescent="0.25">
      <c r="A1989" s="869"/>
      <c r="B1989" s="912"/>
      <c r="C1989" s="912"/>
      <c r="D1989" s="912"/>
      <c r="E1989" s="912"/>
    </row>
    <row r="1990" spans="1:5" ht="15.75" x14ac:dyDescent="0.25">
      <c r="A1990" s="869"/>
      <c r="B1990" s="912"/>
      <c r="C1990" s="912"/>
      <c r="D1990" s="912"/>
      <c r="E1990" s="912"/>
    </row>
    <row r="1991" spans="1:5" ht="15.75" x14ac:dyDescent="0.25">
      <c r="A1991" s="869"/>
      <c r="B1991" s="912"/>
      <c r="C1991" s="912"/>
      <c r="D1991" s="912"/>
      <c r="E1991" s="912"/>
    </row>
    <row r="1992" spans="1:5" ht="15.75" x14ac:dyDescent="0.25">
      <c r="A1992" s="869"/>
      <c r="B1992" s="912"/>
      <c r="C1992" s="912"/>
      <c r="D1992" s="912"/>
      <c r="E1992" s="912"/>
    </row>
    <row r="1993" spans="1:5" ht="15.75" x14ac:dyDescent="0.25">
      <c r="A1993" s="869"/>
      <c r="B1993" s="912"/>
      <c r="C1993" s="912"/>
      <c r="D1993" s="912"/>
      <c r="E1993" s="912"/>
    </row>
    <row r="1994" spans="1:5" ht="15.75" x14ac:dyDescent="0.25">
      <c r="A1994" s="869"/>
      <c r="B1994" s="912"/>
      <c r="C1994" s="912"/>
      <c r="D1994" s="912"/>
      <c r="E1994" s="912"/>
    </row>
    <row r="1995" spans="1:5" ht="15.75" x14ac:dyDescent="0.25">
      <c r="A1995" s="869"/>
      <c r="B1995" s="912"/>
      <c r="C1995" s="912"/>
      <c r="D1995" s="912"/>
      <c r="E1995" s="912"/>
    </row>
    <row r="1996" spans="1:5" ht="15.75" x14ac:dyDescent="0.25">
      <c r="A1996" s="869"/>
      <c r="B1996" s="912"/>
      <c r="C1996" s="912"/>
      <c r="D1996" s="912"/>
      <c r="E1996" s="912"/>
    </row>
    <row r="1997" spans="1:5" ht="15.75" x14ac:dyDescent="0.25">
      <c r="A1997" s="869"/>
      <c r="B1997" s="912"/>
      <c r="C1997" s="912"/>
      <c r="D1997" s="912"/>
      <c r="E1997" s="912"/>
    </row>
    <row r="1998" spans="1:5" ht="15.75" x14ac:dyDescent="0.25">
      <c r="A1998" s="869"/>
      <c r="B1998" s="912"/>
      <c r="C1998" s="912"/>
      <c r="D1998" s="912"/>
      <c r="E1998" s="912"/>
    </row>
    <row r="1999" spans="1:5" ht="15.75" x14ac:dyDescent="0.25">
      <c r="A1999" s="869"/>
      <c r="B1999" s="912"/>
      <c r="C1999" s="912"/>
      <c r="D1999" s="912"/>
      <c r="E1999" s="912"/>
    </row>
    <row r="2000" spans="1:5" ht="15.75" x14ac:dyDescent="0.25">
      <c r="A2000" s="869"/>
      <c r="B2000" s="912"/>
      <c r="C2000" s="912"/>
      <c r="D2000" s="912"/>
      <c r="E2000" s="912"/>
    </row>
    <row r="2001" spans="1:5" ht="15.75" x14ac:dyDescent="0.25">
      <c r="A2001" s="869"/>
      <c r="B2001" s="912"/>
      <c r="C2001" s="912"/>
      <c r="D2001" s="912"/>
      <c r="E2001" s="912"/>
    </row>
    <row r="2002" spans="1:5" ht="15.75" x14ac:dyDescent="0.25">
      <c r="A2002" s="869"/>
      <c r="B2002" s="912"/>
      <c r="C2002" s="912"/>
      <c r="D2002" s="912"/>
      <c r="E2002" s="912"/>
    </row>
    <row r="2003" spans="1:5" ht="15.75" x14ac:dyDescent="0.25">
      <c r="A2003" s="869"/>
      <c r="B2003" s="912"/>
      <c r="C2003" s="912"/>
      <c r="D2003" s="912"/>
      <c r="E2003" s="912"/>
    </row>
    <row r="2004" spans="1:5" ht="15.75" x14ac:dyDescent="0.25">
      <c r="A2004" s="869"/>
      <c r="B2004" s="912"/>
      <c r="C2004" s="912"/>
      <c r="D2004" s="912"/>
      <c r="E2004" s="912"/>
    </row>
    <row r="2005" spans="1:5" ht="15.75" x14ac:dyDescent="0.25">
      <c r="A2005" s="869"/>
      <c r="B2005" s="912"/>
      <c r="C2005" s="912"/>
      <c r="D2005" s="912"/>
      <c r="E2005" s="912"/>
    </row>
    <row r="2006" spans="1:5" ht="15.75" x14ac:dyDescent="0.25">
      <c r="A2006" s="869"/>
      <c r="B2006" s="912"/>
      <c r="C2006" s="912"/>
      <c r="D2006" s="912"/>
      <c r="E2006" s="912"/>
    </row>
    <row r="2007" spans="1:5" ht="15.75" x14ac:dyDescent="0.25">
      <c r="A2007" s="869"/>
      <c r="B2007" s="912"/>
      <c r="C2007" s="912"/>
      <c r="D2007" s="912"/>
      <c r="E2007" s="912"/>
    </row>
    <row r="2008" spans="1:5" ht="15.75" x14ac:dyDescent="0.25">
      <c r="A2008" s="869"/>
      <c r="B2008" s="912"/>
      <c r="C2008" s="912"/>
      <c r="D2008" s="912"/>
      <c r="E2008" s="912"/>
    </row>
    <row r="2009" spans="1:5" ht="15.75" x14ac:dyDescent="0.25">
      <c r="A2009" s="869"/>
      <c r="B2009" s="912"/>
      <c r="C2009" s="912"/>
      <c r="D2009" s="912"/>
      <c r="E2009" s="912"/>
    </row>
    <row r="2010" spans="1:5" ht="15.75" x14ac:dyDescent="0.25">
      <c r="A2010" s="869"/>
      <c r="B2010" s="912"/>
      <c r="C2010" s="912"/>
      <c r="D2010" s="912"/>
      <c r="E2010" s="912"/>
    </row>
    <row r="2011" spans="1:5" ht="15.75" x14ac:dyDescent="0.25">
      <c r="A2011" s="869"/>
      <c r="B2011" s="912"/>
      <c r="C2011" s="912"/>
      <c r="D2011" s="912"/>
      <c r="E2011" s="912"/>
    </row>
    <row r="2012" spans="1:5" ht="15.75" x14ac:dyDescent="0.25">
      <c r="A2012" s="869"/>
      <c r="B2012" s="912"/>
      <c r="C2012" s="912"/>
      <c r="D2012" s="912"/>
      <c r="E2012" s="912"/>
    </row>
    <row r="2013" spans="1:5" ht="15.75" x14ac:dyDescent="0.25">
      <c r="A2013" s="869"/>
      <c r="B2013" s="912"/>
      <c r="C2013" s="912"/>
      <c r="D2013" s="912"/>
      <c r="E2013" s="912"/>
    </row>
    <row r="2014" spans="1:5" ht="15.75" x14ac:dyDescent="0.25">
      <c r="A2014" s="869"/>
      <c r="B2014" s="912"/>
      <c r="C2014" s="912"/>
      <c r="D2014" s="912"/>
      <c r="E2014" s="912"/>
    </row>
    <row r="2015" spans="1:5" ht="15.75" x14ac:dyDescent="0.25">
      <c r="A2015" s="869"/>
      <c r="B2015" s="912"/>
      <c r="C2015" s="912"/>
      <c r="D2015" s="912"/>
      <c r="E2015" s="912"/>
    </row>
    <row r="2016" spans="1:5" ht="15.75" x14ac:dyDescent="0.25">
      <c r="A2016" s="869"/>
      <c r="B2016" s="912"/>
      <c r="C2016" s="912"/>
      <c r="D2016" s="912"/>
      <c r="E2016" s="912"/>
    </row>
    <row r="2017" spans="1:5" ht="15.75" x14ac:dyDescent="0.25">
      <c r="A2017" s="869"/>
      <c r="B2017" s="912"/>
      <c r="C2017" s="912"/>
      <c r="D2017" s="912"/>
      <c r="E2017" s="912"/>
    </row>
    <row r="2018" spans="1:5" ht="15.75" x14ac:dyDescent="0.25">
      <c r="A2018" s="869"/>
      <c r="B2018" s="912"/>
      <c r="C2018" s="912"/>
      <c r="D2018" s="912"/>
      <c r="E2018" s="912"/>
    </row>
    <row r="2019" spans="1:5" ht="15.75" x14ac:dyDescent="0.25">
      <c r="A2019" s="869"/>
      <c r="B2019" s="912"/>
      <c r="C2019" s="912"/>
      <c r="D2019" s="912"/>
      <c r="E2019" s="912"/>
    </row>
    <row r="2020" spans="1:5" ht="15.75" x14ac:dyDescent="0.25">
      <c r="A2020" s="869"/>
      <c r="B2020" s="912"/>
      <c r="C2020" s="912"/>
      <c r="D2020" s="912"/>
      <c r="E2020" s="912"/>
    </row>
    <row r="2021" spans="1:5" ht="15.75" x14ac:dyDescent="0.25">
      <c r="A2021" s="869"/>
      <c r="B2021" s="912"/>
      <c r="C2021" s="912"/>
      <c r="D2021" s="912"/>
      <c r="E2021" s="912"/>
    </row>
    <row r="2022" spans="1:5" ht="15.75" x14ac:dyDescent="0.25">
      <c r="A2022" s="869"/>
      <c r="B2022" s="912"/>
      <c r="C2022" s="912"/>
      <c r="D2022" s="912"/>
      <c r="E2022" s="912"/>
    </row>
    <row r="2023" spans="1:5" ht="15.75" x14ac:dyDescent="0.25">
      <c r="A2023" s="869"/>
      <c r="B2023" s="912"/>
      <c r="C2023" s="912"/>
      <c r="D2023" s="912"/>
      <c r="E2023" s="912"/>
    </row>
    <row r="2024" spans="1:5" ht="15.75" x14ac:dyDescent="0.25">
      <c r="A2024" s="869"/>
      <c r="B2024" s="912"/>
      <c r="C2024" s="912"/>
      <c r="D2024" s="912"/>
      <c r="E2024" s="912"/>
    </row>
    <row r="2025" spans="1:5" ht="15.75" x14ac:dyDescent="0.25">
      <c r="A2025" s="869"/>
      <c r="B2025" s="912"/>
      <c r="C2025" s="912"/>
      <c r="D2025" s="912"/>
      <c r="E2025" s="912"/>
    </row>
    <row r="2026" spans="1:5" ht="15.75" x14ac:dyDescent="0.25">
      <c r="A2026" s="869"/>
      <c r="B2026" s="912"/>
      <c r="C2026" s="912"/>
      <c r="D2026" s="912"/>
      <c r="E2026" s="912"/>
    </row>
    <row r="2027" spans="1:5" ht="15.75" x14ac:dyDescent="0.25">
      <c r="A2027" s="869"/>
      <c r="B2027" s="912"/>
      <c r="C2027" s="912"/>
      <c r="D2027" s="912"/>
      <c r="E2027" s="912"/>
    </row>
    <row r="2028" spans="1:5" ht="15.75" x14ac:dyDescent="0.25">
      <c r="A2028" s="869"/>
      <c r="B2028" s="912"/>
      <c r="C2028" s="912"/>
      <c r="D2028" s="912"/>
      <c r="E2028" s="912"/>
    </row>
    <row r="2029" spans="1:5" ht="15.75" x14ac:dyDescent="0.25">
      <c r="A2029" s="869"/>
      <c r="B2029" s="912"/>
      <c r="C2029" s="912"/>
      <c r="D2029" s="912"/>
      <c r="E2029" s="912"/>
    </row>
    <row r="2030" spans="1:5" ht="15.75" x14ac:dyDescent="0.25">
      <c r="A2030" s="869"/>
      <c r="B2030" s="912"/>
      <c r="C2030" s="912"/>
      <c r="D2030" s="912"/>
      <c r="E2030" s="912"/>
    </row>
    <row r="2031" spans="1:5" ht="15.75" x14ac:dyDescent="0.25">
      <c r="A2031" s="869"/>
      <c r="B2031" s="912"/>
      <c r="C2031" s="912"/>
      <c r="D2031" s="912"/>
      <c r="E2031" s="912"/>
    </row>
    <row r="2032" spans="1:5" ht="15.75" x14ac:dyDescent="0.25">
      <c r="A2032" s="869"/>
      <c r="B2032" s="912"/>
      <c r="C2032" s="912"/>
      <c r="D2032" s="912"/>
      <c r="E2032" s="912"/>
    </row>
    <row r="2033" spans="1:5" ht="15.75" x14ac:dyDescent="0.25">
      <c r="A2033" s="869"/>
      <c r="B2033" s="912"/>
      <c r="C2033" s="912"/>
      <c r="D2033" s="912"/>
      <c r="E2033" s="912"/>
    </row>
    <row r="2034" spans="1:5" ht="15.75" x14ac:dyDescent="0.25">
      <c r="A2034" s="869"/>
      <c r="B2034" s="912"/>
      <c r="C2034" s="912"/>
      <c r="D2034" s="912"/>
      <c r="E2034" s="912"/>
    </row>
    <row r="2035" spans="1:5" ht="15.75" x14ac:dyDescent="0.25">
      <c r="A2035" s="869"/>
      <c r="B2035" s="912"/>
      <c r="C2035" s="912"/>
      <c r="D2035" s="912"/>
      <c r="E2035" s="912"/>
    </row>
    <row r="2036" spans="1:5" ht="15.75" x14ac:dyDescent="0.25">
      <c r="A2036" s="869"/>
      <c r="B2036" s="912"/>
      <c r="C2036" s="912"/>
      <c r="D2036" s="912"/>
      <c r="E2036" s="912"/>
    </row>
    <row r="2037" spans="1:5" ht="15.75" x14ac:dyDescent="0.25">
      <c r="A2037" s="869"/>
      <c r="B2037" s="912"/>
      <c r="C2037" s="912"/>
      <c r="D2037" s="912"/>
      <c r="E2037" s="912"/>
    </row>
    <row r="2038" spans="1:5" ht="15.75" x14ac:dyDescent="0.25">
      <c r="A2038" s="869"/>
      <c r="B2038" s="912"/>
      <c r="C2038" s="912"/>
      <c r="D2038" s="912"/>
      <c r="E2038" s="912"/>
    </row>
    <row r="2039" spans="1:5" ht="15.75" x14ac:dyDescent="0.25">
      <c r="A2039" s="869"/>
      <c r="B2039" s="912"/>
      <c r="C2039" s="912"/>
      <c r="D2039" s="912"/>
      <c r="E2039" s="912"/>
    </row>
    <row r="2040" spans="1:5" ht="15.75" x14ac:dyDescent="0.25">
      <c r="A2040" s="869"/>
      <c r="B2040" s="912"/>
      <c r="C2040" s="912"/>
      <c r="D2040" s="912"/>
      <c r="E2040" s="912"/>
    </row>
    <row r="2041" spans="1:5" ht="15.75" x14ac:dyDescent="0.25">
      <c r="A2041" s="869"/>
      <c r="B2041" s="912"/>
      <c r="C2041" s="912"/>
      <c r="D2041" s="912"/>
      <c r="E2041" s="912"/>
    </row>
    <row r="2042" spans="1:5" ht="15.75" x14ac:dyDescent="0.25">
      <c r="A2042" s="869"/>
      <c r="B2042" s="912"/>
      <c r="C2042" s="912"/>
      <c r="D2042" s="912"/>
      <c r="E2042" s="912"/>
    </row>
    <row r="2043" spans="1:5" ht="15.75" x14ac:dyDescent="0.25">
      <c r="A2043" s="869"/>
      <c r="B2043" s="912"/>
      <c r="C2043" s="912"/>
      <c r="D2043" s="912"/>
      <c r="E2043" s="912"/>
    </row>
    <row r="2044" spans="1:5" ht="15.75" x14ac:dyDescent="0.25">
      <c r="A2044" s="869"/>
      <c r="B2044" s="912"/>
      <c r="C2044" s="912"/>
      <c r="D2044" s="912"/>
      <c r="E2044" s="912"/>
    </row>
    <row r="2045" spans="1:5" ht="15.75" x14ac:dyDescent="0.25">
      <c r="A2045" s="869"/>
      <c r="B2045" s="912"/>
      <c r="C2045" s="912"/>
      <c r="D2045" s="912"/>
      <c r="E2045" s="912"/>
    </row>
    <row r="2046" spans="1:5" ht="15.75" x14ac:dyDescent="0.25">
      <c r="A2046" s="869"/>
      <c r="B2046" s="912"/>
      <c r="C2046" s="912"/>
      <c r="D2046" s="912"/>
      <c r="E2046" s="912"/>
    </row>
    <row r="2047" spans="1:5" ht="15.75" x14ac:dyDescent="0.25">
      <c r="A2047" s="869"/>
      <c r="B2047" s="912"/>
      <c r="C2047" s="912"/>
      <c r="D2047" s="912"/>
      <c r="E2047" s="912"/>
    </row>
    <row r="2048" spans="1:5" ht="15.75" x14ac:dyDescent="0.25">
      <c r="A2048" s="869"/>
      <c r="B2048" s="912"/>
      <c r="C2048" s="912"/>
      <c r="D2048" s="912"/>
      <c r="E2048" s="912"/>
    </row>
    <row r="2049" spans="1:5" ht="15.75" x14ac:dyDescent="0.25">
      <c r="A2049" s="869"/>
      <c r="B2049" s="912"/>
      <c r="C2049" s="912"/>
      <c r="D2049" s="912"/>
      <c r="E2049" s="912"/>
    </row>
    <row r="2050" spans="1:5" ht="15.75" x14ac:dyDescent="0.25">
      <c r="A2050" s="869"/>
      <c r="B2050" s="912"/>
      <c r="C2050" s="912"/>
      <c r="D2050" s="912"/>
      <c r="E2050" s="912"/>
    </row>
    <row r="2051" spans="1:5" ht="15.75" x14ac:dyDescent="0.25">
      <c r="A2051" s="869"/>
      <c r="B2051" s="912"/>
      <c r="C2051" s="912"/>
      <c r="D2051" s="912"/>
      <c r="E2051" s="912"/>
    </row>
    <row r="2052" spans="1:5" ht="15.75" x14ac:dyDescent="0.25">
      <c r="A2052" s="869"/>
      <c r="B2052" s="912"/>
      <c r="C2052" s="912"/>
      <c r="D2052" s="912"/>
      <c r="E2052" s="912"/>
    </row>
    <row r="2053" spans="1:5" ht="15.75" x14ac:dyDescent="0.25">
      <c r="A2053" s="869"/>
      <c r="B2053" s="912"/>
      <c r="C2053" s="912"/>
      <c r="D2053" s="912"/>
      <c r="E2053" s="912"/>
    </row>
    <row r="2054" spans="1:5" ht="15.75" x14ac:dyDescent="0.25">
      <c r="A2054" s="869"/>
      <c r="B2054" s="912"/>
      <c r="C2054" s="912"/>
      <c r="D2054" s="912"/>
      <c r="E2054" s="912"/>
    </row>
    <row r="2055" spans="1:5" ht="15.75" x14ac:dyDescent="0.25">
      <c r="A2055" s="869"/>
      <c r="B2055" s="912"/>
      <c r="C2055" s="912"/>
      <c r="D2055" s="912"/>
      <c r="E2055" s="912"/>
    </row>
    <row r="2056" spans="1:5" ht="15.75" x14ac:dyDescent="0.25">
      <c r="A2056" s="869"/>
      <c r="B2056" s="912"/>
      <c r="C2056" s="912"/>
      <c r="D2056" s="912"/>
      <c r="E2056" s="912"/>
    </row>
    <row r="2057" spans="1:5" ht="15.75" x14ac:dyDescent="0.25">
      <c r="A2057" s="869"/>
      <c r="B2057" s="912"/>
      <c r="C2057" s="912"/>
      <c r="D2057" s="912"/>
      <c r="E2057" s="912"/>
    </row>
    <row r="2058" spans="1:5" ht="15.75" x14ac:dyDescent="0.25">
      <c r="A2058" s="869"/>
      <c r="B2058" s="912"/>
      <c r="C2058" s="912"/>
      <c r="D2058" s="912"/>
      <c r="E2058" s="912"/>
    </row>
    <row r="2059" spans="1:5" ht="15.75" x14ac:dyDescent="0.25">
      <c r="A2059" s="869"/>
      <c r="B2059" s="912"/>
      <c r="C2059" s="912"/>
      <c r="D2059" s="912"/>
      <c r="E2059" s="912"/>
    </row>
    <row r="2060" spans="1:5" ht="15.75" x14ac:dyDescent="0.25">
      <c r="A2060" s="869"/>
      <c r="B2060" s="912"/>
      <c r="C2060" s="912"/>
      <c r="D2060" s="912"/>
      <c r="E2060" s="912"/>
    </row>
    <row r="2061" spans="1:5" ht="15.75" x14ac:dyDescent="0.25">
      <c r="A2061" s="869"/>
      <c r="B2061" s="912"/>
      <c r="C2061" s="912"/>
      <c r="D2061" s="912"/>
      <c r="E2061" s="912"/>
    </row>
    <row r="2062" spans="1:5" ht="15.75" x14ac:dyDescent="0.25">
      <c r="A2062" s="869"/>
      <c r="B2062" s="912"/>
      <c r="C2062" s="912"/>
      <c r="D2062" s="912"/>
      <c r="E2062" s="912"/>
    </row>
    <row r="2063" spans="1:5" ht="15.75" x14ac:dyDescent="0.25">
      <c r="A2063" s="869"/>
      <c r="B2063" s="912"/>
      <c r="C2063" s="912"/>
      <c r="D2063" s="912"/>
      <c r="E2063" s="912"/>
    </row>
    <row r="2064" spans="1:5" ht="15.75" x14ac:dyDescent="0.25">
      <c r="A2064" s="869"/>
      <c r="B2064" s="912"/>
      <c r="C2064" s="912"/>
      <c r="D2064" s="912"/>
      <c r="E2064" s="912"/>
    </row>
    <row r="2065" spans="1:5" ht="15.75" x14ac:dyDescent="0.25">
      <c r="A2065" s="869"/>
      <c r="B2065" s="912"/>
      <c r="C2065" s="912"/>
      <c r="D2065" s="912"/>
      <c r="E2065" s="912"/>
    </row>
    <row r="2066" spans="1:5" ht="15.75" x14ac:dyDescent="0.25">
      <c r="A2066" s="869"/>
      <c r="B2066" s="912"/>
      <c r="C2066" s="912"/>
      <c r="D2066" s="912"/>
      <c r="E2066" s="912"/>
    </row>
    <row r="2067" spans="1:5" ht="15.75" x14ac:dyDescent="0.25">
      <c r="A2067" s="869"/>
      <c r="B2067" s="912"/>
      <c r="C2067" s="912"/>
      <c r="D2067" s="912"/>
      <c r="E2067" s="912"/>
    </row>
    <row r="2068" spans="1:5" ht="15.75" x14ac:dyDescent="0.25">
      <c r="A2068" s="869"/>
      <c r="B2068" s="912"/>
      <c r="C2068" s="912"/>
      <c r="D2068" s="912"/>
      <c r="E2068" s="912"/>
    </row>
    <row r="2069" spans="1:5" ht="15.75" x14ac:dyDescent="0.25">
      <c r="A2069" s="869"/>
      <c r="B2069" s="912"/>
      <c r="C2069" s="912"/>
      <c r="D2069" s="912"/>
      <c r="E2069" s="912"/>
    </row>
    <row r="2070" spans="1:5" ht="15.75" x14ac:dyDescent="0.25">
      <c r="A2070" s="869"/>
      <c r="B2070" s="912"/>
      <c r="C2070" s="912"/>
      <c r="D2070" s="912"/>
      <c r="E2070" s="912"/>
    </row>
    <row r="2071" spans="1:5" ht="15.75" x14ac:dyDescent="0.25">
      <c r="A2071" s="869"/>
      <c r="B2071" s="912"/>
      <c r="C2071" s="912"/>
      <c r="D2071" s="912"/>
      <c r="E2071" s="912"/>
    </row>
    <row r="2072" spans="1:5" ht="15.75" x14ac:dyDescent="0.25">
      <c r="A2072" s="869"/>
      <c r="B2072" s="912"/>
      <c r="C2072" s="912"/>
      <c r="D2072" s="912"/>
      <c r="E2072" s="912"/>
    </row>
    <row r="2073" spans="1:5" ht="15.75" x14ac:dyDescent="0.25">
      <c r="A2073" s="869"/>
      <c r="B2073" s="912"/>
      <c r="C2073" s="912"/>
      <c r="D2073" s="912"/>
      <c r="E2073" s="912"/>
    </row>
    <row r="2074" spans="1:5" ht="15.75" x14ac:dyDescent="0.25">
      <c r="A2074" s="869"/>
      <c r="B2074" s="912"/>
      <c r="C2074" s="912"/>
      <c r="D2074" s="912"/>
      <c r="E2074" s="912"/>
    </row>
    <row r="2075" spans="1:5" ht="15.75" x14ac:dyDescent="0.25">
      <c r="A2075" s="869"/>
      <c r="B2075" s="912"/>
      <c r="C2075" s="912"/>
      <c r="D2075" s="912"/>
      <c r="E2075" s="912"/>
    </row>
    <row r="2076" spans="1:5" ht="15.75" x14ac:dyDescent="0.25">
      <c r="A2076" s="869"/>
      <c r="B2076" s="912"/>
      <c r="C2076" s="912"/>
      <c r="D2076" s="912"/>
      <c r="E2076" s="912"/>
    </row>
    <row r="2077" spans="1:5" ht="15.75" x14ac:dyDescent="0.25">
      <c r="A2077" s="869"/>
      <c r="B2077" s="912"/>
      <c r="C2077" s="912"/>
      <c r="D2077" s="912"/>
      <c r="E2077" s="912"/>
    </row>
    <row r="2078" spans="1:5" ht="15.75" x14ac:dyDescent="0.25">
      <c r="A2078" s="869"/>
      <c r="B2078" s="912"/>
      <c r="C2078" s="912"/>
      <c r="D2078" s="912"/>
      <c r="E2078" s="912"/>
    </row>
    <row r="2079" spans="1:5" ht="15.75" x14ac:dyDescent="0.25">
      <c r="A2079" s="869"/>
      <c r="B2079" s="912"/>
      <c r="C2079" s="912"/>
      <c r="D2079" s="912"/>
      <c r="E2079" s="912"/>
    </row>
    <row r="2080" spans="1:5" ht="15.75" x14ac:dyDescent="0.25">
      <c r="A2080" s="869"/>
      <c r="B2080" s="912"/>
      <c r="C2080" s="912"/>
      <c r="D2080" s="912"/>
      <c r="E2080" s="912"/>
    </row>
    <row r="2081" spans="1:5" ht="15.75" x14ac:dyDescent="0.25">
      <c r="A2081" s="869"/>
      <c r="B2081" s="912"/>
      <c r="C2081" s="912"/>
      <c r="D2081" s="912"/>
      <c r="E2081" s="912"/>
    </row>
    <row r="2082" spans="1:5" ht="15.75" x14ac:dyDescent="0.25">
      <c r="A2082" s="869"/>
      <c r="B2082" s="912"/>
      <c r="C2082" s="912"/>
      <c r="D2082" s="912"/>
      <c r="E2082" s="912"/>
    </row>
    <row r="2083" spans="1:5" ht="15.75" x14ac:dyDescent="0.25">
      <c r="A2083" s="869"/>
      <c r="B2083" s="912"/>
      <c r="C2083" s="912"/>
      <c r="D2083" s="912"/>
      <c r="E2083" s="912"/>
    </row>
    <row r="2084" spans="1:5" ht="15.75" x14ac:dyDescent="0.25">
      <c r="A2084" s="869"/>
      <c r="B2084" s="912"/>
      <c r="C2084" s="912"/>
      <c r="D2084" s="912"/>
      <c r="E2084" s="912"/>
    </row>
    <row r="2085" spans="1:5" ht="15.75" x14ac:dyDescent="0.25">
      <c r="A2085" s="869"/>
      <c r="B2085" s="912"/>
      <c r="C2085" s="912"/>
      <c r="D2085" s="912"/>
      <c r="E2085" s="912"/>
    </row>
    <row r="2086" spans="1:5" ht="15.75" x14ac:dyDescent="0.25">
      <c r="A2086" s="869"/>
      <c r="B2086" s="912"/>
      <c r="C2086" s="912"/>
      <c r="D2086" s="912"/>
      <c r="E2086" s="912"/>
    </row>
    <row r="2087" spans="1:5" ht="15.75" x14ac:dyDescent="0.25">
      <c r="A2087" s="869"/>
      <c r="B2087" s="912"/>
      <c r="C2087" s="912"/>
      <c r="D2087" s="912"/>
      <c r="E2087" s="912"/>
    </row>
    <row r="2088" spans="1:5" ht="15.75" x14ac:dyDescent="0.25">
      <c r="A2088" s="869"/>
      <c r="B2088" s="912"/>
      <c r="C2088" s="912"/>
      <c r="D2088" s="912"/>
      <c r="E2088" s="912"/>
    </row>
    <row r="2089" spans="1:5" ht="15.75" x14ac:dyDescent="0.25">
      <c r="A2089" s="869"/>
      <c r="B2089" s="912"/>
      <c r="C2089" s="912"/>
      <c r="D2089" s="912"/>
      <c r="E2089" s="912"/>
    </row>
    <row r="2090" spans="1:5" ht="15.75" x14ac:dyDescent="0.25">
      <c r="A2090" s="869"/>
      <c r="B2090" s="912"/>
      <c r="C2090" s="912"/>
      <c r="D2090" s="912"/>
      <c r="E2090" s="912"/>
    </row>
    <row r="2091" spans="1:5" ht="15.75" x14ac:dyDescent="0.25">
      <c r="A2091" s="869"/>
      <c r="B2091" s="912"/>
      <c r="C2091" s="912"/>
      <c r="D2091" s="912"/>
      <c r="E2091" s="912"/>
    </row>
    <row r="2092" spans="1:5" ht="15.75" x14ac:dyDescent="0.25">
      <c r="A2092" s="869"/>
      <c r="B2092" s="912"/>
      <c r="C2092" s="912"/>
      <c r="D2092" s="912"/>
      <c r="E2092" s="912"/>
    </row>
    <row r="2093" spans="1:5" ht="15.75" x14ac:dyDescent="0.25">
      <c r="A2093" s="869"/>
      <c r="B2093" s="912"/>
      <c r="C2093" s="912"/>
      <c r="D2093" s="912"/>
      <c r="E2093" s="912"/>
    </row>
    <row r="2094" spans="1:5" ht="15.75" x14ac:dyDescent="0.25">
      <c r="A2094" s="869"/>
      <c r="B2094" s="912"/>
      <c r="C2094" s="912"/>
      <c r="D2094" s="912"/>
      <c r="E2094" s="912"/>
    </row>
    <row r="2095" spans="1:5" ht="15.75" x14ac:dyDescent="0.25">
      <c r="A2095" s="869"/>
      <c r="B2095" s="912"/>
      <c r="C2095" s="912"/>
      <c r="D2095" s="912"/>
      <c r="E2095" s="912"/>
    </row>
    <row r="2096" spans="1:5" ht="15.75" x14ac:dyDescent="0.25">
      <c r="A2096" s="869"/>
      <c r="B2096" s="912"/>
      <c r="C2096" s="912"/>
      <c r="D2096" s="912"/>
      <c r="E2096" s="912"/>
    </row>
    <row r="2097" spans="1:5" ht="15.75" x14ac:dyDescent="0.25">
      <c r="A2097" s="869"/>
      <c r="B2097" s="912"/>
      <c r="C2097" s="912"/>
      <c r="D2097" s="912"/>
      <c r="E2097" s="912"/>
    </row>
    <row r="2098" spans="1:5" ht="15.75" x14ac:dyDescent="0.25">
      <c r="A2098" s="869"/>
      <c r="B2098" s="912"/>
      <c r="C2098" s="912"/>
      <c r="D2098" s="912"/>
      <c r="E2098" s="912"/>
    </row>
    <row r="2099" spans="1:5" ht="15.75" x14ac:dyDescent="0.25">
      <c r="A2099" s="869"/>
      <c r="B2099" s="912"/>
      <c r="C2099" s="912"/>
      <c r="D2099" s="912"/>
      <c r="E2099" s="912"/>
    </row>
    <row r="2100" spans="1:5" ht="15.75" x14ac:dyDescent="0.25">
      <c r="A2100" s="869"/>
      <c r="B2100" s="912"/>
      <c r="C2100" s="912"/>
      <c r="D2100" s="912"/>
      <c r="E2100" s="912"/>
    </row>
    <row r="2101" spans="1:5" ht="15.75" x14ac:dyDescent="0.25">
      <c r="A2101" s="869"/>
      <c r="B2101" s="912"/>
      <c r="C2101" s="912"/>
      <c r="D2101" s="912"/>
      <c r="E2101" s="912"/>
    </row>
    <row r="2102" spans="1:5" ht="15.75" x14ac:dyDescent="0.25">
      <c r="A2102" s="869"/>
      <c r="B2102" s="912"/>
      <c r="C2102" s="912"/>
      <c r="D2102" s="912"/>
      <c r="E2102" s="912"/>
    </row>
    <row r="2103" spans="1:5" ht="15.75" x14ac:dyDescent="0.25">
      <c r="A2103" s="869"/>
      <c r="B2103" s="912"/>
      <c r="C2103" s="912"/>
      <c r="D2103" s="912"/>
      <c r="E2103" s="912"/>
    </row>
    <row r="2104" spans="1:5" ht="15.75" x14ac:dyDescent="0.25">
      <c r="A2104" s="869"/>
      <c r="B2104" s="912"/>
      <c r="C2104" s="912"/>
      <c r="D2104" s="912"/>
      <c r="E2104" s="912"/>
    </row>
    <row r="2105" spans="1:5" ht="15.75" x14ac:dyDescent="0.25">
      <c r="A2105" s="869"/>
      <c r="B2105" s="912"/>
      <c r="C2105" s="912"/>
      <c r="D2105" s="912"/>
      <c r="E2105" s="912"/>
    </row>
    <row r="2106" spans="1:5" ht="15.75" x14ac:dyDescent="0.25">
      <c r="A2106" s="869"/>
      <c r="B2106" s="912"/>
      <c r="C2106" s="912"/>
      <c r="D2106" s="912"/>
      <c r="E2106" s="912"/>
    </row>
    <row r="2107" spans="1:5" ht="15.75" x14ac:dyDescent="0.25">
      <c r="A2107" s="869"/>
      <c r="B2107" s="912"/>
      <c r="C2107" s="912"/>
      <c r="D2107" s="912"/>
      <c r="E2107" s="912"/>
    </row>
  </sheetData>
  <mergeCells count="2"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&amp;R&amp;"Times New Roman CE,Félkövér"17.melléklet a 6/2020.(II.24.) önkormányzati rendelethez&amp;"Times New Roman CE,Normál"
21 . melléklet az 5/2019. (II.15.) önkormányzati rendelthez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62F99-3CCE-4B9B-9CA3-8A3E59EE7329}">
  <sheetPr>
    <tabColor rgb="FF00B0F0"/>
  </sheetPr>
  <dimension ref="A1:D20"/>
  <sheetViews>
    <sheetView zoomScale="90" zoomScaleNormal="90" workbookViewId="0">
      <selection activeCell="H10" sqref="H10"/>
    </sheetView>
  </sheetViews>
  <sheetFormatPr defaultRowHeight="15.75" x14ac:dyDescent="0.25"/>
  <cols>
    <col min="1" max="1" width="9" style="934"/>
    <col min="2" max="2" width="47.625" style="949" customWidth="1"/>
    <col min="3" max="3" width="15.5" style="951" customWidth="1"/>
    <col min="4" max="4" width="5.25" style="934" customWidth="1"/>
    <col min="5" max="244" width="9" style="934"/>
    <col min="245" max="245" width="42.125" style="934" customWidth="1"/>
    <col min="246" max="246" width="13.375" style="934" customWidth="1"/>
    <col min="247" max="500" width="9" style="934"/>
    <col min="501" max="501" width="42.125" style="934" customWidth="1"/>
    <col min="502" max="502" width="13.375" style="934" customWidth="1"/>
    <col min="503" max="756" width="9" style="934"/>
    <col min="757" max="757" width="42.125" style="934" customWidth="1"/>
    <col min="758" max="758" width="13.375" style="934" customWidth="1"/>
    <col min="759" max="1012" width="9" style="934"/>
    <col min="1013" max="1013" width="42.125" style="934" customWidth="1"/>
    <col min="1014" max="1014" width="13.375" style="934" customWidth="1"/>
    <col min="1015" max="1268" width="9" style="934"/>
    <col min="1269" max="1269" width="42.125" style="934" customWidth="1"/>
    <col min="1270" max="1270" width="13.375" style="934" customWidth="1"/>
    <col min="1271" max="1524" width="9" style="934"/>
    <col min="1525" max="1525" width="42.125" style="934" customWidth="1"/>
    <col min="1526" max="1526" width="13.375" style="934" customWidth="1"/>
    <col min="1527" max="1780" width="9" style="934"/>
    <col min="1781" max="1781" width="42.125" style="934" customWidth="1"/>
    <col min="1782" max="1782" width="13.375" style="934" customWidth="1"/>
    <col min="1783" max="2036" width="9" style="934"/>
    <col min="2037" max="2037" width="42.125" style="934" customWidth="1"/>
    <col min="2038" max="2038" width="13.375" style="934" customWidth="1"/>
    <col min="2039" max="2292" width="9" style="934"/>
    <col min="2293" max="2293" width="42.125" style="934" customWidth="1"/>
    <col min="2294" max="2294" width="13.375" style="934" customWidth="1"/>
    <col min="2295" max="2548" width="9" style="934"/>
    <col min="2549" max="2549" width="42.125" style="934" customWidth="1"/>
    <col min="2550" max="2550" width="13.375" style="934" customWidth="1"/>
    <col min="2551" max="2804" width="9" style="934"/>
    <col min="2805" max="2805" width="42.125" style="934" customWidth="1"/>
    <col min="2806" max="2806" width="13.375" style="934" customWidth="1"/>
    <col min="2807" max="3060" width="9" style="934"/>
    <col min="3061" max="3061" width="42.125" style="934" customWidth="1"/>
    <col min="3062" max="3062" width="13.375" style="934" customWidth="1"/>
    <col min="3063" max="3316" width="9" style="934"/>
    <col min="3317" max="3317" width="42.125" style="934" customWidth="1"/>
    <col min="3318" max="3318" width="13.375" style="934" customWidth="1"/>
    <col min="3319" max="3572" width="9" style="934"/>
    <col min="3573" max="3573" width="42.125" style="934" customWidth="1"/>
    <col min="3574" max="3574" width="13.375" style="934" customWidth="1"/>
    <col min="3575" max="3828" width="9" style="934"/>
    <col min="3829" max="3829" width="42.125" style="934" customWidth="1"/>
    <col min="3830" max="3830" width="13.375" style="934" customWidth="1"/>
    <col min="3831" max="4084" width="9" style="934"/>
    <col min="4085" max="4085" width="42.125" style="934" customWidth="1"/>
    <col min="4086" max="4086" width="13.375" style="934" customWidth="1"/>
    <col min="4087" max="4340" width="9" style="934"/>
    <col min="4341" max="4341" width="42.125" style="934" customWidth="1"/>
    <col min="4342" max="4342" width="13.375" style="934" customWidth="1"/>
    <col min="4343" max="4596" width="9" style="934"/>
    <col min="4597" max="4597" width="42.125" style="934" customWidth="1"/>
    <col min="4598" max="4598" width="13.375" style="934" customWidth="1"/>
    <col min="4599" max="4852" width="9" style="934"/>
    <col min="4853" max="4853" width="42.125" style="934" customWidth="1"/>
    <col min="4854" max="4854" width="13.375" style="934" customWidth="1"/>
    <col min="4855" max="5108" width="9" style="934"/>
    <col min="5109" max="5109" width="42.125" style="934" customWidth="1"/>
    <col min="5110" max="5110" width="13.375" style="934" customWidth="1"/>
    <col min="5111" max="5364" width="9" style="934"/>
    <col min="5365" max="5365" width="42.125" style="934" customWidth="1"/>
    <col min="5366" max="5366" width="13.375" style="934" customWidth="1"/>
    <col min="5367" max="5620" width="9" style="934"/>
    <col min="5621" max="5621" width="42.125" style="934" customWidth="1"/>
    <col min="5622" max="5622" width="13.375" style="934" customWidth="1"/>
    <col min="5623" max="5876" width="9" style="934"/>
    <col min="5877" max="5877" width="42.125" style="934" customWidth="1"/>
    <col min="5878" max="5878" width="13.375" style="934" customWidth="1"/>
    <col min="5879" max="6132" width="9" style="934"/>
    <col min="6133" max="6133" width="42.125" style="934" customWidth="1"/>
    <col min="6134" max="6134" width="13.375" style="934" customWidth="1"/>
    <col min="6135" max="6388" width="9" style="934"/>
    <col min="6389" max="6389" width="42.125" style="934" customWidth="1"/>
    <col min="6390" max="6390" width="13.375" style="934" customWidth="1"/>
    <col min="6391" max="6644" width="9" style="934"/>
    <col min="6645" max="6645" width="42.125" style="934" customWidth="1"/>
    <col min="6646" max="6646" width="13.375" style="934" customWidth="1"/>
    <col min="6647" max="6900" width="9" style="934"/>
    <col min="6901" max="6901" width="42.125" style="934" customWidth="1"/>
    <col min="6902" max="6902" width="13.375" style="934" customWidth="1"/>
    <col min="6903" max="7156" width="9" style="934"/>
    <col min="7157" max="7157" width="42.125" style="934" customWidth="1"/>
    <col min="7158" max="7158" width="13.375" style="934" customWidth="1"/>
    <col min="7159" max="7412" width="9" style="934"/>
    <col min="7413" max="7413" width="42.125" style="934" customWidth="1"/>
    <col min="7414" max="7414" width="13.375" style="934" customWidth="1"/>
    <col min="7415" max="7668" width="9" style="934"/>
    <col min="7669" max="7669" width="42.125" style="934" customWidth="1"/>
    <col min="7670" max="7670" width="13.375" style="934" customWidth="1"/>
    <col min="7671" max="7924" width="9" style="934"/>
    <col min="7925" max="7925" width="42.125" style="934" customWidth="1"/>
    <col min="7926" max="7926" width="13.375" style="934" customWidth="1"/>
    <col min="7927" max="8180" width="9" style="934"/>
    <col min="8181" max="8181" width="42.125" style="934" customWidth="1"/>
    <col min="8182" max="8182" width="13.375" style="934" customWidth="1"/>
    <col min="8183" max="8436" width="9" style="934"/>
    <col min="8437" max="8437" width="42.125" style="934" customWidth="1"/>
    <col min="8438" max="8438" width="13.375" style="934" customWidth="1"/>
    <col min="8439" max="8692" width="9" style="934"/>
    <col min="8693" max="8693" width="42.125" style="934" customWidth="1"/>
    <col min="8694" max="8694" width="13.375" style="934" customWidth="1"/>
    <col min="8695" max="8948" width="9" style="934"/>
    <col min="8949" max="8949" width="42.125" style="934" customWidth="1"/>
    <col min="8950" max="8950" width="13.375" style="934" customWidth="1"/>
    <col min="8951" max="9204" width="9" style="934"/>
    <col min="9205" max="9205" width="42.125" style="934" customWidth="1"/>
    <col min="9206" max="9206" width="13.375" style="934" customWidth="1"/>
    <col min="9207" max="9460" width="9" style="934"/>
    <col min="9461" max="9461" width="42.125" style="934" customWidth="1"/>
    <col min="9462" max="9462" width="13.375" style="934" customWidth="1"/>
    <col min="9463" max="9716" width="9" style="934"/>
    <col min="9717" max="9717" width="42.125" style="934" customWidth="1"/>
    <col min="9718" max="9718" width="13.375" style="934" customWidth="1"/>
    <col min="9719" max="9972" width="9" style="934"/>
    <col min="9973" max="9973" width="42.125" style="934" customWidth="1"/>
    <col min="9974" max="9974" width="13.375" style="934" customWidth="1"/>
    <col min="9975" max="10228" width="9" style="934"/>
    <col min="10229" max="10229" width="42.125" style="934" customWidth="1"/>
    <col min="10230" max="10230" width="13.375" style="934" customWidth="1"/>
    <col min="10231" max="10484" width="9" style="934"/>
    <col min="10485" max="10485" width="42.125" style="934" customWidth="1"/>
    <col min="10486" max="10486" width="13.375" style="934" customWidth="1"/>
    <col min="10487" max="10740" width="9" style="934"/>
    <col min="10741" max="10741" width="42.125" style="934" customWidth="1"/>
    <col min="10742" max="10742" width="13.375" style="934" customWidth="1"/>
    <col min="10743" max="10996" width="9" style="934"/>
    <col min="10997" max="10997" width="42.125" style="934" customWidth="1"/>
    <col min="10998" max="10998" width="13.375" style="934" customWidth="1"/>
    <col min="10999" max="11252" width="9" style="934"/>
    <col min="11253" max="11253" width="42.125" style="934" customWidth="1"/>
    <col min="11254" max="11254" width="13.375" style="934" customWidth="1"/>
    <col min="11255" max="11508" width="9" style="934"/>
    <col min="11509" max="11509" width="42.125" style="934" customWidth="1"/>
    <col min="11510" max="11510" width="13.375" style="934" customWidth="1"/>
    <col min="11511" max="11764" width="9" style="934"/>
    <col min="11765" max="11765" width="42.125" style="934" customWidth="1"/>
    <col min="11766" max="11766" width="13.375" style="934" customWidth="1"/>
    <col min="11767" max="12020" width="9" style="934"/>
    <col min="12021" max="12021" width="42.125" style="934" customWidth="1"/>
    <col min="12022" max="12022" width="13.375" style="934" customWidth="1"/>
    <col min="12023" max="12276" width="9" style="934"/>
    <col min="12277" max="12277" width="42.125" style="934" customWidth="1"/>
    <col min="12278" max="12278" width="13.375" style="934" customWidth="1"/>
    <col min="12279" max="12532" width="9" style="934"/>
    <col min="12533" max="12533" width="42.125" style="934" customWidth="1"/>
    <col min="12534" max="12534" width="13.375" style="934" customWidth="1"/>
    <col min="12535" max="12788" width="9" style="934"/>
    <col min="12789" max="12789" width="42.125" style="934" customWidth="1"/>
    <col min="12790" max="12790" width="13.375" style="934" customWidth="1"/>
    <col min="12791" max="13044" width="9" style="934"/>
    <col min="13045" max="13045" width="42.125" style="934" customWidth="1"/>
    <col min="13046" max="13046" width="13.375" style="934" customWidth="1"/>
    <col min="13047" max="13300" width="9" style="934"/>
    <col min="13301" max="13301" width="42.125" style="934" customWidth="1"/>
    <col min="13302" max="13302" width="13.375" style="934" customWidth="1"/>
    <col min="13303" max="13556" width="9" style="934"/>
    <col min="13557" max="13557" width="42.125" style="934" customWidth="1"/>
    <col min="13558" max="13558" width="13.375" style="934" customWidth="1"/>
    <col min="13559" max="13812" width="9" style="934"/>
    <col min="13813" max="13813" width="42.125" style="934" customWidth="1"/>
    <col min="13814" max="13814" width="13.375" style="934" customWidth="1"/>
    <col min="13815" max="14068" width="9" style="934"/>
    <col min="14069" max="14069" width="42.125" style="934" customWidth="1"/>
    <col min="14070" max="14070" width="13.375" style="934" customWidth="1"/>
    <col min="14071" max="14324" width="9" style="934"/>
    <col min="14325" max="14325" width="42.125" style="934" customWidth="1"/>
    <col min="14326" max="14326" width="13.375" style="934" customWidth="1"/>
    <col min="14327" max="14580" width="9" style="934"/>
    <col min="14581" max="14581" width="42.125" style="934" customWidth="1"/>
    <col min="14582" max="14582" width="13.375" style="934" customWidth="1"/>
    <col min="14583" max="14836" width="9" style="934"/>
    <col min="14837" max="14837" width="42.125" style="934" customWidth="1"/>
    <col min="14838" max="14838" width="13.375" style="934" customWidth="1"/>
    <col min="14839" max="15092" width="9" style="934"/>
    <col min="15093" max="15093" width="42.125" style="934" customWidth="1"/>
    <col min="15094" max="15094" width="13.375" style="934" customWidth="1"/>
    <col min="15095" max="15348" width="9" style="934"/>
    <col min="15349" max="15349" width="42.125" style="934" customWidth="1"/>
    <col min="15350" max="15350" width="13.375" style="934" customWidth="1"/>
    <col min="15351" max="15604" width="9" style="934"/>
    <col min="15605" max="15605" width="42.125" style="934" customWidth="1"/>
    <col min="15606" max="15606" width="13.375" style="934" customWidth="1"/>
    <col min="15607" max="15860" width="9" style="934"/>
    <col min="15861" max="15861" width="42.125" style="934" customWidth="1"/>
    <col min="15862" max="15862" width="13.375" style="934" customWidth="1"/>
    <col min="15863" max="16116" width="9" style="934"/>
    <col min="16117" max="16117" width="42.125" style="934" customWidth="1"/>
    <col min="16118" max="16118" width="13.375" style="934" customWidth="1"/>
    <col min="16119" max="16384" width="9" style="934"/>
  </cols>
  <sheetData>
    <row r="1" spans="1:4" s="933" customFormat="1" ht="47.25" x14ac:dyDescent="0.25">
      <c r="A1" s="929" t="s">
        <v>964</v>
      </c>
      <c r="B1" s="930" t="s">
        <v>137</v>
      </c>
      <c r="C1" s="931" t="s">
        <v>965</v>
      </c>
      <c r="D1" s="932"/>
    </row>
    <row r="2" spans="1:4" s="933" customFormat="1" x14ac:dyDescent="0.25">
      <c r="A2" s="1063" t="s">
        <v>548</v>
      </c>
      <c r="B2" s="1064"/>
      <c r="C2" s="1065"/>
      <c r="D2" s="934"/>
    </row>
    <row r="3" spans="1:4" x14ac:dyDescent="0.25">
      <c r="A3" s="935" t="s">
        <v>145</v>
      </c>
      <c r="B3" s="936" t="s">
        <v>966</v>
      </c>
      <c r="C3" s="937">
        <v>62238</v>
      </c>
    </row>
    <row r="4" spans="1:4" x14ac:dyDescent="0.25">
      <c r="A4" s="935" t="s">
        <v>146</v>
      </c>
      <c r="B4" s="936" t="s">
        <v>967</v>
      </c>
      <c r="C4" s="937">
        <v>6</v>
      </c>
    </row>
    <row r="5" spans="1:4" x14ac:dyDescent="0.25">
      <c r="A5" s="935" t="s">
        <v>147</v>
      </c>
      <c r="B5" s="936" t="s">
        <v>968</v>
      </c>
      <c r="C5" s="937">
        <f>1682+332</f>
        <v>2014</v>
      </c>
    </row>
    <row r="6" spans="1:4" x14ac:dyDescent="0.25">
      <c r="A6" s="935" t="s">
        <v>148</v>
      </c>
      <c r="B6" s="936" t="s">
        <v>969</v>
      </c>
      <c r="C6" s="937">
        <f>2174+2809+441+710</f>
        <v>6134</v>
      </c>
    </row>
    <row r="7" spans="1:4" x14ac:dyDescent="0.25">
      <c r="A7" s="935" t="s">
        <v>149</v>
      </c>
      <c r="B7" s="936" t="s">
        <v>1193</v>
      </c>
      <c r="C7" s="937">
        <v>52</v>
      </c>
    </row>
    <row r="8" spans="1:4" s="933" customFormat="1" x14ac:dyDescent="0.25">
      <c r="A8" s="938" t="s">
        <v>149</v>
      </c>
      <c r="B8" s="939" t="s">
        <v>970</v>
      </c>
      <c r="C8" s="940">
        <f>SUM(C3:C7)</f>
        <v>70444</v>
      </c>
      <c r="D8" s="934"/>
    </row>
    <row r="9" spans="1:4" x14ac:dyDescent="0.25">
      <c r="A9" s="1063" t="s">
        <v>565</v>
      </c>
      <c r="B9" s="1064"/>
      <c r="C9" s="1065"/>
    </row>
    <row r="10" spans="1:4" ht="47.25" x14ac:dyDescent="0.25">
      <c r="A10" s="935" t="s">
        <v>150</v>
      </c>
      <c r="B10" s="936" t="s">
        <v>971</v>
      </c>
      <c r="C10" s="941">
        <v>52</v>
      </c>
    </row>
    <row r="11" spans="1:4" x14ac:dyDescent="0.25">
      <c r="A11" s="935"/>
      <c r="B11" s="942" t="s">
        <v>972</v>
      </c>
      <c r="C11" s="943">
        <v>52</v>
      </c>
    </row>
    <row r="12" spans="1:4" x14ac:dyDescent="0.25">
      <c r="A12" s="935" t="s">
        <v>151</v>
      </c>
      <c r="B12" s="936" t="s">
        <v>973</v>
      </c>
      <c r="C12" s="937">
        <v>8212</v>
      </c>
    </row>
    <row r="13" spans="1:4" x14ac:dyDescent="0.25">
      <c r="A13" s="935"/>
      <c r="B13" s="942" t="s">
        <v>972</v>
      </c>
      <c r="C13" s="943">
        <v>8212</v>
      </c>
    </row>
    <row r="14" spans="1:4" s="944" customFormat="1" x14ac:dyDescent="0.25">
      <c r="A14" s="935" t="s">
        <v>152</v>
      </c>
      <c r="B14" s="936" t="s">
        <v>974</v>
      </c>
      <c r="C14" s="937">
        <v>2000</v>
      </c>
      <c r="D14" s="934"/>
    </row>
    <row r="15" spans="1:4" x14ac:dyDescent="0.25">
      <c r="A15" s="935" t="s">
        <v>153</v>
      </c>
      <c r="B15" s="936" t="s">
        <v>975</v>
      </c>
      <c r="C15" s="945">
        <v>49786</v>
      </c>
    </row>
    <row r="16" spans="1:4" s="933" customFormat="1" x14ac:dyDescent="0.25">
      <c r="A16" s="938" t="s">
        <v>0</v>
      </c>
      <c r="B16" s="939" t="s">
        <v>976</v>
      </c>
      <c r="C16" s="940">
        <f>SUM(C10:C10,C12:C12,C14:C15)</f>
        <v>60050</v>
      </c>
      <c r="D16" s="934"/>
    </row>
    <row r="17" spans="1:4" s="933" customFormat="1" x14ac:dyDescent="0.25">
      <c r="A17" s="935" t="s">
        <v>1</v>
      </c>
      <c r="B17" s="936" t="s">
        <v>977</v>
      </c>
      <c r="C17" s="937">
        <v>13</v>
      </c>
      <c r="D17" s="934"/>
    </row>
    <row r="18" spans="1:4" s="933" customFormat="1" x14ac:dyDescent="0.25">
      <c r="A18" s="935" t="s">
        <v>2</v>
      </c>
      <c r="B18" s="936" t="s">
        <v>978</v>
      </c>
      <c r="C18" s="937">
        <f>+C8-C16-C17</f>
        <v>10381</v>
      </c>
      <c r="D18" s="934"/>
    </row>
    <row r="19" spans="1:4" s="933" customFormat="1" ht="16.5" thickBot="1" x14ac:dyDescent="0.3">
      <c r="A19" s="946" t="s">
        <v>3</v>
      </c>
      <c r="B19" s="947" t="s">
        <v>979</v>
      </c>
      <c r="C19" s="948">
        <f>+C16+C17+C18</f>
        <v>70444</v>
      </c>
      <c r="D19" s="934"/>
    </row>
    <row r="20" spans="1:4" x14ac:dyDescent="0.25">
      <c r="C20" s="950"/>
    </row>
  </sheetData>
  <mergeCells count="2">
    <mergeCell ref="A2:C2"/>
    <mergeCell ref="A9:C9"/>
  </mergeCells>
  <printOptions horizontalCentered="1"/>
  <pageMargins left="0.70866141732283472" right="0.70866141732283472" top="1.5354330708661419" bottom="0.74803149606299213" header="0.31496062992125984" footer="0.31496062992125984"/>
  <pageSetup paperSize="9" orientation="portrait" r:id="rId1"/>
  <headerFooter>
    <oddHeader>&amp;C
&amp;"Times New Roman CE,Félkövér"
Környezetvédelmi Alap felosztása (eFt-ban)&amp;R&amp;"Times New Roman CE,Félkövér" 18. melléklet a 6/2020.(II.24.) önkormányzati rendelethez&amp;"Times New Roman CE,Dőlt"
 23. melléklet
 az 5/2019.(II.15.) önkormányzati rendelethez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AL38"/>
  <sheetViews>
    <sheetView view="pageBreakPreview" zoomScale="80" zoomScaleNormal="90" zoomScaleSheetLayoutView="80" workbookViewId="0">
      <pane xSplit="2" ySplit="8" topLeftCell="D9" activePane="bottomRight" state="frozen"/>
      <selection activeCell="A25" sqref="A25"/>
      <selection pane="topRight" activeCell="A25" sqref="A25"/>
      <selection pane="bottomLeft" activeCell="A25" sqref="A25"/>
      <selection pane="bottomRight" activeCell="V28" sqref="V28"/>
    </sheetView>
  </sheetViews>
  <sheetFormatPr defaultRowHeight="15.75" x14ac:dyDescent="0.25"/>
  <cols>
    <col min="1" max="1" width="35.75" style="74" customWidth="1"/>
    <col min="2" max="2" width="10" style="74" customWidth="1"/>
    <col min="3" max="3" width="12.25" style="333" customWidth="1"/>
    <col min="4" max="4" width="13.125" style="333" customWidth="1"/>
    <col min="5" max="5" width="15" style="333" customWidth="1"/>
    <col min="6" max="15" width="13.75" style="333" customWidth="1"/>
    <col min="16" max="16" width="13" style="333" customWidth="1"/>
    <col min="17" max="17" width="15.25" style="333" customWidth="1"/>
    <col min="18" max="26" width="13.875" style="333" customWidth="1"/>
    <col min="27" max="27" width="12.875" style="333" customWidth="1"/>
    <col min="28" max="28" width="14.875" style="333" customWidth="1"/>
    <col min="29" max="29" width="15.375" style="333" customWidth="1"/>
    <col min="30" max="30" width="13.25" style="333" customWidth="1"/>
    <col min="31" max="31" width="12.625" style="333" customWidth="1"/>
    <col min="32" max="32" width="14.875" style="333" customWidth="1"/>
    <col min="33" max="33" width="15.375" style="333" customWidth="1"/>
    <col min="34" max="34" width="14.125" style="333" customWidth="1"/>
    <col min="35" max="35" width="13.875" style="333" customWidth="1"/>
    <col min="36" max="36" width="14.875" style="333" customWidth="1"/>
    <col min="37" max="37" width="15.375" style="333" customWidth="1"/>
    <col min="38" max="38" width="14.125" style="333" customWidth="1"/>
    <col min="39" max="16384" width="9" style="74"/>
  </cols>
  <sheetData>
    <row r="1" spans="1:38" x14ac:dyDescent="0.25">
      <c r="A1" s="389"/>
      <c r="B1" s="1003" t="s">
        <v>223</v>
      </c>
      <c r="C1" s="1003"/>
      <c r="D1" s="1003"/>
      <c r="E1" s="1003"/>
      <c r="F1" s="1003"/>
      <c r="G1" s="1003"/>
      <c r="H1" s="1003"/>
      <c r="I1" s="1003"/>
      <c r="J1" s="1003"/>
      <c r="K1" s="1003"/>
      <c r="L1" s="1003"/>
      <c r="M1" s="1003"/>
      <c r="N1" s="1003"/>
      <c r="O1" s="1003" t="s">
        <v>223</v>
      </c>
      <c r="P1" s="1003"/>
      <c r="Q1" s="1003"/>
      <c r="R1" s="1003"/>
      <c r="S1" s="1003"/>
      <c r="T1" s="1003"/>
      <c r="U1" s="1003"/>
      <c r="V1" s="1003"/>
      <c r="W1" s="1003"/>
      <c r="X1" s="1003"/>
      <c r="Y1" s="1003"/>
      <c r="Z1" s="1003"/>
      <c r="AA1" s="1003" t="s">
        <v>223</v>
      </c>
      <c r="AB1" s="1003"/>
      <c r="AC1" s="1003"/>
      <c r="AD1" s="1003"/>
      <c r="AE1" s="1003"/>
      <c r="AF1" s="1003"/>
      <c r="AG1" s="1003"/>
      <c r="AH1" s="1003"/>
      <c r="AI1" s="1003"/>
      <c r="AJ1" s="1003"/>
      <c r="AK1" s="1003"/>
      <c r="AL1" s="1003"/>
    </row>
    <row r="2" spans="1:38" x14ac:dyDescent="0.25">
      <c r="A2" s="389"/>
      <c r="B2" s="1003" t="s">
        <v>682</v>
      </c>
      <c r="C2" s="1003"/>
      <c r="D2" s="1003"/>
      <c r="E2" s="1003"/>
      <c r="F2" s="1003"/>
      <c r="G2" s="1003"/>
      <c r="H2" s="1003"/>
      <c r="I2" s="1003"/>
      <c r="J2" s="1003"/>
      <c r="K2" s="1003"/>
      <c r="L2" s="1003"/>
      <c r="M2" s="1003"/>
      <c r="N2" s="1003"/>
      <c r="O2" s="1003" t="s">
        <v>682</v>
      </c>
      <c r="P2" s="1003"/>
      <c r="Q2" s="1003"/>
      <c r="R2" s="1003"/>
      <c r="S2" s="1003"/>
      <c r="T2" s="1003"/>
      <c r="U2" s="1003"/>
      <c r="V2" s="1003"/>
      <c r="W2" s="1003"/>
      <c r="X2" s="1003"/>
      <c r="Y2" s="1003"/>
      <c r="Z2" s="1003"/>
      <c r="AA2" s="1003" t="s">
        <v>682</v>
      </c>
      <c r="AB2" s="1003"/>
      <c r="AC2" s="1003"/>
      <c r="AD2" s="1003"/>
      <c r="AE2" s="1003"/>
      <c r="AF2" s="1003"/>
      <c r="AG2" s="1003"/>
      <c r="AH2" s="1003"/>
      <c r="AI2" s="1003"/>
      <c r="AJ2" s="1003"/>
      <c r="AK2" s="1003"/>
      <c r="AL2" s="1003"/>
    </row>
    <row r="3" spans="1:38" x14ac:dyDescent="0.25">
      <c r="A3" s="389"/>
      <c r="B3" s="1003" t="s">
        <v>983</v>
      </c>
      <c r="C3" s="1003"/>
      <c r="D3" s="1003"/>
      <c r="E3" s="1003"/>
      <c r="F3" s="1003"/>
      <c r="G3" s="1003"/>
      <c r="H3" s="1003"/>
      <c r="I3" s="1003"/>
      <c r="J3" s="1003"/>
      <c r="K3" s="1003"/>
      <c r="L3" s="1003"/>
      <c r="M3" s="1003"/>
      <c r="N3" s="1003"/>
      <c r="O3" s="1003" t="s">
        <v>983</v>
      </c>
      <c r="P3" s="1003"/>
      <c r="Q3" s="1003"/>
      <c r="R3" s="1003"/>
      <c r="S3" s="1003"/>
      <c r="T3" s="1003"/>
      <c r="U3" s="1003"/>
      <c r="V3" s="1003"/>
      <c r="W3" s="1003"/>
      <c r="X3" s="1003"/>
      <c r="Y3" s="1003"/>
      <c r="Z3" s="1003"/>
      <c r="AA3" s="1003" t="s">
        <v>983</v>
      </c>
      <c r="AB3" s="1003"/>
      <c r="AC3" s="1003"/>
      <c r="AD3" s="1003"/>
      <c r="AE3" s="1003"/>
      <c r="AF3" s="1003"/>
      <c r="AG3" s="1003"/>
      <c r="AH3" s="1003"/>
      <c r="AI3" s="1003"/>
      <c r="AJ3" s="1003"/>
      <c r="AK3" s="1003"/>
      <c r="AL3" s="1003"/>
    </row>
    <row r="4" spans="1:38" ht="16.5" thickBot="1" x14ac:dyDescent="0.3"/>
    <row r="5" spans="1:38" s="392" customFormat="1" ht="68.25" customHeight="1" thickTop="1" thickBot="1" x14ac:dyDescent="0.3">
      <c r="A5" s="390"/>
      <c r="B5" s="391"/>
      <c r="C5" s="997" t="s">
        <v>22</v>
      </c>
      <c r="D5" s="998"/>
      <c r="E5" s="998"/>
      <c r="F5" s="998"/>
      <c r="G5" s="998"/>
      <c r="H5" s="998"/>
      <c r="I5" s="998"/>
      <c r="J5" s="998"/>
      <c r="K5" s="998"/>
      <c r="L5" s="998"/>
      <c r="M5" s="998"/>
      <c r="N5" s="999"/>
      <c r="O5" s="334" t="s">
        <v>23</v>
      </c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1007" t="s">
        <v>144</v>
      </c>
      <c r="AB5" s="1007"/>
      <c r="AC5" s="1007"/>
      <c r="AD5" s="1007"/>
      <c r="AE5" s="1007"/>
      <c r="AF5" s="1007"/>
      <c r="AG5" s="1007"/>
      <c r="AH5" s="1007"/>
      <c r="AI5" s="1007"/>
      <c r="AJ5" s="1007"/>
      <c r="AK5" s="1007"/>
      <c r="AL5" s="1007"/>
    </row>
    <row r="6" spans="1:38" s="397" customFormat="1" ht="39" customHeight="1" thickTop="1" thickBot="1" x14ac:dyDescent="0.3">
      <c r="A6" s="393" t="s">
        <v>137</v>
      </c>
      <c r="B6" s="394" t="s">
        <v>154</v>
      </c>
      <c r="C6" s="1004" t="s">
        <v>363</v>
      </c>
      <c r="D6" s="1005"/>
      <c r="E6" s="1005"/>
      <c r="F6" s="1006"/>
      <c r="G6" s="1004" t="s">
        <v>364</v>
      </c>
      <c r="H6" s="1005"/>
      <c r="I6" s="1005"/>
      <c r="J6" s="1006"/>
      <c r="K6" s="396" t="s">
        <v>900</v>
      </c>
      <c r="L6" s="396"/>
      <c r="M6" s="396"/>
      <c r="N6" s="396"/>
      <c r="O6" s="396" t="s">
        <v>363</v>
      </c>
      <c r="P6" s="335"/>
      <c r="Q6" s="335"/>
      <c r="R6" s="335"/>
      <c r="S6" s="335" t="s">
        <v>364</v>
      </c>
      <c r="T6" s="335"/>
      <c r="U6" s="335"/>
      <c r="V6" s="335"/>
      <c r="W6" s="335" t="s">
        <v>900</v>
      </c>
      <c r="X6" s="335"/>
      <c r="Y6" s="335"/>
      <c r="Z6" s="335"/>
      <c r="AA6" s="1008" t="s">
        <v>363</v>
      </c>
      <c r="AB6" s="1008"/>
      <c r="AC6" s="1008"/>
      <c r="AD6" s="1008"/>
      <c r="AE6" s="1008" t="s">
        <v>364</v>
      </c>
      <c r="AF6" s="1008"/>
      <c r="AG6" s="1008"/>
      <c r="AH6" s="1008"/>
      <c r="AI6" s="1008" t="s">
        <v>900</v>
      </c>
      <c r="AJ6" s="1008"/>
      <c r="AK6" s="1008"/>
      <c r="AL6" s="1008"/>
    </row>
    <row r="7" spans="1:38" s="16" customFormat="1" ht="33" thickTop="1" thickBot="1" x14ac:dyDescent="0.3">
      <c r="A7" s="342"/>
      <c r="B7" s="343"/>
      <c r="C7" s="577" t="s">
        <v>132</v>
      </c>
      <c r="D7" s="579" t="s">
        <v>133</v>
      </c>
      <c r="E7" s="579" t="s">
        <v>349</v>
      </c>
      <c r="F7" s="579" t="s">
        <v>144</v>
      </c>
      <c r="G7" s="577" t="s">
        <v>132</v>
      </c>
      <c r="H7" s="577" t="s">
        <v>133</v>
      </c>
      <c r="I7" s="577" t="s">
        <v>349</v>
      </c>
      <c r="J7" s="577" t="s">
        <v>144</v>
      </c>
      <c r="K7" s="579" t="s">
        <v>132</v>
      </c>
      <c r="L7" s="579" t="s">
        <v>133</v>
      </c>
      <c r="M7" s="579" t="s">
        <v>349</v>
      </c>
      <c r="N7" s="579" t="s">
        <v>144</v>
      </c>
      <c r="O7" s="579" t="s">
        <v>132</v>
      </c>
      <c r="P7" s="579" t="s">
        <v>133</v>
      </c>
      <c r="Q7" s="579" t="s">
        <v>349</v>
      </c>
      <c r="R7" s="579" t="s">
        <v>144</v>
      </c>
      <c r="S7" s="579" t="s">
        <v>132</v>
      </c>
      <c r="T7" s="579" t="s">
        <v>133</v>
      </c>
      <c r="U7" s="579" t="s">
        <v>349</v>
      </c>
      <c r="V7" s="579" t="s">
        <v>144</v>
      </c>
      <c r="W7" s="579" t="s">
        <v>132</v>
      </c>
      <c r="X7" s="579" t="s">
        <v>133</v>
      </c>
      <c r="Y7" s="579" t="s">
        <v>349</v>
      </c>
      <c r="Z7" s="579" t="s">
        <v>144</v>
      </c>
      <c r="AA7" s="579" t="s">
        <v>132</v>
      </c>
      <c r="AB7" s="579" t="s">
        <v>133</v>
      </c>
      <c r="AC7" s="579" t="s">
        <v>349</v>
      </c>
      <c r="AD7" s="579" t="s">
        <v>144</v>
      </c>
      <c r="AE7" s="579" t="s">
        <v>132</v>
      </c>
      <c r="AF7" s="579" t="s">
        <v>133</v>
      </c>
      <c r="AG7" s="579" t="s">
        <v>349</v>
      </c>
      <c r="AH7" s="579" t="s">
        <v>144</v>
      </c>
      <c r="AI7" s="579" t="s">
        <v>132</v>
      </c>
      <c r="AJ7" s="579" t="s">
        <v>133</v>
      </c>
      <c r="AK7" s="579" t="s">
        <v>349</v>
      </c>
      <c r="AL7" s="579" t="s">
        <v>144</v>
      </c>
    </row>
    <row r="8" spans="1:38" s="397" customFormat="1" ht="17.25" thickTop="1" thickBot="1" x14ac:dyDescent="0.3">
      <c r="A8" s="398" t="s">
        <v>138</v>
      </c>
      <c r="B8" s="399"/>
      <c r="C8" s="400" t="s">
        <v>374</v>
      </c>
      <c r="D8" s="401"/>
      <c r="E8" s="401"/>
      <c r="F8" s="401"/>
      <c r="G8" s="402" t="s">
        <v>375</v>
      </c>
      <c r="H8" s="403"/>
      <c r="I8" s="403"/>
      <c r="J8" s="395"/>
      <c r="K8" s="335" t="s">
        <v>376</v>
      </c>
      <c r="L8" s="335"/>
      <c r="M8" s="335"/>
      <c r="N8" s="335"/>
      <c r="O8" s="1001" t="s">
        <v>377</v>
      </c>
      <c r="P8" s="1001"/>
      <c r="Q8" s="1001"/>
      <c r="R8" s="1001"/>
      <c r="S8" s="1001" t="s">
        <v>378</v>
      </c>
      <c r="T8" s="1001"/>
      <c r="U8" s="1001"/>
      <c r="V8" s="1001"/>
      <c r="W8" s="1001" t="s">
        <v>379</v>
      </c>
      <c r="X8" s="1001"/>
      <c r="Y8" s="1001"/>
      <c r="Z8" s="1001"/>
      <c r="AA8" s="1001" t="s">
        <v>380</v>
      </c>
      <c r="AB8" s="1001"/>
      <c r="AC8" s="1001"/>
      <c r="AD8" s="1001"/>
      <c r="AE8" s="1001" t="s">
        <v>381</v>
      </c>
      <c r="AF8" s="1001"/>
      <c r="AG8" s="1001"/>
      <c r="AH8" s="1001"/>
      <c r="AI8" s="1001" t="s">
        <v>382</v>
      </c>
      <c r="AJ8" s="1001"/>
      <c r="AK8" s="1001"/>
      <c r="AL8" s="1001"/>
    </row>
    <row r="9" spans="1:38" ht="16.5" thickTop="1" x14ac:dyDescent="0.25">
      <c r="A9" s="404" t="s">
        <v>27</v>
      </c>
      <c r="B9" s="404" t="s">
        <v>155</v>
      </c>
      <c r="C9" s="405">
        <v>240458</v>
      </c>
      <c r="D9" s="406">
        <v>128119</v>
      </c>
      <c r="E9" s="406"/>
      <c r="F9" s="407">
        <f>SUM(C9:E9)</f>
        <v>368577</v>
      </c>
      <c r="G9" s="407">
        <v>-1277</v>
      </c>
      <c r="H9" s="407">
        <v>21195</v>
      </c>
      <c r="I9" s="407"/>
      <c r="J9" s="407">
        <f>SUM(G9:I9)</f>
        <v>19918</v>
      </c>
      <c r="K9" s="407">
        <f>SUM(C9+G9)</f>
        <v>239181</v>
      </c>
      <c r="L9" s="407">
        <f>SUM(D9+H9)</f>
        <v>149314</v>
      </c>
      <c r="M9" s="407">
        <f>SUM(E9+I9)</f>
        <v>0</v>
      </c>
      <c r="N9" s="408">
        <f>SUM(K9:M9)</f>
        <v>388495</v>
      </c>
      <c r="O9" s="406">
        <v>5898628</v>
      </c>
      <c r="P9" s="336">
        <v>1611958</v>
      </c>
      <c r="Q9" s="336">
        <v>641934</v>
      </c>
      <c r="R9" s="336">
        <f>SUM(O9:Q9)</f>
        <v>8152520</v>
      </c>
      <c r="S9" s="336">
        <v>98323</v>
      </c>
      <c r="T9" s="336">
        <v>94531</v>
      </c>
      <c r="U9" s="336"/>
      <c r="V9" s="336">
        <f>SUM(S9:U9)</f>
        <v>192854</v>
      </c>
      <c r="W9" s="336">
        <f>SUM(O9+S9)</f>
        <v>5996951</v>
      </c>
      <c r="X9" s="336">
        <f t="shared" ref="W9:Y10" si="0">SUM(P9+T9)</f>
        <v>1706489</v>
      </c>
      <c r="Y9" s="336">
        <f t="shared" si="0"/>
        <v>641934</v>
      </c>
      <c r="Z9" s="409">
        <f>SUM(W9:Y9)</f>
        <v>8345374</v>
      </c>
      <c r="AA9" s="410">
        <f t="shared" ref="AA9:AB13" si="1">+C9+O9</f>
        <v>6139086</v>
      </c>
      <c r="AB9" s="411">
        <f t="shared" si="1"/>
        <v>1740077</v>
      </c>
      <c r="AC9" s="412">
        <f t="shared" ref="AC9:AC20" si="2">SUM(Q9+E9)</f>
        <v>641934</v>
      </c>
      <c r="AD9" s="413">
        <f>SUM(AA9:AC9)</f>
        <v>8521097</v>
      </c>
      <c r="AE9" s="410">
        <f>+G9+S9</f>
        <v>97046</v>
      </c>
      <c r="AF9" s="411">
        <f t="shared" ref="AE9:AF13" si="3">+H9+T9</f>
        <v>115726</v>
      </c>
      <c r="AG9" s="412">
        <f t="shared" ref="AG9:AG13" si="4">SUM(U9+I9)</f>
        <v>0</v>
      </c>
      <c r="AH9" s="413">
        <f t="shared" ref="AH9:AH13" si="5">SUM(AE9:AG9)</f>
        <v>212772</v>
      </c>
      <c r="AI9" s="410">
        <f>+K9+W9</f>
        <v>6236132</v>
      </c>
      <c r="AJ9" s="411">
        <f t="shared" ref="AI9:AJ13" si="6">+L9+X9</f>
        <v>1855803</v>
      </c>
      <c r="AK9" s="412">
        <f t="shared" ref="AK9:AK13" si="7">SUM(Y9+M9)</f>
        <v>641934</v>
      </c>
      <c r="AL9" s="413">
        <f t="shared" ref="AL9:AL13" si="8">SUM(AI9:AK9)</f>
        <v>8733869</v>
      </c>
    </row>
    <row r="10" spans="1:38" ht="31.5" x14ac:dyDescent="0.25">
      <c r="A10" s="414" t="s">
        <v>28</v>
      </c>
      <c r="B10" s="414" t="s">
        <v>156</v>
      </c>
      <c r="C10" s="268">
        <v>43841</v>
      </c>
      <c r="D10" s="72">
        <v>47987</v>
      </c>
      <c r="E10" s="72"/>
      <c r="F10" s="268">
        <f>SUM(C10:E10)</f>
        <v>91828</v>
      </c>
      <c r="G10" s="72">
        <v>-736</v>
      </c>
      <c r="H10" s="72">
        <v>4037</v>
      </c>
      <c r="I10" s="72"/>
      <c r="J10" s="72">
        <f>SUM(G10:I10)</f>
        <v>3301</v>
      </c>
      <c r="K10" s="72">
        <f>SUM(C10+G10)</f>
        <v>43105</v>
      </c>
      <c r="L10" s="72">
        <f t="shared" ref="L10:M10" si="9">SUM(D10+H10)</f>
        <v>52024</v>
      </c>
      <c r="M10" s="72">
        <f t="shared" si="9"/>
        <v>0</v>
      </c>
      <c r="N10" s="268">
        <f>SUM(K10:M10)</f>
        <v>95129</v>
      </c>
      <c r="O10" s="72">
        <v>1248398</v>
      </c>
      <c r="P10" s="72">
        <v>325629</v>
      </c>
      <c r="Q10" s="72">
        <v>138910</v>
      </c>
      <c r="R10" s="268">
        <f>SUM(O10:Q10)</f>
        <v>1712937</v>
      </c>
      <c r="S10" s="72">
        <v>18055</v>
      </c>
      <c r="T10" s="72">
        <v>20582</v>
      </c>
      <c r="U10" s="72"/>
      <c r="V10" s="72">
        <f>SUM(S10:U10)</f>
        <v>38637</v>
      </c>
      <c r="W10" s="72">
        <f t="shared" si="0"/>
        <v>1266453</v>
      </c>
      <c r="X10" s="72">
        <f t="shared" si="0"/>
        <v>346211</v>
      </c>
      <c r="Y10" s="72">
        <f t="shared" si="0"/>
        <v>138910</v>
      </c>
      <c r="Z10" s="268">
        <f>SUM(W10:Y10)</f>
        <v>1751574</v>
      </c>
      <c r="AA10" s="415">
        <f t="shared" si="1"/>
        <v>1292239</v>
      </c>
      <c r="AB10" s="416">
        <f t="shared" si="1"/>
        <v>373616</v>
      </c>
      <c r="AC10" s="417">
        <f t="shared" si="2"/>
        <v>138910</v>
      </c>
      <c r="AD10" s="91">
        <f>SUM(AA10:AC10)</f>
        <v>1804765</v>
      </c>
      <c r="AE10" s="415">
        <f t="shared" si="3"/>
        <v>17319</v>
      </c>
      <c r="AF10" s="416">
        <f t="shared" si="3"/>
        <v>24619</v>
      </c>
      <c r="AG10" s="417">
        <f t="shared" si="4"/>
        <v>0</v>
      </c>
      <c r="AH10" s="91">
        <f t="shared" si="5"/>
        <v>41938</v>
      </c>
      <c r="AI10" s="415">
        <f t="shared" si="6"/>
        <v>1309558</v>
      </c>
      <c r="AJ10" s="416">
        <f t="shared" si="6"/>
        <v>398235</v>
      </c>
      <c r="AK10" s="417">
        <f t="shared" si="7"/>
        <v>138910</v>
      </c>
      <c r="AL10" s="91">
        <f t="shared" si="8"/>
        <v>1846703</v>
      </c>
    </row>
    <row r="11" spans="1:38" x14ac:dyDescent="0.25">
      <c r="A11" s="71" t="s">
        <v>29</v>
      </c>
      <c r="B11" s="71" t="s">
        <v>157</v>
      </c>
      <c r="C11" s="268">
        <v>3062310</v>
      </c>
      <c r="D11" s="72">
        <v>2398462</v>
      </c>
      <c r="E11" s="72"/>
      <c r="F11" s="268">
        <f>SUM(C11:E11)</f>
        <v>5460772</v>
      </c>
      <c r="G11" s="72">
        <v>310536</v>
      </c>
      <c r="H11" s="72">
        <v>20234</v>
      </c>
      <c r="I11" s="72"/>
      <c r="J11" s="268">
        <f t="shared" ref="J11:J20" si="10">SUM(G11:I11)</f>
        <v>330770</v>
      </c>
      <c r="K11" s="72">
        <f t="shared" ref="K11:K13" si="11">SUM(C11+G11)</f>
        <v>3372846</v>
      </c>
      <c r="L11" s="72">
        <f t="shared" ref="L11:L13" si="12">SUM(D11+H11)</f>
        <v>2418696</v>
      </c>
      <c r="M11" s="72">
        <f t="shared" ref="M11:M13" si="13">SUM(E11+I11)</f>
        <v>0</v>
      </c>
      <c r="N11" s="268">
        <f t="shared" ref="N11:N13" si="14">SUM(K11:M11)</f>
        <v>5791542</v>
      </c>
      <c r="O11" s="72">
        <v>4118393</v>
      </c>
      <c r="P11" s="72">
        <v>1061600</v>
      </c>
      <c r="Q11" s="72">
        <v>167669</v>
      </c>
      <c r="R11" s="268">
        <f>SUM(O11:Q11)</f>
        <v>5347662</v>
      </c>
      <c r="S11" s="72">
        <v>49250</v>
      </c>
      <c r="T11" s="72">
        <v>196690</v>
      </c>
      <c r="U11" s="72">
        <v>-2897</v>
      </c>
      <c r="V11" s="72">
        <f t="shared" ref="V11:V20" si="15">SUM(S11:U11)</f>
        <v>243043</v>
      </c>
      <c r="W11" s="72">
        <f t="shared" ref="W11:W13" si="16">SUM(O11+S11)</f>
        <v>4167643</v>
      </c>
      <c r="X11" s="72">
        <f t="shared" ref="X11:X13" si="17">SUM(P11+T11)</f>
        <v>1258290</v>
      </c>
      <c r="Y11" s="72">
        <f t="shared" ref="Y11:Y13" si="18">SUM(Q11+U11)</f>
        <v>164772</v>
      </c>
      <c r="Z11" s="268">
        <f t="shared" ref="Z11:Z13" si="19">SUM(W11:Y11)</f>
        <v>5590705</v>
      </c>
      <c r="AA11" s="415">
        <f t="shared" si="1"/>
        <v>7180703</v>
      </c>
      <c r="AB11" s="416">
        <f t="shared" si="1"/>
        <v>3460062</v>
      </c>
      <c r="AC11" s="417">
        <f t="shared" si="2"/>
        <v>167669</v>
      </c>
      <c r="AD11" s="91">
        <f>SUM(AA11:AC11)</f>
        <v>10808434</v>
      </c>
      <c r="AE11" s="415">
        <f t="shared" si="3"/>
        <v>359786</v>
      </c>
      <c r="AF11" s="416">
        <f t="shared" si="3"/>
        <v>216924</v>
      </c>
      <c r="AG11" s="417">
        <f t="shared" si="4"/>
        <v>-2897</v>
      </c>
      <c r="AH11" s="91">
        <f t="shared" si="5"/>
        <v>573813</v>
      </c>
      <c r="AI11" s="415">
        <f t="shared" si="6"/>
        <v>7540489</v>
      </c>
      <c r="AJ11" s="416">
        <f t="shared" si="6"/>
        <v>3676986</v>
      </c>
      <c r="AK11" s="417">
        <f t="shared" si="7"/>
        <v>164772</v>
      </c>
      <c r="AL11" s="91">
        <f t="shared" si="8"/>
        <v>11382247</v>
      </c>
    </row>
    <row r="12" spans="1:38" x14ac:dyDescent="0.25">
      <c r="A12" s="71" t="s">
        <v>482</v>
      </c>
      <c r="B12" s="71" t="s">
        <v>158</v>
      </c>
      <c r="C12" s="268">
        <v>189887</v>
      </c>
      <c r="D12" s="72">
        <v>33792</v>
      </c>
      <c r="E12" s="72"/>
      <c r="F12" s="268">
        <f>SUM(C12:E12)</f>
        <v>223679</v>
      </c>
      <c r="G12" s="268">
        <v>41</v>
      </c>
      <c r="H12" s="268">
        <v>0</v>
      </c>
      <c r="I12" s="268"/>
      <c r="J12" s="268">
        <f t="shared" si="10"/>
        <v>41</v>
      </c>
      <c r="K12" s="72">
        <f t="shared" si="11"/>
        <v>189928</v>
      </c>
      <c r="L12" s="72">
        <f t="shared" si="12"/>
        <v>33792</v>
      </c>
      <c r="M12" s="72">
        <f t="shared" si="13"/>
        <v>0</v>
      </c>
      <c r="N12" s="268">
        <f t="shared" si="14"/>
        <v>223720</v>
      </c>
      <c r="O12" s="268">
        <v>26116</v>
      </c>
      <c r="P12" s="418">
        <v>0</v>
      </c>
      <c r="Q12" s="418">
        <v>0</v>
      </c>
      <c r="R12" s="336">
        <f>SUM(O12:Q12)</f>
        <v>26116</v>
      </c>
      <c r="S12" s="336">
        <v>9542</v>
      </c>
      <c r="T12" s="336"/>
      <c r="U12" s="336"/>
      <c r="V12" s="72">
        <f t="shared" si="15"/>
        <v>9542</v>
      </c>
      <c r="W12" s="72">
        <f t="shared" si="16"/>
        <v>35658</v>
      </c>
      <c r="X12" s="72">
        <f t="shared" si="17"/>
        <v>0</v>
      </c>
      <c r="Y12" s="72">
        <f t="shared" si="18"/>
        <v>0</v>
      </c>
      <c r="Z12" s="268">
        <f t="shared" si="19"/>
        <v>35658</v>
      </c>
      <c r="AA12" s="419">
        <f t="shared" si="1"/>
        <v>216003</v>
      </c>
      <c r="AB12" s="420">
        <f t="shared" si="1"/>
        <v>33792</v>
      </c>
      <c r="AC12" s="417">
        <f>SUM(Q12+E12)</f>
        <v>0</v>
      </c>
      <c r="AD12" s="421">
        <f>SUM(AA12:AC12)</f>
        <v>249795</v>
      </c>
      <c r="AE12" s="419">
        <f t="shared" si="3"/>
        <v>9583</v>
      </c>
      <c r="AF12" s="420">
        <f t="shared" si="3"/>
        <v>0</v>
      </c>
      <c r="AG12" s="417">
        <f t="shared" si="4"/>
        <v>0</v>
      </c>
      <c r="AH12" s="421">
        <f t="shared" si="5"/>
        <v>9583</v>
      </c>
      <c r="AI12" s="419">
        <f t="shared" si="6"/>
        <v>225586</v>
      </c>
      <c r="AJ12" s="420">
        <f t="shared" si="6"/>
        <v>33792</v>
      </c>
      <c r="AK12" s="417">
        <f t="shared" si="7"/>
        <v>0</v>
      </c>
      <c r="AL12" s="421">
        <f t="shared" si="8"/>
        <v>259378</v>
      </c>
    </row>
    <row r="13" spans="1:38" ht="31.5" x14ac:dyDescent="0.25">
      <c r="A13" s="414" t="s">
        <v>181</v>
      </c>
      <c r="B13" s="414" t="s">
        <v>317</v>
      </c>
      <c r="C13" s="268">
        <v>11530377</v>
      </c>
      <c r="D13" s="72">
        <v>2923711</v>
      </c>
      <c r="E13" s="72"/>
      <c r="F13" s="268">
        <f>SUM(C13:E13)</f>
        <v>14454088</v>
      </c>
      <c r="G13" s="72">
        <v>-2154</v>
      </c>
      <c r="H13" s="72">
        <v>24439</v>
      </c>
      <c r="I13" s="72"/>
      <c r="J13" s="268">
        <f t="shared" si="10"/>
        <v>22285</v>
      </c>
      <c r="K13" s="72">
        <f t="shared" si="11"/>
        <v>11528223</v>
      </c>
      <c r="L13" s="72">
        <f t="shared" si="12"/>
        <v>2948150</v>
      </c>
      <c r="M13" s="72">
        <f t="shared" si="13"/>
        <v>0</v>
      </c>
      <c r="N13" s="268">
        <f t="shared" si="14"/>
        <v>14476373</v>
      </c>
      <c r="O13" s="72">
        <v>0</v>
      </c>
      <c r="P13" s="72">
        <v>0</v>
      </c>
      <c r="Q13" s="72">
        <v>0</v>
      </c>
      <c r="R13" s="268">
        <f>SUM(O13:Q13)</f>
        <v>0</v>
      </c>
      <c r="S13" s="72">
        <v>1</v>
      </c>
      <c r="T13" s="72"/>
      <c r="U13" s="72"/>
      <c r="V13" s="72">
        <f t="shared" si="15"/>
        <v>1</v>
      </c>
      <c r="W13" s="72">
        <f t="shared" si="16"/>
        <v>1</v>
      </c>
      <c r="X13" s="72">
        <f t="shared" si="17"/>
        <v>0</v>
      </c>
      <c r="Y13" s="72">
        <f t="shared" si="18"/>
        <v>0</v>
      </c>
      <c r="Z13" s="268">
        <f t="shared" si="19"/>
        <v>1</v>
      </c>
      <c r="AA13" s="415">
        <f t="shared" si="1"/>
        <v>11530377</v>
      </c>
      <c r="AB13" s="416">
        <f t="shared" si="1"/>
        <v>2923711</v>
      </c>
      <c r="AC13" s="417">
        <f t="shared" si="2"/>
        <v>0</v>
      </c>
      <c r="AD13" s="91">
        <f>SUM(AA13:AC13)</f>
        <v>14454088</v>
      </c>
      <c r="AE13" s="415">
        <f t="shared" si="3"/>
        <v>-2153</v>
      </c>
      <c r="AF13" s="416">
        <f t="shared" si="3"/>
        <v>24439</v>
      </c>
      <c r="AG13" s="417">
        <f t="shared" si="4"/>
        <v>0</v>
      </c>
      <c r="AH13" s="91">
        <f t="shared" si="5"/>
        <v>22286</v>
      </c>
      <c r="AI13" s="415">
        <f t="shared" si="6"/>
        <v>11528224</v>
      </c>
      <c r="AJ13" s="416">
        <f t="shared" si="6"/>
        <v>2948150</v>
      </c>
      <c r="AK13" s="417">
        <f t="shared" si="7"/>
        <v>0</v>
      </c>
      <c r="AL13" s="91">
        <f t="shared" si="8"/>
        <v>14476374</v>
      </c>
    </row>
    <row r="14" spans="1:38" ht="31.5" x14ac:dyDescent="0.25">
      <c r="A14" s="422" t="s">
        <v>353</v>
      </c>
      <c r="B14" s="423"/>
      <c r="C14" s="337">
        <f>SUM(C9:C13)</f>
        <v>15066873</v>
      </c>
      <c r="D14" s="337">
        <f t="shared" ref="D14:E14" si="20">SUM(D9:D13)</f>
        <v>5532071</v>
      </c>
      <c r="E14" s="337">
        <f t="shared" si="20"/>
        <v>0</v>
      </c>
      <c r="F14" s="337">
        <f t="shared" ref="F14:AD14" si="21">SUM(F9:F13)</f>
        <v>20598944</v>
      </c>
      <c r="G14" s="337">
        <f t="shared" si="21"/>
        <v>306410</v>
      </c>
      <c r="H14" s="337">
        <f t="shared" si="21"/>
        <v>69905</v>
      </c>
      <c r="I14" s="337">
        <f t="shared" si="21"/>
        <v>0</v>
      </c>
      <c r="J14" s="337">
        <f t="shared" si="21"/>
        <v>376315</v>
      </c>
      <c r="K14" s="337">
        <f t="shared" si="21"/>
        <v>15373283</v>
      </c>
      <c r="L14" s="337">
        <f t="shared" si="21"/>
        <v>5601976</v>
      </c>
      <c r="M14" s="337">
        <f t="shared" si="21"/>
        <v>0</v>
      </c>
      <c r="N14" s="337">
        <f t="shared" si="21"/>
        <v>20975259</v>
      </c>
      <c r="O14" s="337">
        <f t="shared" si="21"/>
        <v>11291535</v>
      </c>
      <c r="P14" s="337">
        <f t="shared" si="21"/>
        <v>2999187</v>
      </c>
      <c r="Q14" s="337">
        <f t="shared" si="21"/>
        <v>948513</v>
      </c>
      <c r="R14" s="337">
        <f t="shared" si="21"/>
        <v>15239235</v>
      </c>
      <c r="S14" s="337">
        <f t="shared" si="21"/>
        <v>175171</v>
      </c>
      <c r="T14" s="337">
        <f t="shared" si="21"/>
        <v>311803</v>
      </c>
      <c r="U14" s="337">
        <f t="shared" si="21"/>
        <v>-2897</v>
      </c>
      <c r="V14" s="337">
        <f t="shared" si="21"/>
        <v>484077</v>
      </c>
      <c r="W14" s="337">
        <f t="shared" si="21"/>
        <v>11466706</v>
      </c>
      <c r="X14" s="337">
        <f t="shared" si="21"/>
        <v>3310990</v>
      </c>
      <c r="Y14" s="337">
        <f t="shared" si="21"/>
        <v>945616</v>
      </c>
      <c r="Z14" s="337">
        <f t="shared" si="21"/>
        <v>15723312</v>
      </c>
      <c r="AA14" s="337">
        <f t="shared" si="21"/>
        <v>26358408</v>
      </c>
      <c r="AB14" s="425">
        <f t="shared" si="21"/>
        <v>8531258</v>
      </c>
      <c r="AC14" s="337">
        <f t="shared" si="21"/>
        <v>948513</v>
      </c>
      <c r="AD14" s="337">
        <f t="shared" si="21"/>
        <v>35838179</v>
      </c>
      <c r="AE14" s="337">
        <f t="shared" ref="AE14:AL14" si="22">SUM(AE9:AE13)</f>
        <v>481581</v>
      </c>
      <c r="AF14" s="337">
        <f t="shared" si="22"/>
        <v>381708</v>
      </c>
      <c r="AG14" s="337">
        <f t="shared" si="22"/>
        <v>-2897</v>
      </c>
      <c r="AH14" s="337">
        <f t="shared" si="22"/>
        <v>860392</v>
      </c>
      <c r="AI14" s="337">
        <f t="shared" si="22"/>
        <v>26839989</v>
      </c>
      <c r="AJ14" s="337">
        <f t="shared" si="22"/>
        <v>8912966</v>
      </c>
      <c r="AK14" s="337">
        <f t="shared" si="22"/>
        <v>945616</v>
      </c>
      <c r="AL14" s="337">
        <f t="shared" si="22"/>
        <v>36698571</v>
      </c>
    </row>
    <row r="15" spans="1:38" x14ac:dyDescent="0.25">
      <c r="A15" s="71" t="s">
        <v>162</v>
      </c>
      <c r="B15" s="71" t="s">
        <v>159</v>
      </c>
      <c r="C15" s="268">
        <v>6398355</v>
      </c>
      <c r="D15" s="72">
        <v>22454303</v>
      </c>
      <c r="E15" s="72"/>
      <c r="F15" s="72">
        <f>SUM(C15:E15)</f>
        <v>28852658</v>
      </c>
      <c r="G15" s="72">
        <v>633009</v>
      </c>
      <c r="H15" s="72">
        <v>460631</v>
      </c>
      <c r="I15" s="72"/>
      <c r="J15" s="268">
        <f t="shared" si="10"/>
        <v>1093640</v>
      </c>
      <c r="K15" s="72">
        <f t="shared" ref="K15:K17" si="23">SUM(C15+G15)</f>
        <v>7031364</v>
      </c>
      <c r="L15" s="72">
        <f t="shared" ref="L15:L17" si="24">SUM(D15+H15)</f>
        <v>22914934</v>
      </c>
      <c r="M15" s="72">
        <f t="shared" ref="M15:M17" si="25">SUM(E15+I15)</f>
        <v>0</v>
      </c>
      <c r="N15" s="268">
        <f t="shared" ref="N15:N17" si="26">SUM(K15:M15)</f>
        <v>29946298</v>
      </c>
      <c r="O15" s="268">
        <v>158043</v>
      </c>
      <c r="P15" s="72">
        <v>45884</v>
      </c>
      <c r="Q15" s="72">
        <v>40264</v>
      </c>
      <c r="R15" s="72">
        <f>SUM(O15:Q15)</f>
        <v>244191</v>
      </c>
      <c r="S15" s="72">
        <v>75020</v>
      </c>
      <c r="T15" s="72">
        <v>50506</v>
      </c>
      <c r="U15" s="72"/>
      <c r="V15" s="72">
        <f t="shared" si="15"/>
        <v>125526</v>
      </c>
      <c r="W15" s="72">
        <f t="shared" ref="W15:W17" si="27">SUM(O15+S15)</f>
        <v>233063</v>
      </c>
      <c r="X15" s="72">
        <f t="shared" ref="X15:X17" si="28">SUM(P15+T15)</f>
        <v>96390</v>
      </c>
      <c r="Y15" s="72">
        <f t="shared" ref="Y15:Y17" si="29">SUM(Q15+U15)</f>
        <v>40264</v>
      </c>
      <c r="Z15" s="268">
        <f t="shared" ref="Z15:Z17" si="30">SUM(W15:Y15)</f>
        <v>369717</v>
      </c>
      <c r="AA15" s="415">
        <f t="shared" ref="AA15:AB17" si="31">+C15+O15</f>
        <v>6556398</v>
      </c>
      <c r="AB15" s="416">
        <f t="shared" si="31"/>
        <v>22500187</v>
      </c>
      <c r="AC15" s="417">
        <f t="shared" si="2"/>
        <v>40264</v>
      </c>
      <c r="AD15" s="91">
        <f>SUM(AA15:AC15)</f>
        <v>29096849</v>
      </c>
      <c r="AE15" s="415">
        <f t="shared" ref="AE15:AF17" si="32">+G15+S15</f>
        <v>708029</v>
      </c>
      <c r="AF15" s="416">
        <f t="shared" si="32"/>
        <v>511137</v>
      </c>
      <c r="AG15" s="417">
        <f t="shared" ref="AG15:AG20" si="33">SUM(U15+I15)</f>
        <v>0</v>
      </c>
      <c r="AH15" s="91">
        <f t="shared" ref="AH15:AH17" si="34">SUM(AE15:AG15)</f>
        <v>1219166</v>
      </c>
      <c r="AI15" s="415">
        <f t="shared" ref="AI15:AJ17" si="35">+K15+W15</f>
        <v>7264427</v>
      </c>
      <c r="AJ15" s="416">
        <f t="shared" si="35"/>
        <v>23011324</v>
      </c>
      <c r="AK15" s="417">
        <f t="shared" ref="AK15:AK20" si="36">SUM(Y15+M15)</f>
        <v>40264</v>
      </c>
      <c r="AL15" s="91">
        <f t="shared" ref="AL15:AL17" si="37">SUM(AI15:AK15)</f>
        <v>30316015</v>
      </c>
    </row>
    <row r="16" spans="1:38" x14ac:dyDescent="0.25">
      <c r="A16" s="71" t="s">
        <v>163</v>
      </c>
      <c r="B16" s="71" t="s">
        <v>160</v>
      </c>
      <c r="C16" s="268">
        <v>1017286</v>
      </c>
      <c r="D16" s="72">
        <v>120680</v>
      </c>
      <c r="E16" s="72"/>
      <c r="F16" s="72">
        <f>SUM(C16:E16)</f>
        <v>1137966</v>
      </c>
      <c r="G16" s="72">
        <v>-1211</v>
      </c>
      <c r="H16" s="72">
        <v>0</v>
      </c>
      <c r="I16" s="72"/>
      <c r="J16" s="72">
        <f t="shared" si="10"/>
        <v>-1211</v>
      </c>
      <c r="K16" s="72">
        <f t="shared" si="23"/>
        <v>1016075</v>
      </c>
      <c r="L16" s="72">
        <f t="shared" si="24"/>
        <v>120680</v>
      </c>
      <c r="M16" s="72">
        <f t="shared" si="25"/>
        <v>0</v>
      </c>
      <c r="N16" s="268">
        <f t="shared" si="26"/>
        <v>1136755</v>
      </c>
      <c r="O16" s="268">
        <v>16935</v>
      </c>
      <c r="P16" s="72">
        <v>0</v>
      </c>
      <c r="Q16" s="72">
        <v>1833</v>
      </c>
      <c r="R16" s="72">
        <f>SUM(O16:Q16)</f>
        <v>18768</v>
      </c>
      <c r="S16" s="72">
        <v>13727</v>
      </c>
      <c r="T16" s="72">
        <v>9082</v>
      </c>
      <c r="U16" s="72">
        <v>2897</v>
      </c>
      <c r="V16" s="72">
        <f t="shared" si="15"/>
        <v>25706</v>
      </c>
      <c r="W16" s="72">
        <f t="shared" si="27"/>
        <v>30662</v>
      </c>
      <c r="X16" s="72">
        <f t="shared" si="28"/>
        <v>9082</v>
      </c>
      <c r="Y16" s="72">
        <f t="shared" si="29"/>
        <v>4730</v>
      </c>
      <c r="Z16" s="268">
        <f t="shared" si="30"/>
        <v>44474</v>
      </c>
      <c r="AA16" s="415">
        <f t="shared" si="31"/>
        <v>1034221</v>
      </c>
      <c r="AB16" s="416">
        <f t="shared" si="31"/>
        <v>120680</v>
      </c>
      <c r="AC16" s="417">
        <f t="shared" si="2"/>
        <v>1833</v>
      </c>
      <c r="AD16" s="91">
        <f>SUM(AA16:AC16)</f>
        <v>1156734</v>
      </c>
      <c r="AE16" s="415">
        <f t="shared" si="32"/>
        <v>12516</v>
      </c>
      <c r="AF16" s="416">
        <f t="shared" si="32"/>
        <v>9082</v>
      </c>
      <c r="AG16" s="417">
        <f t="shared" si="33"/>
        <v>2897</v>
      </c>
      <c r="AH16" s="91">
        <f t="shared" si="34"/>
        <v>24495</v>
      </c>
      <c r="AI16" s="415">
        <f t="shared" si="35"/>
        <v>1046737</v>
      </c>
      <c r="AJ16" s="416">
        <f t="shared" si="35"/>
        <v>129762</v>
      </c>
      <c r="AK16" s="417">
        <f t="shared" si="36"/>
        <v>4730</v>
      </c>
      <c r="AL16" s="91">
        <f t="shared" si="37"/>
        <v>1181229</v>
      </c>
    </row>
    <row r="17" spans="1:38" x14ac:dyDescent="0.25">
      <c r="A17" s="71" t="s">
        <v>269</v>
      </c>
      <c r="B17" s="71" t="s">
        <v>161</v>
      </c>
      <c r="C17" s="268">
        <v>634613</v>
      </c>
      <c r="D17" s="72">
        <v>1131138</v>
      </c>
      <c r="E17" s="72"/>
      <c r="F17" s="72">
        <f>SUM(C17:E17)</f>
        <v>1765751</v>
      </c>
      <c r="G17" s="72">
        <v>66</v>
      </c>
      <c r="H17" s="72">
        <v>-369288</v>
      </c>
      <c r="I17" s="72"/>
      <c r="J17" s="72">
        <f t="shared" si="10"/>
        <v>-369222</v>
      </c>
      <c r="K17" s="72">
        <f t="shared" si="23"/>
        <v>634679</v>
      </c>
      <c r="L17" s="72">
        <f t="shared" si="24"/>
        <v>761850</v>
      </c>
      <c r="M17" s="72">
        <f t="shared" si="25"/>
        <v>0</v>
      </c>
      <c r="N17" s="268">
        <f t="shared" si="26"/>
        <v>1396529</v>
      </c>
      <c r="O17" s="268">
        <v>0</v>
      </c>
      <c r="P17" s="72">
        <v>0</v>
      </c>
      <c r="Q17" s="72">
        <v>0</v>
      </c>
      <c r="R17" s="72">
        <f>SUM(O17:Q17)</f>
        <v>0</v>
      </c>
      <c r="S17" s="72"/>
      <c r="T17" s="72"/>
      <c r="U17" s="72"/>
      <c r="V17" s="72">
        <f t="shared" si="15"/>
        <v>0</v>
      </c>
      <c r="W17" s="72">
        <f t="shared" si="27"/>
        <v>0</v>
      </c>
      <c r="X17" s="72">
        <f t="shared" si="28"/>
        <v>0</v>
      </c>
      <c r="Y17" s="72">
        <f t="shared" si="29"/>
        <v>0</v>
      </c>
      <c r="Z17" s="268">
        <f t="shared" si="30"/>
        <v>0</v>
      </c>
      <c r="AA17" s="415">
        <f t="shared" si="31"/>
        <v>634613</v>
      </c>
      <c r="AB17" s="416">
        <f t="shared" si="31"/>
        <v>1131138</v>
      </c>
      <c r="AC17" s="417">
        <f t="shared" si="2"/>
        <v>0</v>
      </c>
      <c r="AD17" s="91">
        <f>SUM(AA17:AC17)</f>
        <v>1765751</v>
      </c>
      <c r="AE17" s="415">
        <f t="shared" si="32"/>
        <v>66</v>
      </c>
      <c r="AF17" s="416">
        <f t="shared" si="32"/>
        <v>-369288</v>
      </c>
      <c r="AG17" s="417">
        <f t="shared" si="33"/>
        <v>0</v>
      </c>
      <c r="AH17" s="91">
        <f t="shared" si="34"/>
        <v>-369222</v>
      </c>
      <c r="AI17" s="415">
        <f t="shared" si="35"/>
        <v>634679</v>
      </c>
      <c r="AJ17" s="416">
        <f t="shared" si="35"/>
        <v>761850</v>
      </c>
      <c r="AK17" s="417">
        <f t="shared" si="36"/>
        <v>0</v>
      </c>
      <c r="AL17" s="91">
        <f t="shared" si="37"/>
        <v>1396529</v>
      </c>
    </row>
    <row r="18" spans="1:38" ht="31.5" x14ac:dyDescent="0.25">
      <c r="A18" s="422" t="s">
        <v>354</v>
      </c>
      <c r="B18" s="424"/>
      <c r="C18" s="338">
        <f t="shared" ref="C18:E18" si="38">SUM(C15:C17)</f>
        <v>8050254</v>
      </c>
      <c r="D18" s="338">
        <f t="shared" si="38"/>
        <v>23706121</v>
      </c>
      <c r="E18" s="338">
        <f t="shared" si="38"/>
        <v>0</v>
      </c>
      <c r="F18" s="338">
        <f t="shared" ref="F18:AB18" si="39">SUM(F15:F17)</f>
        <v>31756375</v>
      </c>
      <c r="G18" s="338">
        <f t="shared" si="39"/>
        <v>631864</v>
      </c>
      <c r="H18" s="338">
        <f t="shared" si="39"/>
        <v>91343</v>
      </c>
      <c r="I18" s="338">
        <f t="shared" si="39"/>
        <v>0</v>
      </c>
      <c r="J18" s="338">
        <f t="shared" si="39"/>
        <v>723207</v>
      </c>
      <c r="K18" s="338">
        <f t="shared" si="39"/>
        <v>8682118</v>
      </c>
      <c r="L18" s="338">
        <f t="shared" si="39"/>
        <v>23797464</v>
      </c>
      <c r="M18" s="338">
        <f t="shared" si="39"/>
        <v>0</v>
      </c>
      <c r="N18" s="337">
        <f t="shared" si="39"/>
        <v>32479582</v>
      </c>
      <c r="O18" s="337">
        <f t="shared" si="39"/>
        <v>174978</v>
      </c>
      <c r="P18" s="338">
        <f t="shared" si="39"/>
        <v>45884</v>
      </c>
      <c r="Q18" s="338">
        <f t="shared" si="39"/>
        <v>42097</v>
      </c>
      <c r="R18" s="338">
        <f t="shared" si="39"/>
        <v>262959</v>
      </c>
      <c r="S18" s="338">
        <f t="shared" si="39"/>
        <v>88747</v>
      </c>
      <c r="T18" s="338">
        <f t="shared" si="39"/>
        <v>59588</v>
      </c>
      <c r="U18" s="338">
        <f t="shared" si="39"/>
        <v>2897</v>
      </c>
      <c r="V18" s="338">
        <f t="shared" si="39"/>
        <v>151232</v>
      </c>
      <c r="W18" s="338">
        <f t="shared" si="39"/>
        <v>263725</v>
      </c>
      <c r="X18" s="338">
        <f t="shared" si="39"/>
        <v>105472</v>
      </c>
      <c r="Y18" s="338">
        <f t="shared" si="39"/>
        <v>44994</v>
      </c>
      <c r="Z18" s="337">
        <f t="shared" si="39"/>
        <v>414191</v>
      </c>
      <c r="AA18" s="516">
        <f t="shared" si="39"/>
        <v>8225232</v>
      </c>
      <c r="AB18" s="425">
        <f t="shared" si="39"/>
        <v>23752005</v>
      </c>
      <c r="AC18" s="417">
        <f t="shared" si="2"/>
        <v>42097</v>
      </c>
      <c r="AD18" s="426">
        <f>SUM(AD15:AD17)</f>
        <v>32019334</v>
      </c>
      <c r="AE18" s="338">
        <f t="shared" ref="AE18:AF18" si="40">SUM(AE15:AE17)</f>
        <v>720611</v>
      </c>
      <c r="AF18" s="425">
        <f t="shared" si="40"/>
        <v>150931</v>
      </c>
      <c r="AG18" s="417">
        <f t="shared" si="33"/>
        <v>2897</v>
      </c>
      <c r="AH18" s="426">
        <f t="shared" ref="AH18:AJ18" si="41">SUM(AH15:AH17)</f>
        <v>874439</v>
      </c>
      <c r="AI18" s="338">
        <f t="shared" si="41"/>
        <v>8945843</v>
      </c>
      <c r="AJ18" s="425">
        <f t="shared" si="41"/>
        <v>23902936</v>
      </c>
      <c r="AK18" s="417">
        <f t="shared" si="36"/>
        <v>44994</v>
      </c>
      <c r="AL18" s="426">
        <f t="shared" ref="AL18" si="42">SUM(AL15:AL17)</f>
        <v>32893773</v>
      </c>
    </row>
    <row r="19" spans="1:38" x14ac:dyDescent="0.25">
      <c r="A19" s="71" t="s">
        <v>206</v>
      </c>
      <c r="B19" s="71"/>
      <c r="C19" s="268">
        <v>14023</v>
      </c>
      <c r="D19" s="72">
        <v>241395</v>
      </c>
      <c r="E19" s="72"/>
      <c r="F19" s="72">
        <f>SUM(C19:E19)</f>
        <v>255418</v>
      </c>
      <c r="G19" s="72">
        <v>818025</v>
      </c>
      <c r="H19" s="72">
        <f>-973630+1</f>
        <v>-973629</v>
      </c>
      <c r="I19" s="72">
        <v>839</v>
      </c>
      <c r="J19" s="72">
        <f t="shared" si="10"/>
        <v>-154765</v>
      </c>
      <c r="K19" s="72">
        <f t="shared" ref="K19:K20" si="43">SUM(C19+G19)</f>
        <v>832048</v>
      </c>
      <c r="L19" s="72">
        <f t="shared" ref="L19:L20" si="44">SUM(D19+H19)</f>
        <v>-732234</v>
      </c>
      <c r="M19" s="72">
        <f t="shared" ref="M19:M20" si="45">SUM(E19+I19)</f>
        <v>839</v>
      </c>
      <c r="N19" s="268">
        <f t="shared" ref="N19:N20" si="46">SUM(K19:M19)</f>
        <v>100653</v>
      </c>
      <c r="O19" s="268">
        <v>0</v>
      </c>
      <c r="P19" s="72">
        <v>0</v>
      </c>
      <c r="Q19" s="72">
        <v>0</v>
      </c>
      <c r="R19" s="72">
        <f>SUM(O19:Q19)</f>
        <v>0</v>
      </c>
      <c r="S19" s="72">
        <v>0</v>
      </c>
      <c r="T19" s="72">
        <v>0</v>
      </c>
      <c r="U19" s="72">
        <v>0</v>
      </c>
      <c r="V19" s="72">
        <f t="shared" si="15"/>
        <v>0</v>
      </c>
      <c r="W19" s="72">
        <f t="shared" ref="W19:W20" si="47">SUM(O19+S19)</f>
        <v>0</v>
      </c>
      <c r="X19" s="72">
        <f t="shared" ref="X19:X20" si="48">SUM(P19+T19)</f>
        <v>0</v>
      </c>
      <c r="Y19" s="72">
        <f t="shared" ref="Y19:Y20" si="49">SUM(Q19+U19)</f>
        <v>0</v>
      </c>
      <c r="Z19" s="268">
        <f t="shared" ref="Z19:Z20" si="50">SUM(W19:Y19)</f>
        <v>0</v>
      </c>
      <c r="AA19" s="415">
        <f>+C19+O19</f>
        <v>14023</v>
      </c>
      <c r="AB19" s="416">
        <f>+D19+P19</f>
        <v>241395</v>
      </c>
      <c r="AC19" s="417">
        <f t="shared" si="2"/>
        <v>0</v>
      </c>
      <c r="AD19" s="91">
        <f>SUM(AA19:AC19)</f>
        <v>255418</v>
      </c>
      <c r="AE19" s="415">
        <f>+G19+S19</f>
        <v>818025</v>
      </c>
      <c r="AF19" s="416">
        <f t="shared" ref="AE19:AF20" si="51">+H19+T19</f>
        <v>-973629</v>
      </c>
      <c r="AG19" s="417">
        <f t="shared" si="33"/>
        <v>839</v>
      </c>
      <c r="AH19" s="91">
        <f t="shared" ref="AH19:AH20" si="52">SUM(AE19:AG19)</f>
        <v>-154765</v>
      </c>
      <c r="AI19" s="415">
        <f t="shared" ref="AI19:AJ20" si="53">+K19+W19</f>
        <v>832048</v>
      </c>
      <c r="AJ19" s="416">
        <f t="shared" si="53"/>
        <v>-732234</v>
      </c>
      <c r="AK19" s="417">
        <f t="shared" si="36"/>
        <v>839</v>
      </c>
      <c r="AL19" s="91">
        <f t="shared" ref="AL19:AL20" si="54">SUM(AI19:AK19)</f>
        <v>100653</v>
      </c>
    </row>
    <row r="20" spans="1:38" x14ac:dyDescent="0.25">
      <c r="A20" s="71" t="s">
        <v>207</v>
      </c>
      <c r="B20" s="71"/>
      <c r="C20" s="268">
        <v>1517608</v>
      </c>
      <c r="D20" s="72">
        <v>440384</v>
      </c>
      <c r="E20" s="72"/>
      <c r="F20" s="72">
        <f>SUM(C20:E20)</f>
        <v>1957992</v>
      </c>
      <c r="G20" s="72">
        <v>-9350</v>
      </c>
      <c r="H20" s="72">
        <v>-36989</v>
      </c>
      <c r="I20" s="72"/>
      <c r="J20" s="72">
        <f t="shared" si="10"/>
        <v>-46339</v>
      </c>
      <c r="K20" s="72">
        <f t="shared" si="43"/>
        <v>1508258</v>
      </c>
      <c r="L20" s="72">
        <f t="shared" si="44"/>
        <v>403395</v>
      </c>
      <c r="M20" s="72">
        <f t="shared" si="45"/>
        <v>0</v>
      </c>
      <c r="N20" s="268">
        <f t="shared" si="46"/>
        <v>1911653</v>
      </c>
      <c r="O20" s="268">
        <v>0</v>
      </c>
      <c r="P20" s="72">
        <v>0</v>
      </c>
      <c r="Q20" s="72">
        <v>0</v>
      </c>
      <c r="R20" s="72">
        <f>SUM(O20:Q20)</f>
        <v>0</v>
      </c>
      <c r="S20" s="72">
        <v>0</v>
      </c>
      <c r="T20" s="72">
        <v>0</v>
      </c>
      <c r="U20" s="72">
        <v>0</v>
      </c>
      <c r="V20" s="72">
        <f t="shared" si="15"/>
        <v>0</v>
      </c>
      <c r="W20" s="72">
        <f t="shared" si="47"/>
        <v>0</v>
      </c>
      <c r="X20" s="72">
        <f t="shared" si="48"/>
        <v>0</v>
      </c>
      <c r="Y20" s="72">
        <f t="shared" si="49"/>
        <v>0</v>
      </c>
      <c r="Z20" s="268">
        <f t="shared" si="50"/>
        <v>0</v>
      </c>
      <c r="AA20" s="415">
        <f>+C20+O20</f>
        <v>1517608</v>
      </c>
      <c r="AB20" s="416">
        <f>+D20+P20</f>
        <v>440384</v>
      </c>
      <c r="AC20" s="417">
        <f t="shared" si="2"/>
        <v>0</v>
      </c>
      <c r="AD20" s="91">
        <f>SUM(AA20:AC20)</f>
        <v>1957992</v>
      </c>
      <c r="AE20" s="415">
        <f t="shared" si="51"/>
        <v>-9350</v>
      </c>
      <c r="AF20" s="416">
        <f t="shared" si="51"/>
        <v>-36989</v>
      </c>
      <c r="AG20" s="417">
        <f t="shared" si="33"/>
        <v>0</v>
      </c>
      <c r="AH20" s="91">
        <f t="shared" si="52"/>
        <v>-46339</v>
      </c>
      <c r="AI20" s="415">
        <f t="shared" si="53"/>
        <v>1508258</v>
      </c>
      <c r="AJ20" s="416">
        <f t="shared" si="53"/>
        <v>403395</v>
      </c>
      <c r="AK20" s="417">
        <f t="shared" si="36"/>
        <v>0</v>
      </c>
      <c r="AL20" s="91">
        <f t="shared" si="54"/>
        <v>1911653</v>
      </c>
    </row>
    <row r="21" spans="1:38" s="77" customFormat="1" ht="16.5" thickBot="1" x14ac:dyDescent="0.3">
      <c r="A21" s="75" t="s">
        <v>208</v>
      </c>
      <c r="B21" s="427" t="s">
        <v>318</v>
      </c>
      <c r="C21" s="339">
        <f>SUM(C19:C20)</f>
        <v>1531631</v>
      </c>
      <c r="D21" s="339">
        <f t="shared" ref="D21:E21" si="55">SUM(D19:D20)</f>
        <v>681779</v>
      </c>
      <c r="E21" s="339">
        <f t="shared" si="55"/>
        <v>0</v>
      </c>
      <c r="F21" s="339">
        <f t="shared" ref="F21:AD21" si="56">SUM(F19:F20)</f>
        <v>2213410</v>
      </c>
      <c r="G21" s="339">
        <f t="shared" ref="G21:Q21" si="57">SUM(G19:G20)</f>
        <v>808675</v>
      </c>
      <c r="H21" s="339">
        <f t="shared" si="57"/>
        <v>-1010618</v>
      </c>
      <c r="I21" s="339">
        <f t="shared" si="57"/>
        <v>839</v>
      </c>
      <c r="J21" s="339">
        <f t="shared" si="57"/>
        <v>-201104</v>
      </c>
      <c r="K21" s="339">
        <f t="shared" si="57"/>
        <v>2340306</v>
      </c>
      <c r="L21" s="339">
        <f t="shared" si="57"/>
        <v>-328839</v>
      </c>
      <c r="M21" s="339">
        <f t="shared" si="57"/>
        <v>839</v>
      </c>
      <c r="N21" s="339">
        <f t="shared" si="57"/>
        <v>2012306</v>
      </c>
      <c r="O21" s="339">
        <f t="shared" si="57"/>
        <v>0</v>
      </c>
      <c r="P21" s="339">
        <f t="shared" si="57"/>
        <v>0</v>
      </c>
      <c r="Q21" s="339">
        <f t="shared" si="57"/>
        <v>0</v>
      </c>
      <c r="R21" s="339">
        <f t="shared" si="56"/>
        <v>0</v>
      </c>
      <c r="S21" s="339">
        <f t="shared" ref="S21:Z21" si="58">SUM(S19:S20)</f>
        <v>0</v>
      </c>
      <c r="T21" s="339">
        <f t="shared" si="58"/>
        <v>0</v>
      </c>
      <c r="U21" s="339">
        <f t="shared" si="58"/>
        <v>0</v>
      </c>
      <c r="V21" s="339">
        <f t="shared" si="58"/>
        <v>0</v>
      </c>
      <c r="W21" s="339">
        <f t="shared" si="58"/>
        <v>0</v>
      </c>
      <c r="X21" s="339">
        <f t="shared" si="58"/>
        <v>0</v>
      </c>
      <c r="Y21" s="339">
        <f t="shared" si="58"/>
        <v>0</v>
      </c>
      <c r="Z21" s="339">
        <f t="shared" si="58"/>
        <v>0</v>
      </c>
      <c r="AA21" s="339">
        <f t="shared" si="56"/>
        <v>1531631</v>
      </c>
      <c r="AB21" s="339">
        <f t="shared" si="56"/>
        <v>681779</v>
      </c>
      <c r="AC21" s="339">
        <f t="shared" si="56"/>
        <v>0</v>
      </c>
      <c r="AD21" s="339">
        <f t="shared" si="56"/>
        <v>2213410</v>
      </c>
      <c r="AE21" s="339">
        <f t="shared" ref="AE21:AL21" si="59">SUM(AE19:AE20)</f>
        <v>808675</v>
      </c>
      <c r="AF21" s="339">
        <f t="shared" si="59"/>
        <v>-1010618</v>
      </c>
      <c r="AG21" s="339">
        <f t="shared" si="59"/>
        <v>839</v>
      </c>
      <c r="AH21" s="339">
        <f t="shared" si="59"/>
        <v>-201104</v>
      </c>
      <c r="AI21" s="339">
        <f t="shared" si="59"/>
        <v>2340306</v>
      </c>
      <c r="AJ21" s="339">
        <f t="shared" si="59"/>
        <v>-328839</v>
      </c>
      <c r="AK21" s="339">
        <f t="shared" si="59"/>
        <v>839</v>
      </c>
      <c r="AL21" s="339">
        <f t="shared" si="59"/>
        <v>2012306</v>
      </c>
    </row>
    <row r="22" spans="1:38" ht="17.25" thickTop="1" thickBot="1" x14ac:dyDescent="0.3">
      <c r="A22" s="258" t="s">
        <v>209</v>
      </c>
      <c r="B22" s="428" t="s">
        <v>274</v>
      </c>
      <c r="C22" s="260">
        <f>+C21+C18+C14</f>
        <v>24648758</v>
      </c>
      <c r="D22" s="260">
        <f t="shared" ref="D22:E22" si="60">+D21+D18+D14</f>
        <v>29919971</v>
      </c>
      <c r="E22" s="260">
        <f t="shared" si="60"/>
        <v>0</v>
      </c>
      <c r="F22" s="260">
        <f t="shared" ref="F22:AD22" si="61">+F21+F18+F14</f>
        <v>54568729</v>
      </c>
      <c r="G22" s="260">
        <f t="shared" ref="G22:Q22" si="62">+G21+G18+G14</f>
        <v>1746949</v>
      </c>
      <c r="H22" s="260">
        <f t="shared" si="62"/>
        <v>-849370</v>
      </c>
      <c r="I22" s="260">
        <f t="shared" si="62"/>
        <v>839</v>
      </c>
      <c r="J22" s="260">
        <f t="shared" si="62"/>
        <v>898418</v>
      </c>
      <c r="K22" s="260">
        <f t="shared" si="62"/>
        <v>26395707</v>
      </c>
      <c r="L22" s="260">
        <f t="shared" si="62"/>
        <v>29070601</v>
      </c>
      <c r="M22" s="260">
        <f t="shared" si="62"/>
        <v>839</v>
      </c>
      <c r="N22" s="260">
        <f t="shared" si="62"/>
        <v>55467147</v>
      </c>
      <c r="O22" s="260">
        <f t="shared" si="62"/>
        <v>11466513</v>
      </c>
      <c r="P22" s="260">
        <f t="shared" si="62"/>
        <v>3045071</v>
      </c>
      <c r="Q22" s="260">
        <f t="shared" si="62"/>
        <v>990610</v>
      </c>
      <c r="R22" s="260">
        <f t="shared" si="61"/>
        <v>15502194</v>
      </c>
      <c r="S22" s="260">
        <f t="shared" ref="S22:Z22" si="63">+S21+S18+S14</f>
        <v>263918</v>
      </c>
      <c r="T22" s="260">
        <f t="shared" si="63"/>
        <v>371391</v>
      </c>
      <c r="U22" s="260">
        <f t="shared" si="63"/>
        <v>0</v>
      </c>
      <c r="V22" s="260">
        <f t="shared" si="63"/>
        <v>635309</v>
      </c>
      <c r="W22" s="260">
        <f t="shared" si="63"/>
        <v>11730431</v>
      </c>
      <c r="X22" s="260">
        <f t="shared" si="63"/>
        <v>3416462</v>
      </c>
      <c r="Y22" s="260">
        <f t="shared" si="63"/>
        <v>990610</v>
      </c>
      <c r="Z22" s="260">
        <f t="shared" si="63"/>
        <v>16137503</v>
      </c>
      <c r="AA22" s="260">
        <f t="shared" si="61"/>
        <v>36115271</v>
      </c>
      <c r="AB22" s="260">
        <f t="shared" si="61"/>
        <v>32965042</v>
      </c>
      <c r="AC22" s="260">
        <f t="shared" si="61"/>
        <v>990610</v>
      </c>
      <c r="AD22" s="260">
        <f t="shared" si="61"/>
        <v>70070923</v>
      </c>
      <c r="AE22" s="260">
        <f t="shared" ref="AE22:AL22" si="64">+AE21+AE18+AE14</f>
        <v>2010867</v>
      </c>
      <c r="AF22" s="260">
        <f t="shared" si="64"/>
        <v>-477979</v>
      </c>
      <c r="AG22" s="260">
        <f t="shared" si="64"/>
        <v>839</v>
      </c>
      <c r="AH22" s="260">
        <f t="shared" si="64"/>
        <v>1533727</v>
      </c>
      <c r="AI22" s="260">
        <f t="shared" si="64"/>
        <v>38126138</v>
      </c>
      <c r="AJ22" s="260">
        <f t="shared" si="64"/>
        <v>32487063</v>
      </c>
      <c r="AK22" s="260">
        <f t="shared" si="64"/>
        <v>991449</v>
      </c>
      <c r="AL22" s="260">
        <f t="shared" si="64"/>
        <v>71604650</v>
      </c>
    </row>
    <row r="23" spans="1:38" ht="32.25" thickTop="1" x14ac:dyDescent="0.25">
      <c r="A23" s="591" t="s">
        <v>483</v>
      </c>
      <c r="B23" s="592" t="s">
        <v>477</v>
      </c>
      <c r="C23" s="429">
        <v>0</v>
      </c>
      <c r="D23" s="429">
        <v>2710038</v>
      </c>
      <c r="E23" s="429">
        <v>0</v>
      </c>
      <c r="F23" s="429">
        <f>SUM(C23:E23)</f>
        <v>2710038</v>
      </c>
      <c r="G23" s="429"/>
      <c r="H23" s="429"/>
      <c r="I23" s="429"/>
      <c r="J23" s="429">
        <f>SUM(G23:I23)</f>
        <v>0</v>
      </c>
      <c r="K23" s="429">
        <f t="shared" ref="K23:K24" si="65">SUM(C23+G23)</f>
        <v>0</v>
      </c>
      <c r="L23" s="429">
        <f t="shared" ref="L23:L24" si="66">SUM(D23+H23)</f>
        <v>2710038</v>
      </c>
      <c r="M23" s="429">
        <f t="shared" ref="M23:M24" si="67">SUM(E23+I23)</f>
        <v>0</v>
      </c>
      <c r="N23" s="429">
        <f t="shared" ref="N23:N24" si="68">SUM(K23:M23)</f>
        <v>2710038</v>
      </c>
      <c r="O23" s="429">
        <v>0</v>
      </c>
      <c r="P23" s="429">
        <v>0</v>
      </c>
      <c r="Q23" s="429">
        <v>0</v>
      </c>
      <c r="R23" s="429">
        <f>SUM(O23:Q23)</f>
        <v>0</v>
      </c>
      <c r="S23" s="429"/>
      <c r="T23" s="429"/>
      <c r="U23" s="429"/>
      <c r="V23" s="429">
        <f>SUM(S23:U23)</f>
        <v>0</v>
      </c>
      <c r="W23" s="429">
        <f t="shared" ref="W23:W24" si="69">SUM(O23+S23)</f>
        <v>0</v>
      </c>
      <c r="X23" s="429">
        <f t="shared" ref="X23:X24" si="70">SUM(P23+T23)</f>
        <v>0</v>
      </c>
      <c r="Y23" s="429">
        <f t="shared" ref="Y23:Y24" si="71">SUM(Q23+U23)</f>
        <v>0</v>
      </c>
      <c r="Z23" s="429">
        <f t="shared" ref="Z23:Z24" si="72">SUM(W23:Y23)</f>
        <v>0</v>
      </c>
      <c r="AA23" s="429">
        <f t="shared" ref="AA23:AD24" si="73">SUM(O23+C23)</f>
        <v>0</v>
      </c>
      <c r="AB23" s="429">
        <f t="shared" si="73"/>
        <v>2710038</v>
      </c>
      <c r="AC23" s="429">
        <f t="shared" si="73"/>
        <v>0</v>
      </c>
      <c r="AD23" s="429">
        <f t="shared" si="73"/>
        <v>2710038</v>
      </c>
      <c r="AE23" s="429">
        <f t="shared" ref="AE23:AL24" si="74">SUM(S23+G23)</f>
        <v>0</v>
      </c>
      <c r="AF23" s="429">
        <f>SUM(T23+H23)</f>
        <v>0</v>
      </c>
      <c r="AG23" s="429">
        <f t="shared" si="74"/>
        <v>0</v>
      </c>
      <c r="AH23" s="429">
        <f t="shared" si="74"/>
        <v>0</v>
      </c>
      <c r="AI23" s="429">
        <f t="shared" si="74"/>
        <v>0</v>
      </c>
      <c r="AJ23" s="429">
        <f t="shared" si="74"/>
        <v>2710038</v>
      </c>
      <c r="AK23" s="429">
        <f t="shared" si="74"/>
        <v>0</v>
      </c>
      <c r="AL23" s="429">
        <f t="shared" si="74"/>
        <v>2710038</v>
      </c>
    </row>
    <row r="24" spans="1:38" ht="31.5" x14ac:dyDescent="0.25">
      <c r="A24" s="593" t="s">
        <v>484</v>
      </c>
      <c r="B24" s="594" t="s">
        <v>485</v>
      </c>
      <c r="C24" s="430">
        <v>130452</v>
      </c>
      <c r="D24" s="430">
        <v>0</v>
      </c>
      <c r="E24" s="430">
        <v>0</v>
      </c>
      <c r="F24" s="595">
        <f>SUM(C24:E24)</f>
        <v>130452</v>
      </c>
      <c r="G24" s="595">
        <v>163966</v>
      </c>
      <c r="H24" s="595"/>
      <c r="I24" s="595"/>
      <c r="J24" s="595">
        <f>SUM(G24:I24)</f>
        <v>163966</v>
      </c>
      <c r="K24" s="595">
        <f t="shared" si="65"/>
        <v>294418</v>
      </c>
      <c r="L24" s="595">
        <f t="shared" si="66"/>
        <v>0</v>
      </c>
      <c r="M24" s="595">
        <f t="shared" si="67"/>
        <v>0</v>
      </c>
      <c r="N24" s="595">
        <f t="shared" si="68"/>
        <v>294418</v>
      </c>
      <c r="O24" s="430">
        <v>0</v>
      </c>
      <c r="P24" s="430">
        <v>0</v>
      </c>
      <c r="Q24" s="430">
        <v>0</v>
      </c>
      <c r="R24" s="595">
        <f>SUM(O24:Q24)</f>
        <v>0</v>
      </c>
      <c r="S24" s="595"/>
      <c r="T24" s="595"/>
      <c r="U24" s="595"/>
      <c r="V24" s="595">
        <f>SUM(S24:U24)</f>
        <v>0</v>
      </c>
      <c r="W24" s="595">
        <f t="shared" si="69"/>
        <v>0</v>
      </c>
      <c r="X24" s="595">
        <f t="shared" si="70"/>
        <v>0</v>
      </c>
      <c r="Y24" s="595">
        <f t="shared" si="71"/>
        <v>0</v>
      </c>
      <c r="Z24" s="595">
        <f t="shared" si="72"/>
        <v>0</v>
      </c>
      <c r="AA24" s="595">
        <f t="shared" si="73"/>
        <v>130452</v>
      </c>
      <c r="AB24" s="595">
        <f t="shared" si="73"/>
        <v>0</v>
      </c>
      <c r="AC24" s="595">
        <f t="shared" si="73"/>
        <v>0</v>
      </c>
      <c r="AD24" s="595">
        <f t="shared" si="73"/>
        <v>130452</v>
      </c>
      <c r="AE24" s="595">
        <f t="shared" si="74"/>
        <v>163966</v>
      </c>
      <c r="AF24" s="595">
        <f t="shared" si="74"/>
        <v>0</v>
      </c>
      <c r="AG24" s="595">
        <f t="shared" si="74"/>
        <v>0</v>
      </c>
      <c r="AH24" s="595">
        <f t="shared" si="74"/>
        <v>163966</v>
      </c>
      <c r="AI24" s="595">
        <f t="shared" si="74"/>
        <v>294418</v>
      </c>
      <c r="AJ24" s="595">
        <f t="shared" si="74"/>
        <v>0</v>
      </c>
      <c r="AK24" s="595">
        <f t="shared" si="74"/>
        <v>0</v>
      </c>
      <c r="AL24" s="595">
        <f t="shared" si="74"/>
        <v>294418</v>
      </c>
    </row>
    <row r="25" spans="1:38" ht="16.5" thickBot="1" x14ac:dyDescent="0.3">
      <c r="A25" s="596" t="s">
        <v>486</v>
      </c>
      <c r="B25" s="597" t="s">
        <v>316</v>
      </c>
      <c r="C25" s="431">
        <v>8804754</v>
      </c>
      <c r="D25" s="431">
        <v>2148256</v>
      </c>
      <c r="E25" s="431">
        <v>914279</v>
      </c>
      <c r="F25" s="595">
        <f>SUM(C25:E25)</f>
        <v>11867289</v>
      </c>
      <c r="G25" s="431">
        <v>34475</v>
      </c>
      <c r="H25" s="431">
        <v>39206</v>
      </c>
      <c r="I25" s="431">
        <v>-839</v>
      </c>
      <c r="J25" s="595">
        <f>SUM(G25:I25)</f>
        <v>72842</v>
      </c>
      <c r="K25" s="595">
        <f t="shared" ref="K25" si="75">SUM(C25+G25)</f>
        <v>8839229</v>
      </c>
      <c r="L25" s="595">
        <f t="shared" ref="L25" si="76">SUM(D25+H25)</f>
        <v>2187462</v>
      </c>
      <c r="M25" s="595">
        <f t="shared" ref="M25" si="77">SUM(E25+I25)</f>
        <v>913440</v>
      </c>
      <c r="N25" s="595">
        <f t="shared" ref="N25" si="78">SUM(K25:M25)</f>
        <v>11940131</v>
      </c>
      <c r="O25" s="431">
        <v>0</v>
      </c>
      <c r="P25" s="431">
        <v>0</v>
      </c>
      <c r="Q25" s="431">
        <v>0</v>
      </c>
      <c r="R25" s="595">
        <f>SUM(O25:Q25)</f>
        <v>0</v>
      </c>
      <c r="S25" s="431"/>
      <c r="T25" s="431"/>
      <c r="U25" s="431"/>
      <c r="V25" s="595">
        <f>SUM(S25:U25)</f>
        <v>0</v>
      </c>
      <c r="W25" s="595">
        <f t="shared" ref="W25" si="79">SUM(O25+S25)</f>
        <v>0</v>
      </c>
      <c r="X25" s="595">
        <f t="shared" ref="X25" si="80">SUM(P25+T25)</f>
        <v>0</v>
      </c>
      <c r="Y25" s="595">
        <f t="shared" ref="Y25" si="81">SUM(Q25+U25)</f>
        <v>0</v>
      </c>
      <c r="Z25" s="595">
        <f t="shared" ref="Z25" si="82">SUM(W25:Y25)</f>
        <v>0</v>
      </c>
      <c r="AA25" s="595">
        <f t="shared" ref="AA25" si="83">SUM(O25+C25)</f>
        <v>8804754</v>
      </c>
      <c r="AB25" s="595">
        <f t="shared" ref="AB25" si="84">SUM(P25+D25)</f>
        <v>2148256</v>
      </c>
      <c r="AC25" s="595">
        <f t="shared" ref="AC25" si="85">SUM(Q25+E25)</f>
        <v>914279</v>
      </c>
      <c r="AD25" s="595">
        <f t="shared" ref="AD25" si="86">SUM(R25+F25)</f>
        <v>11867289</v>
      </c>
      <c r="AE25" s="595">
        <f t="shared" ref="AE25" si="87">SUM(S25+G25)</f>
        <v>34475</v>
      </c>
      <c r="AF25" s="595">
        <f t="shared" ref="AF25" si="88">SUM(T25+H25)</f>
        <v>39206</v>
      </c>
      <c r="AG25" s="595">
        <f t="shared" ref="AG25" si="89">SUM(U25+I25)</f>
        <v>-839</v>
      </c>
      <c r="AH25" s="595">
        <f t="shared" ref="AH25" si="90">SUM(V25+J25)</f>
        <v>72842</v>
      </c>
      <c r="AI25" s="595">
        <f t="shared" ref="AI25" si="91">SUM(W25+K25)</f>
        <v>8839229</v>
      </c>
      <c r="AJ25" s="595">
        <f t="shared" ref="AJ25" si="92">SUM(X25+L25)</f>
        <v>2187462</v>
      </c>
      <c r="AK25" s="595">
        <f t="shared" ref="AK25" si="93">SUM(Y25+M25)</f>
        <v>913440</v>
      </c>
      <c r="AL25" s="595">
        <f t="shared" ref="AL25" si="94">SUM(Z25+N25)</f>
        <v>11940131</v>
      </c>
    </row>
    <row r="26" spans="1:38" ht="17.25" thickTop="1" thickBot="1" x14ac:dyDescent="0.3">
      <c r="A26" s="432" t="s">
        <v>487</v>
      </c>
      <c r="B26" s="433" t="s">
        <v>210</v>
      </c>
      <c r="C26" s="340">
        <f>SUM(C23:C25)</f>
        <v>8935206</v>
      </c>
      <c r="D26" s="340">
        <f t="shared" ref="D26:E26" si="95">SUM(D23:D25)</f>
        <v>4858294</v>
      </c>
      <c r="E26" s="340">
        <f t="shared" si="95"/>
        <v>914279</v>
      </c>
      <c r="F26" s="340">
        <f t="shared" ref="F26:AL26" si="96">SUM(F23:F25)</f>
        <v>14707779</v>
      </c>
      <c r="G26" s="340">
        <f t="shared" si="96"/>
        <v>198441</v>
      </c>
      <c r="H26" s="340">
        <f t="shared" si="96"/>
        <v>39206</v>
      </c>
      <c r="I26" s="340">
        <f t="shared" si="96"/>
        <v>-839</v>
      </c>
      <c r="J26" s="340">
        <f t="shared" si="96"/>
        <v>236808</v>
      </c>
      <c r="K26" s="340">
        <f t="shared" si="96"/>
        <v>9133647</v>
      </c>
      <c r="L26" s="340">
        <f t="shared" si="96"/>
        <v>4897500</v>
      </c>
      <c r="M26" s="340">
        <f t="shared" si="96"/>
        <v>913440</v>
      </c>
      <c r="N26" s="340">
        <f t="shared" si="96"/>
        <v>14944587</v>
      </c>
      <c r="O26" s="340">
        <f t="shared" si="96"/>
        <v>0</v>
      </c>
      <c r="P26" s="340">
        <f t="shared" si="96"/>
        <v>0</v>
      </c>
      <c r="Q26" s="340">
        <f t="shared" si="96"/>
        <v>0</v>
      </c>
      <c r="R26" s="340">
        <f t="shared" si="96"/>
        <v>0</v>
      </c>
      <c r="S26" s="340">
        <f t="shared" si="96"/>
        <v>0</v>
      </c>
      <c r="T26" s="340">
        <f t="shared" si="96"/>
        <v>0</v>
      </c>
      <c r="U26" s="340">
        <f t="shared" si="96"/>
        <v>0</v>
      </c>
      <c r="V26" s="340">
        <f t="shared" si="96"/>
        <v>0</v>
      </c>
      <c r="W26" s="340">
        <f t="shared" si="96"/>
        <v>0</v>
      </c>
      <c r="X26" s="340">
        <f t="shared" si="96"/>
        <v>0</v>
      </c>
      <c r="Y26" s="340">
        <f t="shared" si="96"/>
        <v>0</v>
      </c>
      <c r="Z26" s="340">
        <f t="shared" si="96"/>
        <v>0</v>
      </c>
      <c r="AA26" s="340">
        <f t="shared" si="96"/>
        <v>8935206</v>
      </c>
      <c r="AB26" s="340">
        <f t="shared" si="96"/>
        <v>4858294</v>
      </c>
      <c r="AC26" s="340">
        <f t="shared" si="96"/>
        <v>914279</v>
      </c>
      <c r="AD26" s="340">
        <f t="shared" si="96"/>
        <v>14707779</v>
      </c>
      <c r="AE26" s="340">
        <f t="shared" si="96"/>
        <v>198441</v>
      </c>
      <c r="AF26" s="340">
        <f t="shared" si="96"/>
        <v>39206</v>
      </c>
      <c r="AG26" s="340">
        <f t="shared" si="96"/>
        <v>-839</v>
      </c>
      <c r="AH26" s="340">
        <f t="shared" si="96"/>
        <v>236808</v>
      </c>
      <c r="AI26" s="340">
        <f t="shared" si="96"/>
        <v>9133647</v>
      </c>
      <c r="AJ26" s="340">
        <f t="shared" si="96"/>
        <v>4897500</v>
      </c>
      <c r="AK26" s="340">
        <f t="shared" si="96"/>
        <v>913440</v>
      </c>
      <c r="AL26" s="340">
        <f t="shared" si="96"/>
        <v>14944587</v>
      </c>
    </row>
    <row r="27" spans="1:38" ht="17.25" thickTop="1" thickBot="1" x14ac:dyDescent="0.3">
      <c r="A27" s="258" t="s">
        <v>352</v>
      </c>
      <c r="B27" s="259"/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260"/>
      <c r="N27" s="260"/>
      <c r="O27" s="260"/>
      <c r="P27" s="260"/>
      <c r="Q27" s="260"/>
      <c r="R27" s="261">
        <v>1968.93</v>
      </c>
      <c r="S27" s="261"/>
      <c r="T27" s="261"/>
      <c r="U27" s="261"/>
      <c r="V27" s="261">
        <v>10</v>
      </c>
      <c r="W27" s="261"/>
      <c r="X27" s="261"/>
      <c r="Y27" s="261"/>
      <c r="Z27" s="261">
        <f>SUM(R27+V27)</f>
        <v>1978.93</v>
      </c>
      <c r="AA27" s="260"/>
      <c r="AB27" s="260"/>
      <c r="AC27" s="260"/>
      <c r="AD27" s="261">
        <f>SUM(R27)</f>
        <v>1968.93</v>
      </c>
      <c r="AE27" s="260"/>
      <c r="AF27" s="260"/>
      <c r="AG27" s="260"/>
      <c r="AH27" s="261">
        <f>SUM(V27)</f>
        <v>10</v>
      </c>
      <c r="AI27" s="260"/>
      <c r="AJ27" s="260"/>
      <c r="AK27" s="260"/>
      <c r="AL27" s="261">
        <f t="shared" ref="AL27" si="97">SUM(Z27)</f>
        <v>1978.93</v>
      </c>
    </row>
    <row r="28" spans="1:38" ht="16.5" thickTop="1" x14ac:dyDescent="0.25">
      <c r="A28" s="333"/>
      <c r="B28" s="333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</row>
    <row r="29" spans="1:38" x14ac:dyDescent="0.25">
      <c r="A29" s="333"/>
      <c r="B29" s="333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</row>
    <row r="30" spans="1:38" x14ac:dyDescent="0.25">
      <c r="A30" s="333"/>
      <c r="B30" s="333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</row>
    <row r="31" spans="1:38" x14ac:dyDescent="0.25">
      <c r="A31" s="333"/>
      <c r="B31" s="333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</row>
    <row r="32" spans="1:38" x14ac:dyDescent="0.25">
      <c r="A32" s="333"/>
      <c r="B32" s="333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</row>
    <row r="33" spans="1:38" x14ac:dyDescent="0.25">
      <c r="A33" s="333"/>
      <c r="B33" s="333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</row>
    <row r="34" spans="1:38" x14ac:dyDescent="0.25">
      <c r="A34" s="333"/>
      <c r="B34" s="333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</row>
    <row r="35" spans="1:38" x14ac:dyDescent="0.25">
      <c r="A35" s="333"/>
      <c r="B35" s="333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</row>
    <row r="36" spans="1:38" x14ac:dyDescent="0.25">
      <c r="A36" s="333"/>
      <c r="B36" s="333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</row>
    <row r="37" spans="1:38" x14ac:dyDescent="0.25">
      <c r="A37" s="333"/>
      <c r="B37" s="333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</row>
    <row r="38" spans="1:38" x14ac:dyDescent="0.25">
      <c r="A38" s="29"/>
      <c r="B38" s="29"/>
      <c r="C38" s="380"/>
      <c r="D38" s="380"/>
      <c r="E38" s="380"/>
      <c r="F38" s="380"/>
      <c r="G38" s="380"/>
      <c r="H38" s="380"/>
      <c r="I38" s="380"/>
      <c r="J38" s="380"/>
      <c r="K38" s="380"/>
      <c r="L38" s="380"/>
      <c r="M38" s="380"/>
      <c r="N38" s="380"/>
    </row>
  </sheetData>
  <mergeCells count="22">
    <mergeCell ref="B3:N3"/>
    <mergeCell ref="O3:Z3"/>
    <mergeCell ref="AA3:AL3"/>
    <mergeCell ref="AE6:AH6"/>
    <mergeCell ref="AI6:AL6"/>
    <mergeCell ref="G6:J6"/>
    <mergeCell ref="AE8:AH8"/>
    <mergeCell ref="AI8:AL8"/>
    <mergeCell ref="AA5:AL5"/>
    <mergeCell ref="AA6:AD6"/>
    <mergeCell ref="AA8:AD8"/>
    <mergeCell ref="O8:R8"/>
    <mergeCell ref="C5:N5"/>
    <mergeCell ref="C6:F6"/>
    <mergeCell ref="S8:V8"/>
    <mergeCell ref="W8:Z8"/>
    <mergeCell ref="B1:N1"/>
    <mergeCell ref="B2:N2"/>
    <mergeCell ref="O1:Z1"/>
    <mergeCell ref="O2:Z2"/>
    <mergeCell ref="AA1:AL1"/>
    <mergeCell ref="AA2:AL2"/>
  </mergeCells>
  <phoneticPr fontId="0" type="noConversion"/>
  <pageMargins left="0.31496062992125984" right="0.27559055118110237" top="0.94488188976377963" bottom="0.39370078740157483" header="0.43307086614173229" footer="0.19685039370078741"/>
  <pageSetup paperSize="9" scale="61" orientation="landscape" r:id="rId1"/>
  <headerFooter alignWithMargins="0">
    <oddHeader>&amp;R&amp;"Times New Roman CE,Félkövér"&amp;11 2. melléklet a 6/2020.(II.24) önkormányzati rendelethez&amp;"Times New Roman CE,Dőlt"&amp;10
2. melléklet
 az 5/2019.(II.15.) önkormányzati rendelethez</oddHeader>
  </headerFooter>
  <colBreaks count="1" manualBreakCount="1">
    <brk id="2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IV4945"/>
  <sheetViews>
    <sheetView view="pageBreakPreview" zoomScale="90" zoomScaleNormal="90" zoomScaleSheetLayoutView="90" workbookViewId="0">
      <pane xSplit="2" ySplit="8" topLeftCell="D33" activePane="bottomRight" state="frozen"/>
      <selection pane="topRight" activeCell="C1" sqref="C1"/>
      <selection pane="bottomLeft" activeCell="A9" sqref="A9"/>
      <selection pane="bottomRight" activeCell="K61" sqref="K61"/>
    </sheetView>
  </sheetViews>
  <sheetFormatPr defaultColWidth="9.25" defaultRowHeight="15.75" x14ac:dyDescent="0.25"/>
  <cols>
    <col min="1" max="1" width="37.5" style="341" customWidth="1"/>
    <col min="2" max="2" width="11.625" style="341" customWidth="1"/>
    <col min="3" max="3" width="15" style="16" customWidth="1"/>
    <col min="4" max="4" width="14.5" style="16" customWidth="1"/>
    <col min="5" max="5" width="15.25" style="16" customWidth="1"/>
    <col min="6" max="6" width="14.25" style="16" customWidth="1"/>
    <col min="7" max="7" width="14.5" style="16" customWidth="1"/>
    <col min="8" max="8" width="14.75" style="16" customWidth="1"/>
    <col min="9" max="11" width="14.875" style="16" customWidth="1"/>
    <col min="12" max="16384" width="9.25" style="16"/>
  </cols>
  <sheetData>
    <row r="1" spans="1:256" s="598" customFormat="1" x14ac:dyDescent="0.25">
      <c r="A1" s="1003" t="s">
        <v>183</v>
      </c>
      <c r="B1" s="1003"/>
      <c r="C1" s="1003"/>
      <c r="D1" s="1003"/>
      <c r="E1" s="1003"/>
      <c r="F1" s="1003"/>
      <c r="G1" s="1003"/>
      <c r="H1" s="1003"/>
      <c r="I1" s="1003"/>
      <c r="J1" s="1003"/>
      <c r="K1" s="1003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4"/>
      <c r="DY1" s="74"/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4"/>
      <c r="EL1" s="74"/>
      <c r="EM1" s="74"/>
      <c r="EN1" s="74"/>
      <c r="EO1" s="74"/>
      <c r="EP1" s="74"/>
      <c r="EQ1" s="74"/>
      <c r="ER1" s="74"/>
      <c r="ES1" s="74"/>
      <c r="ET1" s="74"/>
      <c r="EU1" s="74"/>
      <c r="EV1" s="74"/>
      <c r="EW1" s="74"/>
      <c r="EX1" s="74"/>
      <c r="EY1" s="74"/>
      <c r="EZ1" s="74"/>
      <c r="FA1" s="74"/>
      <c r="FB1" s="74"/>
      <c r="FC1" s="74"/>
      <c r="FD1" s="74"/>
      <c r="FE1" s="74"/>
      <c r="FF1" s="74"/>
      <c r="FG1" s="74"/>
      <c r="FH1" s="74"/>
      <c r="FI1" s="74"/>
      <c r="FJ1" s="74"/>
      <c r="FK1" s="74"/>
      <c r="FL1" s="74"/>
      <c r="FM1" s="74"/>
      <c r="FN1" s="74"/>
      <c r="FO1" s="74"/>
      <c r="FP1" s="74"/>
      <c r="FQ1" s="74"/>
      <c r="FR1" s="74"/>
      <c r="FS1" s="74"/>
      <c r="FT1" s="74"/>
      <c r="FU1" s="74"/>
      <c r="FV1" s="74"/>
      <c r="FW1" s="74"/>
      <c r="FX1" s="74"/>
      <c r="FY1" s="74"/>
      <c r="FZ1" s="74"/>
      <c r="GA1" s="74"/>
      <c r="GB1" s="74"/>
      <c r="GC1" s="74"/>
      <c r="GD1" s="74"/>
      <c r="GE1" s="74"/>
      <c r="GF1" s="74"/>
      <c r="GG1" s="74"/>
      <c r="GH1" s="74"/>
      <c r="GI1" s="74"/>
      <c r="GJ1" s="74"/>
      <c r="GK1" s="74"/>
      <c r="GL1" s="74"/>
      <c r="GM1" s="74"/>
      <c r="GN1" s="74"/>
      <c r="GO1" s="74"/>
      <c r="GP1" s="74"/>
      <c r="GQ1" s="74"/>
      <c r="GR1" s="74"/>
      <c r="GS1" s="74"/>
      <c r="GT1" s="74"/>
      <c r="GU1" s="74"/>
      <c r="GV1" s="74"/>
      <c r="GW1" s="74"/>
      <c r="GX1" s="74"/>
      <c r="GY1" s="74"/>
      <c r="GZ1" s="74"/>
      <c r="HA1" s="74"/>
      <c r="HB1" s="74"/>
      <c r="HC1" s="74"/>
      <c r="HD1" s="74"/>
      <c r="HE1" s="74"/>
      <c r="HF1" s="74"/>
      <c r="HG1" s="74"/>
      <c r="HH1" s="74"/>
      <c r="HI1" s="74"/>
      <c r="HJ1" s="74"/>
      <c r="HK1" s="74"/>
      <c r="HL1" s="74"/>
      <c r="HM1" s="74"/>
      <c r="HN1" s="74"/>
      <c r="HO1" s="74"/>
      <c r="HP1" s="74"/>
      <c r="HQ1" s="74"/>
      <c r="HR1" s="74"/>
      <c r="HS1" s="74"/>
      <c r="HT1" s="74"/>
      <c r="HU1" s="74"/>
      <c r="HV1" s="74"/>
      <c r="HW1" s="74"/>
      <c r="HX1" s="74"/>
      <c r="HY1" s="74"/>
      <c r="HZ1" s="74"/>
      <c r="IA1" s="74"/>
      <c r="IB1" s="74"/>
      <c r="IC1" s="74"/>
      <c r="ID1" s="74"/>
      <c r="IE1" s="74"/>
      <c r="IF1" s="74"/>
      <c r="IG1" s="74"/>
      <c r="IH1" s="74"/>
      <c r="II1" s="74"/>
      <c r="IJ1" s="74"/>
      <c r="IK1" s="74"/>
      <c r="IL1" s="74"/>
      <c r="IM1" s="74"/>
      <c r="IN1" s="74"/>
      <c r="IO1" s="74"/>
      <c r="IP1" s="74"/>
      <c r="IQ1" s="74"/>
      <c r="IR1" s="74"/>
      <c r="IS1" s="74"/>
      <c r="IT1" s="74"/>
      <c r="IU1" s="74"/>
      <c r="IV1" s="74"/>
    </row>
    <row r="2" spans="1:256" s="598" customFormat="1" x14ac:dyDescent="0.25">
      <c r="A2" s="1003" t="s">
        <v>683</v>
      </c>
      <c r="B2" s="1003"/>
      <c r="C2" s="1003"/>
      <c r="D2" s="1003"/>
      <c r="E2" s="1003"/>
      <c r="F2" s="1003"/>
      <c r="G2" s="1003"/>
      <c r="H2" s="1003"/>
      <c r="I2" s="1003"/>
      <c r="J2" s="1003"/>
      <c r="K2" s="1003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  <c r="EL2" s="74"/>
      <c r="EM2" s="74"/>
      <c r="EN2" s="74"/>
      <c r="EO2" s="74"/>
      <c r="EP2" s="74"/>
      <c r="EQ2" s="74"/>
      <c r="ER2" s="74"/>
      <c r="ES2" s="74"/>
      <c r="ET2" s="74"/>
      <c r="EU2" s="74"/>
      <c r="EV2" s="74"/>
      <c r="EW2" s="74"/>
      <c r="EX2" s="74"/>
      <c r="EY2" s="74"/>
      <c r="EZ2" s="74"/>
      <c r="FA2" s="74"/>
      <c r="FB2" s="74"/>
      <c r="FC2" s="74"/>
      <c r="FD2" s="74"/>
      <c r="FE2" s="74"/>
      <c r="FF2" s="74"/>
      <c r="FG2" s="74"/>
      <c r="FH2" s="74"/>
      <c r="FI2" s="74"/>
      <c r="FJ2" s="74"/>
      <c r="FK2" s="74"/>
      <c r="FL2" s="74"/>
      <c r="FM2" s="74"/>
      <c r="FN2" s="74"/>
      <c r="FO2" s="74"/>
      <c r="FP2" s="74"/>
      <c r="FQ2" s="74"/>
      <c r="FR2" s="74"/>
      <c r="FS2" s="74"/>
      <c r="FT2" s="74"/>
      <c r="FU2" s="74"/>
      <c r="FV2" s="74"/>
      <c r="FW2" s="74"/>
      <c r="FX2" s="74"/>
      <c r="FY2" s="74"/>
      <c r="FZ2" s="74"/>
      <c r="GA2" s="74"/>
      <c r="GB2" s="74"/>
      <c r="GC2" s="74"/>
      <c r="GD2" s="74"/>
      <c r="GE2" s="74"/>
      <c r="GF2" s="74"/>
      <c r="GG2" s="74"/>
      <c r="GH2" s="74"/>
      <c r="GI2" s="74"/>
      <c r="GJ2" s="74"/>
      <c r="GK2" s="74"/>
      <c r="GL2" s="74"/>
      <c r="GM2" s="74"/>
      <c r="GN2" s="74"/>
      <c r="GO2" s="74"/>
      <c r="GP2" s="74"/>
      <c r="GQ2" s="74"/>
      <c r="GR2" s="74"/>
      <c r="GS2" s="74"/>
      <c r="GT2" s="74"/>
      <c r="GU2" s="74"/>
      <c r="GV2" s="74"/>
      <c r="GW2" s="74"/>
      <c r="GX2" s="74"/>
      <c r="GY2" s="74"/>
      <c r="GZ2" s="74"/>
      <c r="HA2" s="74"/>
      <c r="HB2" s="74"/>
      <c r="HC2" s="74"/>
      <c r="HD2" s="74"/>
      <c r="HE2" s="74"/>
      <c r="HF2" s="74"/>
      <c r="HG2" s="74"/>
      <c r="HH2" s="74"/>
      <c r="HI2" s="74"/>
      <c r="HJ2" s="74"/>
      <c r="HK2" s="74"/>
      <c r="HL2" s="74"/>
      <c r="HM2" s="74"/>
      <c r="HN2" s="74"/>
      <c r="HO2" s="74"/>
      <c r="HP2" s="74"/>
      <c r="HQ2" s="74"/>
      <c r="HR2" s="74"/>
      <c r="HS2" s="74"/>
      <c r="HT2" s="74"/>
      <c r="HU2" s="74"/>
      <c r="HV2" s="74"/>
      <c r="HW2" s="74"/>
      <c r="HX2" s="74"/>
      <c r="HY2" s="74"/>
      <c r="HZ2" s="74"/>
      <c r="IA2" s="74"/>
      <c r="IB2" s="74"/>
      <c r="IC2" s="74"/>
      <c r="ID2" s="74"/>
      <c r="IE2" s="74"/>
      <c r="IF2" s="74"/>
      <c r="IG2" s="74"/>
      <c r="IH2" s="74"/>
      <c r="II2" s="74"/>
      <c r="IJ2" s="74"/>
      <c r="IK2" s="74"/>
      <c r="IL2" s="74"/>
      <c r="IM2" s="74"/>
      <c r="IN2" s="74"/>
      <c r="IO2" s="74"/>
      <c r="IP2" s="74"/>
      <c r="IQ2" s="74"/>
      <c r="IR2" s="74"/>
      <c r="IS2" s="74"/>
      <c r="IT2" s="74"/>
      <c r="IU2" s="74"/>
      <c r="IV2" s="74"/>
    </row>
    <row r="3" spans="1:256" s="598" customFormat="1" x14ac:dyDescent="0.25">
      <c r="A3" s="1003" t="s">
        <v>983</v>
      </c>
      <c r="B3" s="1003"/>
      <c r="C3" s="1003"/>
      <c r="D3" s="1003"/>
      <c r="E3" s="1003"/>
      <c r="F3" s="1003"/>
      <c r="G3" s="1003"/>
      <c r="H3" s="1003"/>
      <c r="I3" s="1003"/>
      <c r="J3" s="1003"/>
      <c r="K3" s="1003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4"/>
      <c r="CN3" s="74"/>
      <c r="CO3" s="74"/>
      <c r="CP3" s="74"/>
      <c r="CQ3" s="74"/>
      <c r="CR3" s="74"/>
      <c r="CS3" s="74"/>
      <c r="CT3" s="74"/>
      <c r="CU3" s="74"/>
      <c r="CV3" s="74"/>
      <c r="CW3" s="74"/>
      <c r="CX3" s="74"/>
      <c r="CY3" s="74"/>
      <c r="CZ3" s="74"/>
      <c r="DA3" s="74"/>
      <c r="DB3" s="74"/>
      <c r="DC3" s="74"/>
      <c r="DD3" s="74"/>
      <c r="DE3" s="74"/>
      <c r="DF3" s="74"/>
      <c r="DG3" s="74"/>
      <c r="DH3" s="74"/>
      <c r="DI3" s="74"/>
      <c r="DJ3" s="74"/>
      <c r="DK3" s="74"/>
      <c r="DL3" s="74"/>
      <c r="DM3" s="74"/>
      <c r="DN3" s="74"/>
      <c r="DO3" s="74"/>
      <c r="DP3" s="74"/>
      <c r="DQ3" s="74"/>
      <c r="DR3" s="74"/>
      <c r="DS3" s="74"/>
      <c r="DT3" s="74"/>
      <c r="DU3" s="74"/>
      <c r="DV3" s="74"/>
      <c r="DW3" s="74"/>
      <c r="DX3" s="74"/>
      <c r="DY3" s="74"/>
      <c r="DZ3" s="74"/>
      <c r="EA3" s="74"/>
      <c r="EB3" s="74"/>
      <c r="EC3" s="74"/>
      <c r="ED3" s="74"/>
      <c r="EE3" s="74"/>
      <c r="EF3" s="74"/>
      <c r="EG3" s="74"/>
      <c r="EH3" s="74"/>
      <c r="EI3" s="74"/>
      <c r="EJ3" s="74"/>
      <c r="EK3" s="74"/>
      <c r="EL3" s="74"/>
      <c r="EM3" s="74"/>
      <c r="EN3" s="74"/>
      <c r="EO3" s="74"/>
      <c r="EP3" s="74"/>
      <c r="EQ3" s="74"/>
      <c r="ER3" s="74"/>
      <c r="ES3" s="74"/>
      <c r="ET3" s="74"/>
      <c r="EU3" s="74"/>
      <c r="EV3" s="74"/>
      <c r="EW3" s="74"/>
      <c r="EX3" s="74"/>
      <c r="EY3" s="74"/>
      <c r="EZ3" s="74"/>
      <c r="FA3" s="74"/>
      <c r="FB3" s="74"/>
      <c r="FC3" s="74"/>
      <c r="FD3" s="74"/>
      <c r="FE3" s="74"/>
      <c r="FF3" s="74"/>
      <c r="FG3" s="74"/>
      <c r="FH3" s="74"/>
      <c r="FI3" s="74"/>
      <c r="FJ3" s="74"/>
      <c r="FK3" s="74"/>
      <c r="FL3" s="74"/>
      <c r="FM3" s="74"/>
      <c r="FN3" s="74"/>
      <c r="FO3" s="74"/>
      <c r="FP3" s="74"/>
      <c r="FQ3" s="74"/>
      <c r="FR3" s="74"/>
      <c r="FS3" s="74"/>
      <c r="FT3" s="74"/>
      <c r="FU3" s="74"/>
      <c r="FV3" s="74"/>
      <c r="FW3" s="74"/>
      <c r="FX3" s="74"/>
      <c r="FY3" s="74"/>
      <c r="FZ3" s="74"/>
      <c r="GA3" s="74"/>
      <c r="GB3" s="74"/>
      <c r="GC3" s="74"/>
      <c r="GD3" s="74"/>
      <c r="GE3" s="74"/>
      <c r="GF3" s="74"/>
      <c r="GG3" s="74"/>
      <c r="GH3" s="74"/>
      <c r="GI3" s="74"/>
      <c r="GJ3" s="74"/>
      <c r="GK3" s="74"/>
      <c r="GL3" s="74"/>
      <c r="GM3" s="74"/>
      <c r="GN3" s="74"/>
      <c r="GO3" s="74"/>
      <c r="GP3" s="74"/>
      <c r="GQ3" s="74"/>
      <c r="GR3" s="74"/>
      <c r="GS3" s="74"/>
      <c r="GT3" s="74"/>
      <c r="GU3" s="74"/>
      <c r="GV3" s="74"/>
      <c r="GW3" s="74"/>
      <c r="GX3" s="74"/>
      <c r="GY3" s="74"/>
      <c r="GZ3" s="74"/>
      <c r="HA3" s="74"/>
      <c r="HB3" s="74"/>
      <c r="HC3" s="74"/>
      <c r="HD3" s="74"/>
      <c r="HE3" s="74"/>
      <c r="HF3" s="74"/>
      <c r="HG3" s="74"/>
      <c r="HH3" s="74"/>
      <c r="HI3" s="74"/>
      <c r="HJ3" s="74"/>
      <c r="HK3" s="74"/>
      <c r="HL3" s="74"/>
      <c r="HM3" s="74"/>
      <c r="HN3" s="74"/>
      <c r="HO3" s="74"/>
      <c r="HP3" s="74"/>
      <c r="HQ3" s="74"/>
      <c r="HR3" s="74"/>
      <c r="HS3" s="74"/>
      <c r="HT3" s="74"/>
      <c r="HU3" s="74"/>
      <c r="HV3" s="74"/>
      <c r="HW3" s="74"/>
      <c r="HX3" s="74"/>
      <c r="HY3" s="74"/>
      <c r="HZ3" s="74"/>
      <c r="IA3" s="74"/>
      <c r="IB3" s="74"/>
      <c r="IC3" s="74"/>
      <c r="ID3" s="74"/>
      <c r="IE3" s="74"/>
      <c r="IF3" s="74"/>
      <c r="IG3" s="74"/>
      <c r="IH3" s="74"/>
      <c r="II3" s="74"/>
      <c r="IJ3" s="74"/>
      <c r="IK3" s="74"/>
      <c r="IL3" s="74"/>
      <c r="IM3" s="74"/>
      <c r="IN3" s="74"/>
      <c r="IO3" s="74"/>
      <c r="IP3" s="74"/>
      <c r="IQ3" s="74"/>
      <c r="IR3" s="74"/>
      <c r="IS3" s="74"/>
      <c r="IT3" s="74"/>
      <c r="IU3" s="74"/>
      <c r="IV3" s="74"/>
    </row>
    <row r="5" spans="1:256" ht="16.5" thickBot="1" x14ac:dyDescent="0.3"/>
    <row r="6" spans="1:256" ht="87" customHeight="1" thickTop="1" thickBot="1" x14ac:dyDescent="0.3">
      <c r="A6" s="1009" t="s">
        <v>137</v>
      </c>
      <c r="B6" s="1009" t="s">
        <v>154</v>
      </c>
      <c r="C6" s="997" t="s">
        <v>22</v>
      </c>
      <c r="D6" s="998"/>
      <c r="E6" s="999"/>
      <c r="F6" s="997" t="s">
        <v>23</v>
      </c>
      <c r="G6" s="998"/>
      <c r="H6" s="999"/>
      <c r="I6" s="994" t="s">
        <v>144</v>
      </c>
      <c r="J6" s="995"/>
      <c r="K6" s="996"/>
    </row>
    <row r="7" spans="1:256" ht="33" customHeight="1" thickTop="1" thickBot="1" x14ac:dyDescent="0.3">
      <c r="A7" s="1010"/>
      <c r="B7" s="1010"/>
      <c r="C7" s="579" t="s">
        <v>363</v>
      </c>
      <c r="D7" s="579" t="s">
        <v>364</v>
      </c>
      <c r="E7" s="579" t="s">
        <v>900</v>
      </c>
      <c r="F7" s="579" t="s">
        <v>363</v>
      </c>
      <c r="G7" s="579" t="s">
        <v>364</v>
      </c>
      <c r="H7" s="579" t="s">
        <v>900</v>
      </c>
      <c r="I7" s="579" t="s">
        <v>363</v>
      </c>
      <c r="J7" s="579" t="s">
        <v>364</v>
      </c>
      <c r="K7" s="579" t="s">
        <v>900</v>
      </c>
    </row>
    <row r="8" spans="1:256" ht="17.25" thickTop="1" thickBot="1" x14ac:dyDescent="0.3">
      <c r="A8" s="342" t="s">
        <v>138</v>
      </c>
      <c r="B8" s="343"/>
      <c r="C8" s="577" t="s">
        <v>185</v>
      </c>
      <c r="D8" s="577" t="s">
        <v>365</v>
      </c>
      <c r="E8" s="577" t="s">
        <v>366</v>
      </c>
      <c r="F8" s="578" t="s">
        <v>186</v>
      </c>
      <c r="G8" s="578" t="s">
        <v>367</v>
      </c>
      <c r="H8" s="578" t="s">
        <v>368</v>
      </c>
      <c r="I8" s="576" t="s">
        <v>371</v>
      </c>
      <c r="J8" s="576" t="s">
        <v>372</v>
      </c>
      <c r="K8" s="576" t="s">
        <v>373</v>
      </c>
    </row>
    <row r="9" spans="1:256" ht="32.25" thickTop="1" x14ac:dyDescent="0.25">
      <c r="A9" s="15" t="s">
        <v>188</v>
      </c>
      <c r="B9" s="68" t="s">
        <v>191</v>
      </c>
      <c r="C9" s="69">
        <v>18386</v>
      </c>
      <c r="D9" s="65">
        <f>-3122+2947</f>
        <v>-175</v>
      </c>
      <c r="E9" s="65">
        <f>SUM(C9:D9)</f>
        <v>18211</v>
      </c>
      <c r="F9" s="6">
        <v>0</v>
      </c>
      <c r="G9" s="6"/>
      <c r="H9" s="6">
        <f>SUM(F9:G9)</f>
        <v>0</v>
      </c>
      <c r="I9" s="3">
        <f>SUM(F9+C9)</f>
        <v>18386</v>
      </c>
      <c r="J9" s="3">
        <f t="shared" ref="J9:K11" si="0">SUM(G9+D9)</f>
        <v>-175</v>
      </c>
      <c r="K9" s="3">
        <f t="shared" si="0"/>
        <v>18211</v>
      </c>
    </row>
    <row r="10" spans="1:256" ht="31.5" x14ac:dyDescent="0.25">
      <c r="A10" s="15" t="s">
        <v>319</v>
      </c>
      <c r="B10" s="15" t="s">
        <v>192</v>
      </c>
      <c r="C10" s="6">
        <v>1899572</v>
      </c>
      <c r="D10" s="6">
        <f>85972+33638</f>
        <v>119610</v>
      </c>
      <c r="E10" s="6">
        <f>SUM(C10:D10)</f>
        <v>2019182</v>
      </c>
      <c r="F10" s="6">
        <v>0</v>
      </c>
      <c r="G10" s="6"/>
      <c r="H10" s="6">
        <f>SUM(F10:G10)</f>
        <v>0</v>
      </c>
      <c r="I10" s="3">
        <f>SUM(F10+C10)</f>
        <v>1899572</v>
      </c>
      <c r="J10" s="3">
        <f t="shared" si="0"/>
        <v>119610</v>
      </c>
      <c r="K10" s="3">
        <f t="shared" si="0"/>
        <v>2019182</v>
      </c>
    </row>
    <row r="11" spans="1:256" ht="47.25" x14ac:dyDescent="0.25">
      <c r="A11" s="118" t="s">
        <v>315</v>
      </c>
      <c r="B11" s="15" t="s">
        <v>193</v>
      </c>
      <c r="C11" s="6">
        <v>1912983</v>
      </c>
      <c r="D11" s="6">
        <f>5033+140782+9302+15334+1157</f>
        <v>171608</v>
      </c>
      <c r="E11" s="6">
        <f>SUM(C11:D11)</f>
        <v>2084591</v>
      </c>
      <c r="F11" s="6">
        <v>0</v>
      </c>
      <c r="G11" s="6"/>
      <c r="H11" s="6">
        <f t="shared" ref="H11:H16" si="1">SUM(F11:G11)</f>
        <v>0</v>
      </c>
      <c r="I11" s="3">
        <f>SUM(F11+C11)</f>
        <v>1912983</v>
      </c>
      <c r="J11" s="3">
        <f t="shared" si="0"/>
        <v>171608</v>
      </c>
      <c r="K11" s="3">
        <f t="shared" si="0"/>
        <v>2084591</v>
      </c>
    </row>
    <row r="12" spans="1:256" ht="31.5" x14ac:dyDescent="0.25">
      <c r="A12" s="15" t="s">
        <v>189</v>
      </c>
      <c r="B12" s="15" t="s">
        <v>194</v>
      </c>
      <c r="C12" s="6">
        <v>912567</v>
      </c>
      <c r="D12" s="6">
        <f>11381+8293</f>
        <v>19674</v>
      </c>
      <c r="E12" s="6">
        <f t="shared" ref="E12:E16" si="2">SUM(C12:D12)</f>
        <v>932241</v>
      </c>
      <c r="F12" s="6">
        <v>0</v>
      </c>
      <c r="G12" s="6"/>
      <c r="H12" s="6">
        <f t="shared" si="1"/>
        <v>0</v>
      </c>
      <c r="I12" s="3">
        <f>SUM(C12+F12)</f>
        <v>912567</v>
      </c>
      <c r="J12" s="3">
        <f t="shared" ref="J12:K16" si="3">SUM(D12+G12)</f>
        <v>19674</v>
      </c>
      <c r="K12" s="3">
        <f t="shared" si="3"/>
        <v>932241</v>
      </c>
    </row>
    <row r="13" spans="1:256" ht="31.5" x14ac:dyDescent="0.25">
      <c r="A13" s="15" t="s">
        <v>24</v>
      </c>
      <c r="B13" s="15"/>
      <c r="C13" s="6">
        <v>231000</v>
      </c>
      <c r="D13" s="6"/>
      <c r="E13" s="6">
        <f t="shared" si="2"/>
        <v>231000</v>
      </c>
      <c r="F13" s="6">
        <v>0</v>
      </c>
      <c r="G13" s="6"/>
      <c r="H13" s="6">
        <f t="shared" si="1"/>
        <v>0</v>
      </c>
      <c r="I13" s="3">
        <f>SUM(C13+F13)</f>
        <v>231000</v>
      </c>
      <c r="J13" s="3">
        <f t="shared" si="3"/>
        <v>0</v>
      </c>
      <c r="K13" s="3">
        <f t="shared" si="3"/>
        <v>231000</v>
      </c>
    </row>
    <row r="14" spans="1:256" ht="31.5" x14ac:dyDescent="0.25">
      <c r="A14" s="15" t="s">
        <v>25</v>
      </c>
      <c r="B14" s="15"/>
      <c r="C14" s="6">
        <v>176100</v>
      </c>
      <c r="D14" s="6"/>
      <c r="E14" s="6">
        <f t="shared" si="2"/>
        <v>176100</v>
      </c>
      <c r="F14" s="6">
        <v>0</v>
      </c>
      <c r="G14" s="6"/>
      <c r="H14" s="6">
        <f t="shared" si="1"/>
        <v>0</v>
      </c>
      <c r="I14" s="3">
        <f>SUM(C14+F14)</f>
        <v>176100</v>
      </c>
      <c r="J14" s="3">
        <f t="shared" si="3"/>
        <v>0</v>
      </c>
      <c r="K14" s="3">
        <f t="shared" si="3"/>
        <v>176100</v>
      </c>
    </row>
    <row r="15" spans="1:256" x14ac:dyDescent="0.25">
      <c r="A15" s="15" t="s">
        <v>26</v>
      </c>
      <c r="B15" s="15"/>
      <c r="C15" s="6">
        <v>301800</v>
      </c>
      <c r="D15" s="6"/>
      <c r="E15" s="6">
        <f t="shared" si="2"/>
        <v>301800</v>
      </c>
      <c r="F15" s="6">
        <v>0</v>
      </c>
      <c r="G15" s="6"/>
      <c r="H15" s="6">
        <f t="shared" si="1"/>
        <v>0</v>
      </c>
      <c r="I15" s="3">
        <f>SUM(C15+F15)</f>
        <v>301800</v>
      </c>
      <c r="J15" s="3">
        <f t="shared" si="3"/>
        <v>0</v>
      </c>
      <c r="K15" s="3">
        <f t="shared" si="3"/>
        <v>301800</v>
      </c>
    </row>
    <row r="16" spans="1:256" ht="42" customHeight="1" x14ac:dyDescent="0.25">
      <c r="A16" s="15" t="s">
        <v>320</v>
      </c>
      <c r="B16" s="15" t="s">
        <v>1121</v>
      </c>
      <c r="C16" s="6">
        <v>258248</v>
      </c>
      <c r="D16" s="6">
        <f>1-1</f>
        <v>0</v>
      </c>
      <c r="E16" s="6">
        <f t="shared" si="2"/>
        <v>258248</v>
      </c>
      <c r="F16" s="6">
        <v>0</v>
      </c>
      <c r="G16" s="6"/>
      <c r="H16" s="6">
        <f t="shared" si="1"/>
        <v>0</v>
      </c>
      <c r="I16" s="3">
        <f>SUM(C16+F16)</f>
        <v>258248</v>
      </c>
      <c r="J16" s="3">
        <f t="shared" si="3"/>
        <v>0</v>
      </c>
      <c r="K16" s="3">
        <f t="shared" si="3"/>
        <v>258248</v>
      </c>
    </row>
    <row r="17" spans="1:11" s="345" customFormat="1" ht="31.5" x14ac:dyDescent="0.25">
      <c r="A17" s="344" t="s">
        <v>190</v>
      </c>
      <c r="B17" s="344" t="s">
        <v>195</v>
      </c>
      <c r="C17" s="8">
        <f t="shared" ref="C17:K17" si="4">SUM(C9:C11,C12,C16)</f>
        <v>5001756</v>
      </c>
      <c r="D17" s="8">
        <f t="shared" si="4"/>
        <v>310717</v>
      </c>
      <c r="E17" s="8">
        <f t="shared" si="4"/>
        <v>5312473</v>
      </c>
      <c r="F17" s="8">
        <f t="shared" si="4"/>
        <v>0</v>
      </c>
      <c r="G17" s="8">
        <f t="shared" si="4"/>
        <v>0</v>
      </c>
      <c r="H17" s="8">
        <f t="shared" si="4"/>
        <v>0</v>
      </c>
      <c r="I17" s="8">
        <f t="shared" si="4"/>
        <v>5001756</v>
      </c>
      <c r="J17" s="8">
        <f t="shared" si="4"/>
        <v>310717</v>
      </c>
      <c r="K17" s="8">
        <f t="shared" si="4"/>
        <v>5312473</v>
      </c>
    </row>
    <row r="18" spans="1:11" s="345" customFormat="1" ht="31.5" x14ac:dyDescent="0.25">
      <c r="A18" s="344" t="s">
        <v>227</v>
      </c>
      <c r="B18" s="344" t="s">
        <v>228</v>
      </c>
      <c r="C18" s="8">
        <v>69090</v>
      </c>
      <c r="D18" s="8">
        <v>184422</v>
      </c>
      <c r="E18" s="8">
        <f>SUM(C18:D18)</f>
        <v>253512</v>
      </c>
      <c r="F18" s="8">
        <v>1396396</v>
      </c>
      <c r="G18" s="8">
        <v>274902</v>
      </c>
      <c r="H18" s="8">
        <f>SUM(F18:G18)</f>
        <v>1671298</v>
      </c>
      <c r="I18" s="8">
        <f>SUM(C18+F18)</f>
        <v>1465486</v>
      </c>
      <c r="J18" s="8">
        <f>SUM(D18+G18)</f>
        <v>459324</v>
      </c>
      <c r="K18" s="8">
        <f>SUM(E18+H18)</f>
        <v>1924810</v>
      </c>
    </row>
    <row r="19" spans="1:11" ht="31.5" x14ac:dyDescent="0.25">
      <c r="A19" s="346" t="s">
        <v>229</v>
      </c>
      <c r="B19" s="346" t="s">
        <v>165</v>
      </c>
      <c r="C19" s="3">
        <f>SUM(C17+C18)</f>
        <v>5070846</v>
      </c>
      <c r="D19" s="3">
        <f t="shared" ref="D19:H19" si="5">SUM(D17+D18)</f>
        <v>495139</v>
      </c>
      <c r="E19" s="3">
        <f t="shared" si="5"/>
        <v>5565985</v>
      </c>
      <c r="F19" s="3">
        <f>SUM(F17+F18)</f>
        <v>1396396</v>
      </c>
      <c r="G19" s="3">
        <f t="shared" si="5"/>
        <v>274902</v>
      </c>
      <c r="H19" s="3">
        <f t="shared" si="5"/>
        <v>1671298</v>
      </c>
      <c r="I19" s="3">
        <f>SUM(I17+I18)</f>
        <v>6467242</v>
      </c>
      <c r="J19" s="3">
        <f t="shared" ref="J19:K19" si="6">SUM(J17+J18)</f>
        <v>770041</v>
      </c>
      <c r="K19" s="3">
        <f t="shared" si="6"/>
        <v>7237283</v>
      </c>
    </row>
    <row r="20" spans="1:11" s="348" customFormat="1" ht="31.5" x14ac:dyDescent="0.25">
      <c r="A20" s="344" t="s">
        <v>230</v>
      </c>
      <c r="B20" s="347" t="s">
        <v>196</v>
      </c>
      <c r="C20" s="92">
        <v>30000</v>
      </c>
      <c r="D20" s="92">
        <v>4000</v>
      </c>
      <c r="E20" s="92">
        <f>SUM(C20:D20)</f>
        <v>34000</v>
      </c>
      <c r="F20" s="92">
        <v>0</v>
      </c>
      <c r="G20" s="92"/>
      <c r="H20" s="92">
        <f>SUM(F20:G20)</f>
        <v>0</v>
      </c>
      <c r="I20" s="8">
        <f>SUM(C20+F20)</f>
        <v>30000</v>
      </c>
      <c r="J20" s="8">
        <f t="shared" ref="J20:K21" si="7">SUM(D20+G20)</f>
        <v>4000</v>
      </c>
      <c r="K20" s="8">
        <f t="shared" si="7"/>
        <v>34000</v>
      </c>
    </row>
    <row r="21" spans="1:11" s="348" customFormat="1" ht="31.5" x14ac:dyDescent="0.25">
      <c r="A21" s="344" t="s">
        <v>232</v>
      </c>
      <c r="B21" s="347" t="s">
        <v>231</v>
      </c>
      <c r="C21" s="92">
        <v>16700532</v>
      </c>
      <c r="D21" s="92">
        <v>714608</v>
      </c>
      <c r="E21" s="92">
        <f>SUM(C21:D21)</f>
        <v>17415140</v>
      </c>
      <c r="F21" s="92">
        <v>0</v>
      </c>
      <c r="G21" s="92">
        <v>29975</v>
      </c>
      <c r="H21" s="92">
        <f>SUM(F21:G21)</f>
        <v>29975</v>
      </c>
      <c r="I21" s="8">
        <f>SUM(C21+F21)</f>
        <v>16700532</v>
      </c>
      <c r="J21" s="8">
        <f t="shared" si="7"/>
        <v>744583</v>
      </c>
      <c r="K21" s="8">
        <f t="shared" si="7"/>
        <v>17445115</v>
      </c>
    </row>
    <row r="22" spans="1:11" s="350" customFormat="1" ht="31.5" x14ac:dyDescent="0.25">
      <c r="A22" s="346" t="s">
        <v>233</v>
      </c>
      <c r="B22" s="349" t="s">
        <v>166</v>
      </c>
      <c r="C22" s="23">
        <f>SUM(C20+C21)</f>
        <v>16730532</v>
      </c>
      <c r="D22" s="23">
        <f t="shared" ref="D22:H22" si="8">SUM(D20+D21)</f>
        <v>718608</v>
      </c>
      <c r="E22" s="23">
        <f t="shared" si="8"/>
        <v>17449140</v>
      </c>
      <c r="F22" s="23">
        <f>SUM(F20+F21)</f>
        <v>0</v>
      </c>
      <c r="G22" s="23">
        <f t="shared" si="8"/>
        <v>29975</v>
      </c>
      <c r="H22" s="23">
        <f t="shared" si="8"/>
        <v>29975</v>
      </c>
      <c r="I22" s="23">
        <f>SUM(I20+I21)</f>
        <v>16730532</v>
      </c>
      <c r="J22" s="23">
        <f t="shared" ref="J22:K22" si="9">SUM(J20+J21)</f>
        <v>748583</v>
      </c>
      <c r="K22" s="23">
        <f t="shared" si="9"/>
        <v>17479115</v>
      </c>
    </row>
    <row r="23" spans="1:11" ht="31.5" x14ac:dyDescent="0.25">
      <c r="A23" s="586" t="s">
        <v>1126</v>
      </c>
      <c r="B23" s="15" t="s">
        <v>1122</v>
      </c>
      <c r="C23" s="2">
        <v>0</v>
      </c>
      <c r="D23" s="2">
        <v>193</v>
      </c>
      <c r="E23" s="2">
        <f>SUM(C23:D23)</f>
        <v>193</v>
      </c>
      <c r="F23" s="2">
        <v>0</v>
      </c>
      <c r="G23" s="2"/>
      <c r="H23" s="2">
        <f>SUM(F23:G23)</f>
        <v>0</v>
      </c>
      <c r="I23" s="3">
        <f>SUM(F23+C23)</f>
        <v>0</v>
      </c>
      <c r="J23" s="3">
        <f t="shared" ref="J23" si="10">SUM(G23+D23)</f>
        <v>193</v>
      </c>
      <c r="K23" s="3">
        <f t="shared" ref="K23" si="11">SUM(H23+E23)</f>
        <v>193</v>
      </c>
    </row>
    <row r="24" spans="1:11" x14ac:dyDescent="0.25">
      <c r="A24" s="15" t="s">
        <v>573</v>
      </c>
      <c r="B24" s="15" t="s">
        <v>197</v>
      </c>
      <c r="C24" s="2">
        <v>2000000</v>
      </c>
      <c r="D24" s="2">
        <v>-80926</v>
      </c>
      <c r="E24" s="2">
        <f>SUM(C24:D24)</f>
        <v>1919074</v>
      </c>
      <c r="F24" s="2">
        <v>0</v>
      </c>
      <c r="G24" s="2"/>
      <c r="H24" s="2">
        <f>SUM(F24:G24)</f>
        <v>0</v>
      </c>
      <c r="I24" s="3">
        <f>SUM(F24+C24)</f>
        <v>2000000</v>
      </c>
      <c r="J24" s="3">
        <f t="shared" ref="J24:K24" si="12">SUM(G24+D24)</f>
        <v>-80926</v>
      </c>
      <c r="K24" s="3">
        <f t="shared" si="12"/>
        <v>1919074</v>
      </c>
    </row>
    <row r="25" spans="1:11" s="345" customFormat="1" x14ac:dyDescent="0.25">
      <c r="A25" s="344" t="s">
        <v>574</v>
      </c>
      <c r="B25" s="344" t="s">
        <v>197</v>
      </c>
      <c r="C25" s="8">
        <f>SUM(C24:C24)</f>
        <v>2000000</v>
      </c>
      <c r="D25" s="8">
        <f>SUM(D24:D24)</f>
        <v>-80926</v>
      </c>
      <c r="E25" s="8">
        <f t="shared" ref="E25:H25" si="13">SUM(E24:E24)</f>
        <v>1919074</v>
      </c>
      <c r="F25" s="8">
        <f>SUM(F24:F24)</f>
        <v>0</v>
      </c>
      <c r="G25" s="8">
        <f t="shared" si="13"/>
        <v>0</v>
      </c>
      <c r="H25" s="8">
        <f t="shared" si="13"/>
        <v>0</v>
      </c>
      <c r="I25" s="8">
        <f>SUM(I24:I24)</f>
        <v>2000000</v>
      </c>
      <c r="J25" s="8">
        <f t="shared" ref="J25:K25" si="14">SUM(J24:J24)</f>
        <v>-80926</v>
      </c>
      <c r="K25" s="8">
        <f t="shared" si="14"/>
        <v>1919074</v>
      </c>
    </row>
    <row r="26" spans="1:11" x14ac:dyDescent="0.25">
      <c r="A26" s="15" t="s">
        <v>575</v>
      </c>
      <c r="B26" s="15" t="s">
        <v>198</v>
      </c>
      <c r="C26" s="2">
        <v>19000000</v>
      </c>
      <c r="D26" s="2">
        <v>582545</v>
      </c>
      <c r="E26" s="2">
        <f>SUM(C26:D26)</f>
        <v>19582545</v>
      </c>
      <c r="F26" s="2">
        <v>0</v>
      </c>
      <c r="G26" s="2"/>
      <c r="H26" s="2">
        <f>SUM(F26:G26)</f>
        <v>0</v>
      </c>
      <c r="I26" s="3">
        <f>SUM(F26+C26)</f>
        <v>19000000</v>
      </c>
      <c r="J26" s="3">
        <f t="shared" ref="J26:K26" si="15">SUM(G26+D26)</f>
        <v>582545</v>
      </c>
      <c r="K26" s="3">
        <f t="shared" si="15"/>
        <v>19582545</v>
      </c>
    </row>
    <row r="27" spans="1:11" s="348" customFormat="1" x14ac:dyDescent="0.25">
      <c r="A27" s="344" t="s">
        <v>576</v>
      </c>
      <c r="B27" s="344" t="s">
        <v>198</v>
      </c>
      <c r="C27" s="8">
        <f>SUM(C26)</f>
        <v>19000000</v>
      </c>
      <c r="D27" s="8">
        <f t="shared" ref="D27:H27" si="16">SUM(D26)</f>
        <v>582545</v>
      </c>
      <c r="E27" s="8">
        <f t="shared" si="16"/>
        <v>19582545</v>
      </c>
      <c r="F27" s="8">
        <f>SUM(F26)</f>
        <v>0</v>
      </c>
      <c r="G27" s="8">
        <f t="shared" si="16"/>
        <v>0</v>
      </c>
      <c r="H27" s="8">
        <f t="shared" si="16"/>
        <v>0</v>
      </c>
      <c r="I27" s="8">
        <f>SUM(I26)</f>
        <v>19000000</v>
      </c>
      <c r="J27" s="8">
        <f t="shared" ref="J27:K27" si="17">SUM(J26)</f>
        <v>582545</v>
      </c>
      <c r="K27" s="8">
        <f t="shared" si="17"/>
        <v>19582545</v>
      </c>
    </row>
    <row r="28" spans="1:11" s="348" customFormat="1" x14ac:dyDescent="0.25">
      <c r="A28" s="344" t="s">
        <v>577</v>
      </c>
      <c r="B28" s="344" t="s">
        <v>199</v>
      </c>
      <c r="C28" s="8">
        <v>420000</v>
      </c>
      <c r="D28" s="8">
        <v>-109</v>
      </c>
      <c r="E28" s="8">
        <f>SUM(C28:D28)</f>
        <v>419891</v>
      </c>
      <c r="F28" s="14">
        <v>0</v>
      </c>
      <c r="G28" s="14"/>
      <c r="H28" s="14">
        <f>SUM(F28:G28)</f>
        <v>0</v>
      </c>
      <c r="I28" s="8">
        <f>SUM(F28+C28)</f>
        <v>420000</v>
      </c>
      <c r="J28" s="8">
        <f t="shared" ref="J28:K29" si="18">SUM(G28+D28)</f>
        <v>-109</v>
      </c>
      <c r="K28" s="8">
        <f t="shared" si="18"/>
        <v>419891</v>
      </c>
    </row>
    <row r="29" spans="1:11" x14ac:dyDescent="0.25">
      <c r="A29" s="15" t="s">
        <v>578</v>
      </c>
      <c r="B29" s="15" t="s">
        <v>200</v>
      </c>
      <c r="C29" s="2">
        <v>60000</v>
      </c>
      <c r="D29" s="2">
        <v>6484</v>
      </c>
      <c r="E29" s="2">
        <f>SUM(C29:D29)</f>
        <v>66484</v>
      </c>
      <c r="F29" s="2"/>
      <c r="G29" s="2"/>
      <c r="H29" s="2">
        <f>SUM(F29:G29)</f>
        <v>0</v>
      </c>
      <c r="I29" s="3">
        <f>SUM(F29+C29)</f>
        <v>60000</v>
      </c>
      <c r="J29" s="3">
        <f t="shared" si="18"/>
        <v>6484</v>
      </c>
      <c r="K29" s="3">
        <f t="shared" si="18"/>
        <v>66484</v>
      </c>
    </row>
    <row r="30" spans="1:11" s="348" customFormat="1" ht="31.5" x14ac:dyDescent="0.25">
      <c r="A30" s="344" t="s">
        <v>579</v>
      </c>
      <c r="B30" s="344" t="s">
        <v>200</v>
      </c>
      <c r="C30" s="8">
        <f>SUM(C29:C29)</f>
        <v>60000</v>
      </c>
      <c r="D30" s="8">
        <f t="shared" ref="D30:K30" si="19">SUM(D29:D29)</f>
        <v>6484</v>
      </c>
      <c r="E30" s="8">
        <f t="shared" si="19"/>
        <v>66484</v>
      </c>
      <c r="F30" s="8">
        <f>SUM(F29:F29)</f>
        <v>0</v>
      </c>
      <c r="G30" s="8">
        <f t="shared" si="19"/>
        <v>0</v>
      </c>
      <c r="H30" s="8">
        <f t="shared" si="19"/>
        <v>0</v>
      </c>
      <c r="I30" s="8">
        <f t="shared" si="19"/>
        <v>60000</v>
      </c>
      <c r="J30" s="8">
        <f t="shared" si="19"/>
        <v>6484</v>
      </c>
      <c r="K30" s="8">
        <f t="shared" si="19"/>
        <v>66484</v>
      </c>
    </row>
    <row r="31" spans="1:11" s="348" customFormat="1" ht="31.5" x14ac:dyDescent="0.25">
      <c r="A31" s="344" t="s">
        <v>580</v>
      </c>
      <c r="B31" s="344" t="s">
        <v>201</v>
      </c>
      <c r="C31" s="8">
        <f>SUM(C30+C28+C27)</f>
        <v>19480000</v>
      </c>
      <c r="D31" s="8">
        <f t="shared" ref="D31:K31" si="20">SUM(D30+D28+D27)</f>
        <v>588920</v>
      </c>
      <c r="E31" s="8">
        <f t="shared" si="20"/>
        <v>20068920</v>
      </c>
      <c r="F31" s="8">
        <f>SUM(F30+F28+F27)</f>
        <v>0</v>
      </c>
      <c r="G31" s="8">
        <f t="shared" si="20"/>
        <v>0</v>
      </c>
      <c r="H31" s="8">
        <f t="shared" si="20"/>
        <v>0</v>
      </c>
      <c r="I31" s="8">
        <f t="shared" si="20"/>
        <v>19480000</v>
      </c>
      <c r="J31" s="8">
        <f t="shared" si="20"/>
        <v>588920</v>
      </c>
      <c r="K31" s="8">
        <f t="shared" si="20"/>
        <v>20068920</v>
      </c>
    </row>
    <row r="32" spans="1:11" x14ac:dyDescent="0.25">
      <c r="A32" s="15" t="s">
        <v>581</v>
      </c>
      <c r="B32" s="15" t="s">
        <v>202</v>
      </c>
      <c r="C32" s="2">
        <v>10000</v>
      </c>
      <c r="D32" s="6">
        <v>-3866</v>
      </c>
      <c r="E32" s="6">
        <f>SUM(C32:D32)</f>
        <v>6134</v>
      </c>
      <c r="F32" s="2">
        <v>0</v>
      </c>
      <c r="G32" s="6">
        <v>24</v>
      </c>
      <c r="H32" s="6">
        <f>SUM(F32:G32)</f>
        <v>24</v>
      </c>
      <c r="I32" s="2">
        <f t="shared" ref="I32:I35" si="21">SUM(F32+C32)</f>
        <v>10000</v>
      </c>
      <c r="J32" s="2">
        <f t="shared" ref="J32:J35" si="22">SUM(G32+D32)</f>
        <v>-3842</v>
      </c>
      <c r="K32" s="2">
        <f t="shared" ref="K32:K35" si="23">SUM(H32+E32)</f>
        <v>6158</v>
      </c>
    </row>
    <row r="33" spans="1:11" x14ac:dyDescent="0.25">
      <c r="A33" s="15" t="s">
        <v>582</v>
      </c>
      <c r="B33" s="15" t="s">
        <v>202</v>
      </c>
      <c r="C33" s="2">
        <v>50000</v>
      </c>
      <c r="D33" s="2">
        <f>-22568+3866</f>
        <v>-18702</v>
      </c>
      <c r="E33" s="6">
        <f t="shared" ref="E33:E35" si="24">SUM(C33:D33)</f>
        <v>31298</v>
      </c>
      <c r="F33" s="2">
        <v>0</v>
      </c>
      <c r="G33" s="2"/>
      <c r="H33" s="6">
        <f t="shared" ref="H33:H35" si="25">SUM(F33:G33)</f>
        <v>0</v>
      </c>
      <c r="I33" s="2">
        <f t="shared" si="21"/>
        <v>50000</v>
      </c>
      <c r="J33" s="2">
        <f t="shared" si="22"/>
        <v>-18702</v>
      </c>
      <c r="K33" s="2">
        <f t="shared" si="23"/>
        <v>31298</v>
      </c>
    </row>
    <row r="34" spans="1:11" ht="31.5" x14ac:dyDescent="0.25">
      <c r="A34" s="15" t="s">
        <v>583</v>
      </c>
      <c r="B34" s="15" t="s">
        <v>202</v>
      </c>
      <c r="C34" s="2">
        <v>17500</v>
      </c>
      <c r="D34" s="2">
        <f>3774+720-1052-3000</f>
        <v>442</v>
      </c>
      <c r="E34" s="6">
        <f t="shared" si="24"/>
        <v>17942</v>
      </c>
      <c r="F34" s="2">
        <v>0</v>
      </c>
      <c r="G34" s="2"/>
      <c r="H34" s="6">
        <f t="shared" si="25"/>
        <v>0</v>
      </c>
      <c r="I34" s="2">
        <f t="shared" si="21"/>
        <v>17500</v>
      </c>
      <c r="J34" s="2">
        <f t="shared" si="22"/>
        <v>442</v>
      </c>
      <c r="K34" s="2">
        <f t="shared" si="23"/>
        <v>17942</v>
      </c>
    </row>
    <row r="35" spans="1:11" x14ac:dyDescent="0.25">
      <c r="A35" s="15" t="s">
        <v>584</v>
      </c>
      <c r="B35" s="15" t="s">
        <v>202</v>
      </c>
      <c r="C35" s="2">
        <v>10903</v>
      </c>
      <c r="D35" s="2">
        <f>1232+1094+1151</f>
        <v>3477</v>
      </c>
      <c r="E35" s="6">
        <f t="shared" si="24"/>
        <v>14380</v>
      </c>
      <c r="F35" s="2">
        <v>300</v>
      </c>
      <c r="G35" s="2">
        <v>802</v>
      </c>
      <c r="H35" s="6">
        <f t="shared" si="25"/>
        <v>1102</v>
      </c>
      <c r="I35" s="2">
        <f t="shared" si="21"/>
        <v>11203</v>
      </c>
      <c r="J35" s="2">
        <f t="shared" si="22"/>
        <v>4279</v>
      </c>
      <c r="K35" s="2">
        <f t="shared" si="23"/>
        <v>15482</v>
      </c>
    </row>
    <row r="36" spans="1:11" s="348" customFormat="1" ht="31.5" x14ac:dyDescent="0.25">
      <c r="A36" s="344" t="s">
        <v>585</v>
      </c>
      <c r="B36" s="344" t="s">
        <v>202</v>
      </c>
      <c r="C36" s="8">
        <f>SUM(C32:C35)</f>
        <v>88403</v>
      </c>
      <c r="D36" s="8">
        <f t="shared" ref="D36:H36" si="26">SUM(D32:D35)</f>
        <v>-18649</v>
      </c>
      <c r="E36" s="8">
        <f t="shared" si="26"/>
        <v>69754</v>
      </c>
      <c r="F36" s="8">
        <f>SUM(F32:F35)</f>
        <v>300</v>
      </c>
      <c r="G36" s="8">
        <f t="shared" si="26"/>
        <v>826</v>
      </c>
      <c r="H36" s="8">
        <f t="shared" si="26"/>
        <v>1126</v>
      </c>
      <c r="I36" s="8">
        <f>SUM(I32:I35)</f>
        <v>88703</v>
      </c>
      <c r="J36" s="8">
        <f t="shared" ref="J36:K36" si="27">SUM(J32:J35)</f>
        <v>-17823</v>
      </c>
      <c r="K36" s="8">
        <f t="shared" si="27"/>
        <v>70880</v>
      </c>
    </row>
    <row r="37" spans="1:11" ht="31.5" x14ac:dyDescent="0.25">
      <c r="A37" s="587" t="s">
        <v>1127</v>
      </c>
      <c r="B37" s="346" t="s">
        <v>167</v>
      </c>
      <c r="C37" s="4">
        <f>SUM(C25+C31+C36+C23)</f>
        <v>21568403</v>
      </c>
      <c r="D37" s="4">
        <f>SUM(D25+D31+D36+D23)</f>
        <v>489538</v>
      </c>
      <c r="E37" s="4">
        <f>SUM(E25+E31+E36+E23)</f>
        <v>22057941</v>
      </c>
      <c r="F37" s="4">
        <f t="shared" ref="F37:K37" si="28">SUM(F25+F31+F36+F23)</f>
        <v>300</v>
      </c>
      <c r="G37" s="4">
        <f t="shared" si="28"/>
        <v>826</v>
      </c>
      <c r="H37" s="4">
        <f t="shared" si="28"/>
        <v>1126</v>
      </c>
      <c r="I37" s="4">
        <f t="shared" si="28"/>
        <v>21568703</v>
      </c>
      <c r="J37" s="4">
        <f t="shared" si="28"/>
        <v>490364</v>
      </c>
      <c r="K37" s="4">
        <f t="shared" si="28"/>
        <v>22059067</v>
      </c>
    </row>
    <row r="38" spans="1:11" x14ac:dyDescent="0.25">
      <c r="A38" s="346" t="s">
        <v>586</v>
      </c>
      <c r="B38" s="346" t="s">
        <v>168</v>
      </c>
      <c r="C38" s="4">
        <v>2170882</v>
      </c>
      <c r="D38" s="4">
        <v>-158133</v>
      </c>
      <c r="E38" s="4">
        <f>SUM(C38:D38)</f>
        <v>2012749</v>
      </c>
      <c r="F38" s="4">
        <v>1470745</v>
      </c>
      <c r="G38" s="4">
        <v>245596</v>
      </c>
      <c r="H38" s="4">
        <f>SUM(F38:G38)</f>
        <v>1716341</v>
      </c>
      <c r="I38" s="4">
        <f t="shared" ref="I38:K39" si="29">SUM(C38+F38)</f>
        <v>3641627</v>
      </c>
      <c r="J38" s="4">
        <f t="shared" si="29"/>
        <v>87463</v>
      </c>
      <c r="K38" s="4">
        <f t="shared" si="29"/>
        <v>3729090</v>
      </c>
    </row>
    <row r="39" spans="1:11" x14ac:dyDescent="0.25">
      <c r="A39" s="15" t="s">
        <v>211</v>
      </c>
      <c r="B39" s="15" t="s">
        <v>203</v>
      </c>
      <c r="C39" s="6">
        <v>415354</v>
      </c>
      <c r="D39" s="6">
        <v>0</v>
      </c>
      <c r="E39" s="6">
        <f>SUM(C39:D39)</f>
        <v>415354</v>
      </c>
      <c r="F39" s="269"/>
      <c r="G39" s="146"/>
      <c r="H39" s="146">
        <f>SUM(F39:G39)</f>
        <v>0</v>
      </c>
      <c r="I39" s="7">
        <f t="shared" si="29"/>
        <v>415354</v>
      </c>
      <c r="J39" s="7">
        <f t="shared" si="29"/>
        <v>0</v>
      </c>
      <c r="K39" s="7">
        <f t="shared" si="29"/>
        <v>415354</v>
      </c>
    </row>
    <row r="40" spans="1:11" ht="31.5" x14ac:dyDescent="0.25">
      <c r="A40" s="586" t="s">
        <v>212</v>
      </c>
      <c r="B40" s="15" t="s">
        <v>213</v>
      </c>
      <c r="C40" s="2">
        <v>977701</v>
      </c>
      <c r="D40" s="2">
        <v>-260754</v>
      </c>
      <c r="E40" s="6">
        <f t="shared" ref="E40:E43" si="30">SUM(C40:D40)</f>
        <v>716947</v>
      </c>
      <c r="F40" s="2">
        <v>424672</v>
      </c>
      <c r="G40" s="1">
        <v>62702</v>
      </c>
      <c r="H40" s="146">
        <f t="shared" ref="H40:H43" si="31">SUM(F40:G40)</f>
        <v>487374</v>
      </c>
      <c r="I40" s="7">
        <f t="shared" ref="I40:I43" si="32">SUM(C40+F40)</f>
        <v>1402373</v>
      </c>
      <c r="J40" s="7">
        <f t="shared" ref="J40:J43" si="33">SUM(D40+G40)</f>
        <v>-198052</v>
      </c>
      <c r="K40" s="7">
        <f t="shared" ref="K40:K43" si="34">SUM(E40+H40)</f>
        <v>1204321</v>
      </c>
    </row>
    <row r="41" spans="1:11" x14ac:dyDescent="0.25">
      <c r="A41" s="586" t="s">
        <v>214</v>
      </c>
      <c r="B41" s="15" t="s">
        <v>204</v>
      </c>
      <c r="C41" s="2">
        <v>102640</v>
      </c>
      <c r="D41" s="2">
        <f>3+19578+12409</f>
        <v>31990</v>
      </c>
      <c r="E41" s="6">
        <f t="shared" si="30"/>
        <v>134630</v>
      </c>
      <c r="F41" s="2"/>
      <c r="G41" s="1">
        <v>51</v>
      </c>
      <c r="H41" s="146">
        <f t="shared" si="31"/>
        <v>51</v>
      </c>
      <c r="I41" s="7">
        <f t="shared" si="32"/>
        <v>102640</v>
      </c>
      <c r="J41" s="7">
        <f t="shared" si="33"/>
        <v>32041</v>
      </c>
      <c r="K41" s="7">
        <f t="shared" si="34"/>
        <v>134681</v>
      </c>
    </row>
    <row r="42" spans="1:11" ht="30.75" customHeight="1" x14ac:dyDescent="0.25">
      <c r="A42" s="351" t="s">
        <v>587</v>
      </c>
      <c r="B42" s="351" t="s">
        <v>205</v>
      </c>
      <c r="C42" s="588">
        <v>205000</v>
      </c>
      <c r="D42" s="588">
        <v>-51565</v>
      </c>
      <c r="E42" s="6">
        <f t="shared" ref="E42" si="35">SUM(C42:D42)</f>
        <v>153435</v>
      </c>
      <c r="F42" s="588"/>
      <c r="G42" s="588"/>
      <c r="H42" s="146">
        <f t="shared" ref="H42" si="36">SUM(F42:G42)</f>
        <v>0</v>
      </c>
      <c r="I42" s="7">
        <f t="shared" ref="I42" si="37">SUM(C42+F42)</f>
        <v>205000</v>
      </c>
      <c r="J42" s="7">
        <f t="shared" ref="J42" si="38">SUM(D42+G42)</f>
        <v>-51565</v>
      </c>
      <c r="K42" s="7">
        <f t="shared" ref="K42" si="39">SUM(E42+H42)</f>
        <v>153435</v>
      </c>
    </row>
    <row r="43" spans="1:11" ht="30.75" customHeight="1" x14ac:dyDescent="0.25">
      <c r="A43" s="351" t="s">
        <v>1282</v>
      </c>
      <c r="B43" s="351" t="s">
        <v>1281</v>
      </c>
      <c r="C43" s="588">
        <v>0</v>
      </c>
      <c r="D43" s="588">
        <v>0</v>
      </c>
      <c r="E43" s="6">
        <f t="shared" si="30"/>
        <v>0</v>
      </c>
      <c r="F43" s="588"/>
      <c r="G43" s="588">
        <v>2773</v>
      </c>
      <c r="H43" s="146">
        <f t="shared" si="31"/>
        <v>2773</v>
      </c>
      <c r="I43" s="7">
        <f t="shared" si="32"/>
        <v>0</v>
      </c>
      <c r="J43" s="7">
        <f t="shared" si="33"/>
        <v>2773</v>
      </c>
      <c r="K43" s="7">
        <f t="shared" si="34"/>
        <v>2773</v>
      </c>
    </row>
    <row r="44" spans="1:11" ht="31.5" x14ac:dyDescent="0.25">
      <c r="A44" s="352" t="s">
        <v>1280</v>
      </c>
      <c r="B44" s="352" t="s">
        <v>169</v>
      </c>
      <c r="C44" s="3">
        <f>+C42+C43</f>
        <v>205000</v>
      </c>
      <c r="D44" s="3">
        <f>+D42+D43</f>
        <v>-51565</v>
      </c>
      <c r="E44" s="3">
        <f t="shared" ref="E44:K44" si="40">+E42+E43</f>
        <v>153435</v>
      </c>
      <c r="F44" s="3">
        <f t="shared" si="40"/>
        <v>0</v>
      </c>
      <c r="G44" s="3">
        <f t="shared" si="40"/>
        <v>2773</v>
      </c>
      <c r="H44" s="3">
        <f t="shared" si="40"/>
        <v>2773</v>
      </c>
      <c r="I44" s="3">
        <f t="shared" si="40"/>
        <v>205000</v>
      </c>
      <c r="J44" s="3">
        <f t="shared" si="40"/>
        <v>-48792</v>
      </c>
      <c r="K44" s="3">
        <f t="shared" si="40"/>
        <v>156208</v>
      </c>
    </row>
    <row r="45" spans="1:11" x14ac:dyDescent="0.25">
      <c r="A45" s="353" t="s">
        <v>588</v>
      </c>
      <c r="B45" s="353" t="s">
        <v>170</v>
      </c>
      <c r="C45" s="18">
        <v>403702</v>
      </c>
      <c r="D45" s="18">
        <v>-220650</v>
      </c>
      <c r="E45" s="18">
        <f>SUM(C45:D45)</f>
        <v>183052</v>
      </c>
      <c r="F45" s="18">
        <v>1780</v>
      </c>
      <c r="G45" s="18">
        <v>8375</v>
      </c>
      <c r="H45" s="18">
        <f>SUM(F45:G45)</f>
        <v>10155</v>
      </c>
      <c r="I45" s="3">
        <f>SUM(C45+F45)</f>
        <v>405482</v>
      </c>
      <c r="J45" s="3">
        <f t="shared" ref="J45:K46" si="41">SUM(D45+G45)</f>
        <v>-212275</v>
      </c>
      <c r="K45" s="3">
        <f t="shared" si="41"/>
        <v>193207</v>
      </c>
    </row>
    <row r="46" spans="1:11" ht="16.5" thickBot="1" x14ac:dyDescent="0.3">
      <c r="A46" s="349" t="s">
        <v>589</v>
      </c>
      <c r="B46" s="349" t="s">
        <v>171</v>
      </c>
      <c r="C46" s="81">
        <v>345183</v>
      </c>
      <c r="D46" s="81">
        <v>-301679</v>
      </c>
      <c r="E46" s="18">
        <f>SUM(C46:D46)</f>
        <v>43504</v>
      </c>
      <c r="F46" s="81">
        <v>0</v>
      </c>
      <c r="G46" s="81"/>
      <c r="H46" s="18">
        <f>SUM(F46:G46)</f>
        <v>0</v>
      </c>
      <c r="I46" s="23">
        <f>SUM(C46+F46)</f>
        <v>345183</v>
      </c>
      <c r="J46" s="23">
        <f t="shared" si="41"/>
        <v>-301679</v>
      </c>
      <c r="K46" s="23">
        <f t="shared" si="41"/>
        <v>43504</v>
      </c>
    </row>
    <row r="47" spans="1:11" ht="33" thickTop="1" thickBot="1" x14ac:dyDescent="0.3">
      <c r="A47" s="354" t="s">
        <v>590</v>
      </c>
      <c r="B47" s="354"/>
      <c r="C47" s="26">
        <f t="shared" ref="C47:K47" si="42">SUM(C45+C38+C37+C19)</f>
        <v>29213833</v>
      </c>
      <c r="D47" s="26">
        <f t="shared" si="42"/>
        <v>605894</v>
      </c>
      <c r="E47" s="26">
        <f t="shared" si="42"/>
        <v>29819727</v>
      </c>
      <c r="F47" s="26">
        <f t="shared" si="42"/>
        <v>2869221</v>
      </c>
      <c r="G47" s="26">
        <f t="shared" si="42"/>
        <v>529699</v>
      </c>
      <c r="H47" s="26">
        <f t="shared" si="42"/>
        <v>3398920</v>
      </c>
      <c r="I47" s="26">
        <f t="shared" si="42"/>
        <v>32083054</v>
      </c>
      <c r="J47" s="26">
        <f t="shared" si="42"/>
        <v>1135593</v>
      </c>
      <c r="K47" s="26">
        <f t="shared" si="42"/>
        <v>33218647</v>
      </c>
    </row>
    <row r="48" spans="1:11" ht="33" thickTop="1" thickBot="1" x14ac:dyDescent="0.3">
      <c r="A48" s="354" t="s">
        <v>591</v>
      </c>
      <c r="B48" s="354"/>
      <c r="C48" s="26">
        <f t="shared" ref="C48:K48" si="43">SUM(C22+C46+C44)</f>
        <v>17280715</v>
      </c>
      <c r="D48" s="26">
        <f t="shared" si="43"/>
        <v>365364</v>
      </c>
      <c r="E48" s="26">
        <f t="shared" si="43"/>
        <v>17646079</v>
      </c>
      <c r="F48" s="26">
        <f t="shared" si="43"/>
        <v>0</v>
      </c>
      <c r="G48" s="26">
        <f t="shared" si="43"/>
        <v>32748</v>
      </c>
      <c r="H48" s="26">
        <f t="shared" si="43"/>
        <v>32748</v>
      </c>
      <c r="I48" s="26">
        <f t="shared" si="43"/>
        <v>17280715</v>
      </c>
      <c r="J48" s="26">
        <f t="shared" si="43"/>
        <v>398112</v>
      </c>
      <c r="K48" s="26">
        <f t="shared" si="43"/>
        <v>17678827</v>
      </c>
    </row>
    <row r="49" spans="1:13" ht="33" thickTop="1" thickBot="1" x14ac:dyDescent="0.3">
      <c r="A49" s="354" t="s">
        <v>592</v>
      </c>
      <c r="B49" s="354" t="s">
        <v>275</v>
      </c>
      <c r="C49" s="20">
        <f>SUM(C47+C48)</f>
        <v>46494548</v>
      </c>
      <c r="D49" s="20">
        <f t="shared" ref="D49:H49" si="44">SUM(D47+D48)</f>
        <v>971258</v>
      </c>
      <c r="E49" s="20">
        <f t="shared" si="44"/>
        <v>47465806</v>
      </c>
      <c r="F49" s="20">
        <f t="shared" si="44"/>
        <v>2869221</v>
      </c>
      <c r="G49" s="20">
        <f t="shared" si="44"/>
        <v>562447</v>
      </c>
      <c r="H49" s="20">
        <f t="shared" si="44"/>
        <v>3431668</v>
      </c>
      <c r="I49" s="20">
        <f>SUM(I47+I48)</f>
        <v>49363769</v>
      </c>
      <c r="J49" s="20">
        <f t="shared" ref="J49:K49" si="45">SUM(J47+J48)</f>
        <v>1533705</v>
      </c>
      <c r="K49" s="20">
        <f t="shared" si="45"/>
        <v>50897474</v>
      </c>
    </row>
    <row r="50" spans="1:13" ht="15.75" customHeight="1" thickTop="1" thickBot="1" x14ac:dyDescent="0.3">
      <c r="A50" s="434"/>
      <c r="B50" s="435"/>
      <c r="C50" s="28"/>
      <c r="D50" s="28"/>
      <c r="E50" s="28"/>
      <c r="F50" s="28"/>
      <c r="G50" s="28"/>
      <c r="H50" s="28"/>
      <c r="I50" s="29"/>
      <c r="J50" s="29"/>
      <c r="K50" s="29"/>
    </row>
    <row r="51" spans="1:13" ht="32.25" thickTop="1" x14ac:dyDescent="0.25">
      <c r="A51" s="356" t="s">
        <v>311</v>
      </c>
      <c r="B51" s="356"/>
      <c r="C51" s="119">
        <f>SUM(C52-C53)</f>
        <v>-8074181</v>
      </c>
      <c r="D51" s="532">
        <f t="shared" ref="D51:H51" si="46">SUM(D52-D53)</f>
        <v>72840</v>
      </c>
      <c r="E51" s="119">
        <f t="shared" si="46"/>
        <v>-8001341</v>
      </c>
      <c r="F51" s="145">
        <f t="shared" si="46"/>
        <v>-12632973</v>
      </c>
      <c r="G51" s="532">
        <f t="shared" si="46"/>
        <v>-72862</v>
      </c>
      <c r="H51" s="125">
        <f t="shared" si="46"/>
        <v>-12705835</v>
      </c>
      <c r="I51" s="140">
        <f>SUM(I52-I53)</f>
        <v>-20707154</v>
      </c>
      <c r="J51" s="125">
        <f t="shared" ref="J51:K51" si="47">SUM(J52-J53)</f>
        <v>-22</v>
      </c>
      <c r="K51" s="125">
        <f t="shared" si="47"/>
        <v>-20707176</v>
      </c>
    </row>
    <row r="52" spans="1:13" s="345" customFormat="1" x14ac:dyDescent="0.25">
      <c r="A52" s="365" t="s">
        <v>216</v>
      </c>
      <c r="B52" s="365" t="s">
        <v>275</v>
      </c>
      <c r="C52" s="120">
        <f>SUM(C49)</f>
        <v>46494548</v>
      </c>
      <c r="D52" s="436">
        <f t="shared" ref="D52:H52" si="48">SUM(D49)</f>
        <v>971258</v>
      </c>
      <c r="E52" s="126">
        <f t="shared" si="48"/>
        <v>47465806</v>
      </c>
      <c r="F52" s="120">
        <f t="shared" si="48"/>
        <v>2869221</v>
      </c>
      <c r="G52" s="436">
        <f t="shared" si="48"/>
        <v>562447</v>
      </c>
      <c r="H52" s="126">
        <f t="shared" si="48"/>
        <v>3431668</v>
      </c>
      <c r="I52" s="141">
        <f>SUM(I49)</f>
        <v>49363769</v>
      </c>
      <c r="J52" s="126">
        <f t="shared" ref="J52:K52" si="49">SUM(J49)</f>
        <v>1533705</v>
      </c>
      <c r="K52" s="126">
        <f t="shared" si="49"/>
        <v>50897474</v>
      </c>
    </row>
    <row r="53" spans="1:13" s="345" customFormat="1" x14ac:dyDescent="0.25">
      <c r="A53" s="365" t="s">
        <v>217</v>
      </c>
      <c r="B53" s="365" t="s">
        <v>271</v>
      </c>
      <c r="C53" s="121">
        <f>'4 kiadás(szűkített)'!C22</f>
        <v>54568729</v>
      </c>
      <c r="D53" s="122">
        <f>'4 kiadás(szűkített)'!D22</f>
        <v>898418</v>
      </c>
      <c r="E53" s="127">
        <f>'4 kiadás(szűkített)'!E22</f>
        <v>55467147</v>
      </c>
      <c r="F53" s="136">
        <f>'4 kiadás(szűkített)'!F22</f>
        <v>15502194</v>
      </c>
      <c r="G53" s="122">
        <f>'4 kiadás(szűkített)'!G22</f>
        <v>635309</v>
      </c>
      <c r="H53" s="127">
        <f>'4 kiadás(szűkített)'!H22</f>
        <v>16137503</v>
      </c>
      <c r="I53" s="142">
        <f>SUM(C53+F53)</f>
        <v>70070923</v>
      </c>
      <c r="J53" s="127">
        <f>SUM(D53+G53)</f>
        <v>1533727</v>
      </c>
      <c r="K53" s="127">
        <f>SUM(E53+H53)</f>
        <v>71604650</v>
      </c>
    </row>
    <row r="54" spans="1:13" s="345" customFormat="1" x14ac:dyDescent="0.25">
      <c r="A54" s="365"/>
      <c r="B54" s="365"/>
      <c r="C54" s="136"/>
      <c r="D54" s="122"/>
      <c r="E54" s="127"/>
      <c r="F54" s="136"/>
      <c r="G54" s="437"/>
      <c r="H54" s="127"/>
      <c r="I54" s="142"/>
      <c r="J54" s="127"/>
      <c r="K54" s="127"/>
    </row>
    <row r="55" spans="1:13" x14ac:dyDescent="0.25">
      <c r="A55" s="367" t="s">
        <v>488</v>
      </c>
      <c r="B55" s="367"/>
      <c r="C55" s="86">
        <f>SUM(C62-C63)</f>
        <v>8074181</v>
      </c>
      <c r="D55" s="137">
        <f t="shared" ref="D55:K55" si="50">SUM(D62-D63)</f>
        <v>-72840</v>
      </c>
      <c r="E55" s="128">
        <f t="shared" si="50"/>
        <v>8001341</v>
      </c>
      <c r="F55" s="137">
        <f t="shared" si="50"/>
        <v>12632973</v>
      </c>
      <c r="G55" s="438">
        <f t="shared" si="50"/>
        <v>72862</v>
      </c>
      <c r="H55" s="143">
        <f t="shared" si="50"/>
        <v>12705835</v>
      </c>
      <c r="I55" s="128">
        <f t="shared" si="50"/>
        <v>20707154</v>
      </c>
      <c r="J55" s="128">
        <f t="shared" si="50"/>
        <v>22</v>
      </c>
      <c r="K55" s="128">
        <f t="shared" si="50"/>
        <v>20707176</v>
      </c>
    </row>
    <row r="56" spans="1:13" ht="31.5" x14ac:dyDescent="0.25">
      <c r="A56" s="32" t="s">
        <v>182</v>
      </c>
      <c r="B56" s="32"/>
      <c r="C56" s="85">
        <v>4506775</v>
      </c>
      <c r="D56" s="30">
        <v>1</v>
      </c>
      <c r="E56" s="106">
        <f>SUM(C56:D56)</f>
        <v>4506776</v>
      </c>
      <c r="F56" s="138">
        <v>765684</v>
      </c>
      <c r="G56" s="439">
        <v>20</v>
      </c>
      <c r="H56" s="106">
        <f>SUM(F56:G56)</f>
        <v>765704</v>
      </c>
      <c r="I56" s="107">
        <f>SUM(C56)+F56</f>
        <v>5272459</v>
      </c>
      <c r="J56" s="106">
        <f t="shared" ref="J56:K60" si="51">SUM(D56+G56)</f>
        <v>21</v>
      </c>
      <c r="K56" s="106">
        <f t="shared" si="51"/>
        <v>5272480</v>
      </c>
      <c r="M56" s="599"/>
    </row>
    <row r="57" spans="1:13" ht="31.5" x14ac:dyDescent="0.25">
      <c r="A57" s="32" t="s">
        <v>172</v>
      </c>
      <c r="B57" s="32"/>
      <c r="C57" s="85">
        <v>12969693</v>
      </c>
      <c r="D57" s="30"/>
      <c r="E57" s="106">
        <f>SUM(C57:D57)</f>
        <v>12969693</v>
      </c>
      <c r="F57" s="138"/>
      <c r="G57" s="439"/>
      <c r="H57" s="106">
        <f>SUM(F57:G57)</f>
        <v>0</v>
      </c>
      <c r="I57" s="107">
        <f>SUM(C57)+F57</f>
        <v>12969693</v>
      </c>
      <c r="J57" s="106">
        <f t="shared" si="51"/>
        <v>0</v>
      </c>
      <c r="K57" s="106">
        <f t="shared" si="51"/>
        <v>12969693</v>
      </c>
    </row>
    <row r="58" spans="1:13" x14ac:dyDescent="0.25">
      <c r="A58" s="32" t="s">
        <v>173</v>
      </c>
      <c r="B58" s="32" t="s">
        <v>215</v>
      </c>
      <c r="C58" s="85">
        <f t="shared" ref="C58:H58" si="52">SUM(C56:C57)</f>
        <v>17476468</v>
      </c>
      <c r="D58" s="30">
        <f t="shared" si="52"/>
        <v>1</v>
      </c>
      <c r="E58" s="106">
        <f t="shared" si="52"/>
        <v>17476469</v>
      </c>
      <c r="F58" s="138">
        <f t="shared" si="52"/>
        <v>765684</v>
      </c>
      <c r="G58" s="439">
        <f t="shared" si="52"/>
        <v>20</v>
      </c>
      <c r="H58" s="106">
        <f t="shared" si="52"/>
        <v>765704</v>
      </c>
      <c r="I58" s="107">
        <f>SUM(C58+F58)</f>
        <v>18242152</v>
      </c>
      <c r="J58" s="106">
        <f t="shared" si="51"/>
        <v>21</v>
      </c>
      <c r="K58" s="106">
        <f t="shared" si="51"/>
        <v>18242173</v>
      </c>
      <c r="M58" s="599"/>
    </row>
    <row r="59" spans="1:13" x14ac:dyDescent="0.25">
      <c r="A59" s="370" t="s">
        <v>1124</v>
      </c>
      <c r="B59" s="370" t="s">
        <v>1123</v>
      </c>
      <c r="C59" s="123"/>
      <c r="D59" s="440">
        <v>163966</v>
      </c>
      <c r="E59" s="129">
        <f t="shared" ref="E59:E60" si="53">SUM(C59:D59)</f>
        <v>163966</v>
      </c>
      <c r="F59" s="139"/>
      <c r="G59" s="441"/>
      <c r="H59" s="129">
        <f>SUM(F59:G59)</f>
        <v>0</v>
      </c>
      <c r="I59" s="144">
        <f t="shared" ref="I59" si="54">SUM(C59+F59)</f>
        <v>0</v>
      </c>
      <c r="J59" s="129">
        <f t="shared" si="51"/>
        <v>163966</v>
      </c>
      <c r="K59" s="106">
        <f t="shared" si="51"/>
        <v>163966</v>
      </c>
    </row>
    <row r="60" spans="1:13" x14ac:dyDescent="0.25">
      <c r="A60" s="370" t="s">
        <v>312</v>
      </c>
      <c r="B60" s="370" t="s">
        <v>313</v>
      </c>
      <c r="C60" s="123"/>
      <c r="D60" s="440"/>
      <c r="E60" s="129">
        <f t="shared" si="53"/>
        <v>0</v>
      </c>
      <c r="F60" s="139">
        <v>11867289</v>
      </c>
      <c r="G60" s="441">
        <v>72842</v>
      </c>
      <c r="H60" s="129">
        <f>SUM(F60:G60)</f>
        <v>11940131</v>
      </c>
      <c r="I60" s="144">
        <f t="shared" ref="I60:J60" si="55">SUM(C60+F60)</f>
        <v>11867289</v>
      </c>
      <c r="J60" s="129">
        <f t="shared" si="55"/>
        <v>72842</v>
      </c>
      <c r="K60" s="106">
        <f t="shared" si="51"/>
        <v>11940131</v>
      </c>
    </row>
    <row r="61" spans="1:13" ht="31.5" x14ac:dyDescent="0.25">
      <c r="A61" s="370" t="s">
        <v>481</v>
      </c>
      <c r="B61" s="370" t="s">
        <v>478</v>
      </c>
      <c r="C61" s="123">
        <v>5305492</v>
      </c>
      <c r="D61" s="440">
        <v>1</v>
      </c>
      <c r="E61" s="129">
        <f>SUM(C61:D61)</f>
        <v>5305493</v>
      </c>
      <c r="F61" s="139"/>
      <c r="G61" s="441"/>
      <c r="H61" s="129"/>
      <c r="I61" s="144">
        <f t="shared" ref="I61" si="56">SUM(C61+F61)</f>
        <v>5305492</v>
      </c>
      <c r="J61" s="129">
        <f t="shared" ref="J61" si="57">SUM(D61+G61)</f>
        <v>1</v>
      </c>
      <c r="K61" s="129">
        <f t="shared" ref="K61" si="58">SUM(E61+H61)</f>
        <v>5305493</v>
      </c>
    </row>
    <row r="62" spans="1:13" s="345" customFormat="1" ht="31.5" x14ac:dyDescent="0.25">
      <c r="A62" s="371" t="s">
        <v>1125</v>
      </c>
      <c r="B62" s="371" t="s">
        <v>174</v>
      </c>
      <c r="C62" s="565">
        <f>SUM(C58+C59+C60+C61)</f>
        <v>22781960</v>
      </c>
      <c r="D62" s="124">
        <f t="shared" ref="D62:K62" si="59">SUM(D58+D59+D60+D61)</f>
        <v>163968</v>
      </c>
      <c r="E62" s="126">
        <f t="shared" si="59"/>
        <v>22945928</v>
      </c>
      <c r="F62" s="124">
        <f t="shared" si="59"/>
        <v>12632973</v>
      </c>
      <c r="G62" s="436">
        <f t="shared" si="59"/>
        <v>72862</v>
      </c>
      <c r="H62" s="126">
        <f t="shared" si="59"/>
        <v>12705835</v>
      </c>
      <c r="I62" s="141">
        <f t="shared" si="59"/>
        <v>35414933</v>
      </c>
      <c r="J62" s="126">
        <f t="shared" si="59"/>
        <v>236830</v>
      </c>
      <c r="K62" s="126">
        <f t="shared" si="59"/>
        <v>35651763</v>
      </c>
    </row>
    <row r="63" spans="1:13" s="345" customFormat="1" x14ac:dyDescent="0.25">
      <c r="A63" s="371" t="s">
        <v>314</v>
      </c>
      <c r="B63" s="371" t="s">
        <v>210</v>
      </c>
      <c r="C63" s="566">
        <f>'4 kiadás(szűkített)'!C26</f>
        <v>14707779</v>
      </c>
      <c r="D63" s="564">
        <f>'4 kiadás(szűkített)'!D26</f>
        <v>236808</v>
      </c>
      <c r="E63" s="126">
        <f>'4 kiadás(szűkített)'!E26</f>
        <v>14944587</v>
      </c>
      <c r="F63" s="120">
        <f>'4 kiadás(szűkített)'!F26</f>
        <v>0</v>
      </c>
      <c r="G63" s="436">
        <f>'4 kiadás(szűkített)'!G26</f>
        <v>0</v>
      </c>
      <c r="H63" s="126">
        <f>'4 kiadás(szűkített)'!H26</f>
        <v>0</v>
      </c>
      <c r="I63" s="141">
        <f>SUM(C63+F63)</f>
        <v>14707779</v>
      </c>
      <c r="J63" s="126">
        <f>SUM(D63+G63)</f>
        <v>236808</v>
      </c>
      <c r="K63" s="126">
        <f t="shared" ref="K63" si="60">SUM(E63:H63)</f>
        <v>14944587</v>
      </c>
    </row>
    <row r="64" spans="1:13" s="380" customFormat="1" ht="16.5" thickBot="1" x14ac:dyDescent="0.3">
      <c r="A64" s="372" t="s">
        <v>489</v>
      </c>
      <c r="B64" s="372"/>
      <c r="C64" s="378">
        <f>SUM(C51+C55)</f>
        <v>0</v>
      </c>
      <c r="D64" s="374">
        <f t="shared" ref="D64:K64" si="61">SUM(D51+D55)</f>
        <v>0</v>
      </c>
      <c r="E64" s="376">
        <f t="shared" si="61"/>
        <v>0</v>
      </c>
      <c r="F64" s="378">
        <f t="shared" si="61"/>
        <v>0</v>
      </c>
      <c r="G64" s="374">
        <f t="shared" si="61"/>
        <v>0</v>
      </c>
      <c r="H64" s="376">
        <f t="shared" si="61"/>
        <v>0</v>
      </c>
      <c r="I64" s="378">
        <f t="shared" si="61"/>
        <v>0</v>
      </c>
      <c r="J64" s="378">
        <f t="shared" si="61"/>
        <v>0</v>
      </c>
      <c r="K64" s="372">
        <f t="shared" si="61"/>
        <v>0</v>
      </c>
    </row>
    <row r="65" spans="1:11" s="380" customFormat="1" ht="16.5" thickTop="1" x14ac:dyDescent="0.25"/>
    <row r="66" spans="1:11" s="380" customFormat="1" x14ac:dyDescent="0.25"/>
    <row r="67" spans="1:11" s="380" customFormat="1" x14ac:dyDescent="0.25"/>
    <row r="68" spans="1:11" s="380" customFormat="1" x14ac:dyDescent="0.25">
      <c r="A68" s="382"/>
      <c r="B68" s="382"/>
    </row>
    <row r="69" spans="1:11" s="383" customFormat="1" x14ac:dyDescent="0.25">
      <c r="A69" s="29"/>
      <c r="B69" s="29"/>
      <c r="C69" s="380"/>
      <c r="D69" s="380"/>
      <c r="E69" s="380"/>
      <c r="F69" s="380"/>
      <c r="G69" s="380"/>
      <c r="H69" s="380"/>
      <c r="I69" s="380"/>
      <c r="J69" s="380"/>
      <c r="K69" s="380"/>
    </row>
    <row r="70" spans="1:11" s="383" customFormat="1" x14ac:dyDescent="0.25">
      <c r="A70" s="384"/>
      <c r="B70" s="384"/>
      <c r="C70" s="380"/>
      <c r="D70" s="380"/>
      <c r="E70" s="380"/>
      <c r="F70" s="380"/>
      <c r="G70" s="380"/>
      <c r="H70" s="380"/>
      <c r="I70" s="380"/>
      <c r="J70" s="380"/>
      <c r="K70" s="380"/>
    </row>
    <row r="71" spans="1:11" s="383" customFormat="1" x14ac:dyDescent="0.25">
      <c r="A71" s="385"/>
      <c r="B71" s="385"/>
    </row>
    <row r="72" spans="1:11" s="383" customFormat="1" x14ac:dyDescent="0.25">
      <c r="A72" s="386"/>
      <c r="B72" s="386"/>
    </row>
    <row r="73" spans="1:11" s="383" customFormat="1" x14ac:dyDescent="0.25">
      <c r="A73" s="387"/>
      <c r="B73" s="387"/>
    </row>
    <row r="74" spans="1:11" s="383" customFormat="1" x14ac:dyDescent="0.25">
      <c r="A74" s="385"/>
      <c r="B74" s="385"/>
    </row>
    <row r="75" spans="1:11" s="383" customFormat="1" x14ac:dyDescent="0.25">
      <c r="A75" s="386"/>
      <c r="B75" s="386"/>
    </row>
    <row r="76" spans="1:11" s="383" customFormat="1" x14ac:dyDescent="0.25">
      <c r="A76" s="386"/>
      <c r="B76" s="386"/>
    </row>
    <row r="77" spans="1:11" s="383" customFormat="1" x14ac:dyDescent="0.25">
      <c r="A77" s="385"/>
      <c r="B77" s="385"/>
    </row>
    <row r="78" spans="1:11" s="383" customFormat="1" x14ac:dyDescent="0.25">
      <c r="A78" s="386"/>
      <c r="B78" s="386"/>
    </row>
    <row r="79" spans="1:11" s="383" customFormat="1" x14ac:dyDescent="0.25">
      <c r="A79" s="386"/>
      <c r="B79" s="386"/>
    </row>
    <row r="80" spans="1:11" s="383" customFormat="1" x14ac:dyDescent="0.25">
      <c r="A80" s="386"/>
      <c r="B80" s="386"/>
    </row>
    <row r="81" spans="1:11" s="383" customFormat="1" x14ac:dyDescent="0.25">
      <c r="A81" s="386"/>
      <c r="B81" s="386"/>
    </row>
    <row r="82" spans="1:11" s="383" customFormat="1" x14ac:dyDescent="0.25">
      <c r="A82" s="385"/>
      <c r="B82" s="385"/>
    </row>
    <row r="83" spans="1:11" s="383" customFormat="1" x14ac:dyDescent="0.25">
      <c r="A83" s="386"/>
      <c r="B83" s="386"/>
    </row>
    <row r="84" spans="1:11" s="383" customFormat="1" x14ac:dyDescent="0.25">
      <c r="A84" s="386"/>
      <c r="B84" s="386"/>
    </row>
    <row r="85" spans="1:11" s="383" customFormat="1" x14ac:dyDescent="0.25">
      <c r="A85" s="386"/>
      <c r="B85" s="386"/>
    </row>
    <row r="86" spans="1:11" s="383" customFormat="1" x14ac:dyDescent="0.25">
      <c r="A86" s="386"/>
      <c r="B86" s="386"/>
    </row>
    <row r="87" spans="1:11" s="383" customFormat="1" x14ac:dyDescent="0.25">
      <c r="A87" s="386"/>
      <c r="B87" s="386"/>
    </row>
    <row r="88" spans="1:11" x14ac:dyDescent="0.25">
      <c r="A88" s="386"/>
      <c r="B88" s="386"/>
      <c r="C88" s="383"/>
      <c r="D88" s="383"/>
      <c r="E88" s="383"/>
      <c r="F88" s="383"/>
      <c r="G88" s="383"/>
      <c r="H88" s="383"/>
      <c r="I88" s="383"/>
      <c r="J88" s="383"/>
      <c r="K88" s="383"/>
    </row>
    <row r="89" spans="1:11" x14ac:dyDescent="0.25">
      <c r="A89" s="386"/>
      <c r="B89" s="386"/>
      <c r="C89" s="383"/>
      <c r="D89" s="383"/>
      <c r="E89" s="383"/>
      <c r="F89" s="383"/>
      <c r="G89" s="383"/>
      <c r="H89" s="383"/>
      <c r="I89" s="383"/>
      <c r="J89" s="383"/>
      <c r="K89" s="383"/>
    </row>
    <row r="90" spans="1:11" x14ac:dyDescent="0.25">
      <c r="A90" s="388"/>
      <c r="B90" s="388"/>
    </row>
    <row r="91" spans="1:11" x14ac:dyDescent="0.25">
      <c r="A91" s="388"/>
      <c r="B91" s="388"/>
    </row>
    <row r="92" spans="1:11" x14ac:dyDescent="0.25">
      <c r="A92" s="388"/>
      <c r="B92" s="388"/>
    </row>
    <row r="93" spans="1:11" x14ac:dyDescent="0.25">
      <c r="A93" s="388"/>
      <c r="B93" s="388"/>
    </row>
    <row r="94" spans="1:11" x14ac:dyDescent="0.25">
      <c r="A94" s="388"/>
      <c r="B94" s="388"/>
    </row>
    <row r="95" spans="1:11" x14ac:dyDescent="0.25">
      <c r="A95" s="388"/>
      <c r="B95" s="388"/>
    </row>
    <row r="96" spans="1:11" x14ac:dyDescent="0.25">
      <c r="A96" s="388"/>
      <c r="B96" s="388"/>
    </row>
    <row r="97" spans="1:2" x14ac:dyDescent="0.25">
      <c r="A97" s="388"/>
      <c r="B97" s="388"/>
    </row>
    <row r="98" spans="1:2" x14ac:dyDescent="0.25">
      <c r="A98" s="388"/>
      <c r="B98" s="388"/>
    </row>
    <row r="99" spans="1:2" x14ac:dyDescent="0.25">
      <c r="A99" s="388"/>
      <c r="B99" s="388"/>
    </row>
    <row r="100" spans="1:2" x14ac:dyDescent="0.25">
      <c r="A100" s="388"/>
      <c r="B100" s="388"/>
    </row>
    <row r="101" spans="1:2" x14ac:dyDescent="0.25">
      <c r="A101" s="388"/>
      <c r="B101" s="388"/>
    </row>
    <row r="102" spans="1:2" x14ac:dyDescent="0.25">
      <c r="A102" s="388"/>
      <c r="B102" s="388"/>
    </row>
    <row r="103" spans="1:2" x14ac:dyDescent="0.25">
      <c r="A103" s="388"/>
      <c r="B103" s="388"/>
    </row>
    <row r="104" spans="1:2" x14ac:dyDescent="0.25">
      <c r="A104" s="388"/>
      <c r="B104" s="388"/>
    </row>
    <row r="105" spans="1:2" x14ac:dyDescent="0.25">
      <c r="A105" s="388"/>
      <c r="B105" s="388"/>
    </row>
    <row r="106" spans="1:2" x14ac:dyDescent="0.25">
      <c r="A106" s="388"/>
      <c r="B106" s="388"/>
    </row>
    <row r="107" spans="1:2" x14ac:dyDescent="0.25">
      <c r="A107" s="388"/>
      <c r="B107" s="388"/>
    </row>
    <row r="108" spans="1:2" x14ac:dyDescent="0.25">
      <c r="A108" s="388"/>
      <c r="B108" s="388"/>
    </row>
    <row r="109" spans="1:2" x14ac:dyDescent="0.25">
      <c r="A109" s="388"/>
      <c r="B109" s="388"/>
    </row>
    <row r="110" spans="1:2" x14ac:dyDescent="0.25">
      <c r="A110" s="388"/>
      <c r="B110" s="388"/>
    </row>
    <row r="111" spans="1:2" x14ac:dyDescent="0.25">
      <c r="A111" s="388"/>
      <c r="B111" s="388"/>
    </row>
    <row r="112" spans="1:2" x14ac:dyDescent="0.25">
      <c r="A112" s="388"/>
      <c r="B112" s="388"/>
    </row>
    <row r="113" spans="1:2" x14ac:dyDescent="0.25">
      <c r="A113" s="388"/>
      <c r="B113" s="388"/>
    </row>
    <row r="114" spans="1:2" x14ac:dyDescent="0.25">
      <c r="A114" s="388"/>
      <c r="B114" s="388"/>
    </row>
    <row r="115" spans="1:2" x14ac:dyDescent="0.25">
      <c r="A115" s="388"/>
      <c r="B115" s="388"/>
    </row>
    <row r="116" spans="1:2" x14ac:dyDescent="0.25">
      <c r="A116" s="388"/>
      <c r="B116" s="388"/>
    </row>
    <row r="117" spans="1:2" x14ac:dyDescent="0.25">
      <c r="A117" s="388"/>
      <c r="B117" s="388"/>
    </row>
    <row r="118" spans="1:2" x14ac:dyDescent="0.25">
      <c r="A118" s="388"/>
      <c r="B118" s="388"/>
    </row>
    <row r="119" spans="1:2" x14ac:dyDescent="0.25">
      <c r="A119" s="388"/>
      <c r="B119" s="388"/>
    </row>
    <row r="120" spans="1:2" x14ac:dyDescent="0.25">
      <c r="A120" s="388"/>
      <c r="B120" s="388"/>
    </row>
    <row r="121" spans="1:2" x14ac:dyDescent="0.25">
      <c r="A121" s="388"/>
      <c r="B121" s="388"/>
    </row>
    <row r="122" spans="1:2" x14ac:dyDescent="0.25">
      <c r="A122" s="388"/>
      <c r="B122" s="388"/>
    </row>
    <row r="123" spans="1:2" x14ac:dyDescent="0.25">
      <c r="A123" s="388"/>
      <c r="B123" s="388"/>
    </row>
    <row r="124" spans="1:2" x14ac:dyDescent="0.25">
      <c r="A124" s="388"/>
      <c r="B124" s="388"/>
    </row>
    <row r="125" spans="1:2" x14ac:dyDescent="0.25">
      <c r="A125" s="388"/>
      <c r="B125" s="388"/>
    </row>
    <row r="126" spans="1:2" x14ac:dyDescent="0.25">
      <c r="A126" s="388"/>
      <c r="B126" s="388"/>
    </row>
    <row r="127" spans="1:2" x14ac:dyDescent="0.25">
      <c r="A127" s="388"/>
      <c r="B127" s="388"/>
    </row>
    <row r="128" spans="1:2" x14ac:dyDescent="0.25">
      <c r="A128" s="388"/>
      <c r="B128" s="388"/>
    </row>
    <row r="129" spans="1:2" x14ac:dyDescent="0.25">
      <c r="A129" s="388"/>
      <c r="B129" s="388"/>
    </row>
    <row r="130" spans="1:2" x14ac:dyDescent="0.25">
      <c r="A130" s="388"/>
      <c r="B130" s="388"/>
    </row>
    <row r="131" spans="1:2" x14ac:dyDescent="0.25">
      <c r="A131" s="388"/>
      <c r="B131" s="388"/>
    </row>
    <row r="132" spans="1:2" x14ac:dyDescent="0.25">
      <c r="A132" s="388"/>
      <c r="B132" s="388"/>
    </row>
    <row r="133" spans="1:2" x14ac:dyDescent="0.25">
      <c r="A133" s="388"/>
      <c r="B133" s="388"/>
    </row>
    <row r="134" spans="1:2" x14ac:dyDescent="0.25">
      <c r="A134" s="388"/>
      <c r="B134" s="388"/>
    </row>
    <row r="135" spans="1:2" x14ac:dyDescent="0.25">
      <c r="A135" s="388"/>
      <c r="B135" s="388"/>
    </row>
    <row r="136" spans="1:2" x14ac:dyDescent="0.25">
      <c r="A136" s="388"/>
      <c r="B136" s="388"/>
    </row>
    <row r="137" spans="1:2" x14ac:dyDescent="0.25">
      <c r="A137" s="388"/>
      <c r="B137" s="388"/>
    </row>
    <row r="138" spans="1:2" x14ac:dyDescent="0.25">
      <c r="A138" s="388"/>
      <c r="B138" s="388"/>
    </row>
    <row r="139" spans="1:2" x14ac:dyDescent="0.25">
      <c r="A139" s="388"/>
      <c r="B139" s="388"/>
    </row>
    <row r="140" spans="1:2" x14ac:dyDescent="0.25">
      <c r="A140" s="388"/>
      <c r="B140" s="388"/>
    </row>
    <row r="141" spans="1:2" x14ac:dyDescent="0.25">
      <c r="A141" s="388"/>
      <c r="B141" s="388"/>
    </row>
    <row r="142" spans="1:2" x14ac:dyDescent="0.25">
      <c r="A142" s="388"/>
      <c r="B142" s="388"/>
    </row>
    <row r="143" spans="1:2" x14ac:dyDescent="0.25">
      <c r="A143" s="388"/>
      <c r="B143" s="388"/>
    </row>
    <row r="144" spans="1:2" x14ac:dyDescent="0.25">
      <c r="A144" s="388"/>
      <c r="B144" s="388"/>
    </row>
    <row r="145" spans="1:2" x14ac:dyDescent="0.25">
      <c r="A145" s="388"/>
      <c r="B145" s="388"/>
    </row>
    <row r="146" spans="1:2" x14ac:dyDescent="0.25">
      <c r="A146" s="388"/>
      <c r="B146" s="388"/>
    </row>
    <row r="147" spans="1:2" x14ac:dyDescent="0.25">
      <c r="A147" s="388"/>
      <c r="B147" s="388"/>
    </row>
    <row r="148" spans="1:2" x14ac:dyDescent="0.25">
      <c r="A148" s="388"/>
      <c r="B148" s="388"/>
    </row>
    <row r="149" spans="1:2" x14ac:dyDescent="0.25">
      <c r="A149" s="388"/>
      <c r="B149" s="388"/>
    </row>
    <row r="150" spans="1:2" x14ac:dyDescent="0.25">
      <c r="A150" s="388"/>
      <c r="B150" s="388"/>
    </row>
    <row r="151" spans="1:2" x14ac:dyDescent="0.25">
      <c r="A151" s="388"/>
      <c r="B151" s="388"/>
    </row>
    <row r="152" spans="1:2" x14ac:dyDescent="0.25">
      <c r="A152" s="388"/>
      <c r="B152" s="388"/>
    </row>
    <row r="153" spans="1:2" x14ac:dyDescent="0.25">
      <c r="A153" s="388"/>
      <c r="B153" s="388"/>
    </row>
    <row r="154" spans="1:2" x14ac:dyDescent="0.25">
      <c r="A154" s="388"/>
      <c r="B154" s="388"/>
    </row>
    <row r="155" spans="1:2" x14ac:dyDescent="0.25">
      <c r="A155" s="388"/>
      <c r="B155" s="388"/>
    </row>
    <row r="156" spans="1:2" x14ac:dyDescent="0.25">
      <c r="A156" s="388"/>
      <c r="B156" s="388"/>
    </row>
    <row r="157" spans="1:2" x14ac:dyDescent="0.25">
      <c r="A157" s="388"/>
      <c r="B157" s="388"/>
    </row>
    <row r="158" spans="1:2" x14ac:dyDescent="0.25">
      <c r="A158" s="388"/>
      <c r="B158" s="388"/>
    </row>
    <row r="159" spans="1:2" x14ac:dyDescent="0.25">
      <c r="A159" s="388"/>
      <c r="B159" s="388"/>
    </row>
    <row r="160" spans="1:2" x14ac:dyDescent="0.25">
      <c r="A160" s="388"/>
      <c r="B160" s="388"/>
    </row>
    <row r="161" spans="1:2" x14ac:dyDescent="0.25">
      <c r="A161" s="388"/>
      <c r="B161" s="388"/>
    </row>
    <row r="162" spans="1:2" x14ac:dyDescent="0.25">
      <c r="A162" s="388"/>
      <c r="B162" s="388"/>
    </row>
    <row r="163" spans="1:2" x14ac:dyDescent="0.25">
      <c r="A163" s="388"/>
      <c r="B163" s="388"/>
    </row>
    <row r="164" spans="1:2" x14ac:dyDescent="0.25">
      <c r="A164" s="388"/>
      <c r="B164" s="388"/>
    </row>
    <row r="165" spans="1:2" x14ac:dyDescent="0.25">
      <c r="A165" s="388"/>
      <c r="B165" s="388"/>
    </row>
    <row r="166" spans="1:2" x14ac:dyDescent="0.25">
      <c r="A166" s="388"/>
      <c r="B166" s="388"/>
    </row>
    <row r="167" spans="1:2" x14ac:dyDescent="0.25">
      <c r="A167" s="388"/>
      <c r="B167" s="388"/>
    </row>
    <row r="168" spans="1:2" x14ac:dyDescent="0.25">
      <c r="A168" s="388"/>
      <c r="B168" s="388"/>
    </row>
    <row r="169" spans="1:2" x14ac:dyDescent="0.25">
      <c r="A169" s="388"/>
      <c r="B169" s="388"/>
    </row>
    <row r="170" spans="1:2" x14ac:dyDescent="0.25">
      <c r="A170" s="388"/>
      <c r="B170" s="388"/>
    </row>
    <row r="171" spans="1:2" x14ac:dyDescent="0.25">
      <c r="A171" s="388"/>
      <c r="B171" s="388"/>
    </row>
    <row r="172" spans="1:2" x14ac:dyDescent="0.25">
      <c r="A172" s="388"/>
      <c r="B172" s="388"/>
    </row>
    <row r="173" spans="1:2" x14ac:dyDescent="0.25">
      <c r="A173" s="388"/>
      <c r="B173" s="388"/>
    </row>
    <row r="174" spans="1:2" x14ac:dyDescent="0.25">
      <c r="A174" s="388"/>
      <c r="B174" s="388"/>
    </row>
    <row r="175" spans="1:2" x14ac:dyDescent="0.25">
      <c r="A175" s="388"/>
      <c r="B175" s="388"/>
    </row>
    <row r="176" spans="1:2" x14ac:dyDescent="0.25">
      <c r="A176" s="388"/>
      <c r="B176" s="388"/>
    </row>
    <row r="177" spans="1:2" x14ac:dyDescent="0.25">
      <c r="A177" s="388"/>
      <c r="B177" s="388"/>
    </row>
    <row r="178" spans="1:2" x14ac:dyDescent="0.25">
      <c r="A178" s="388"/>
      <c r="B178" s="388"/>
    </row>
    <row r="179" spans="1:2" x14ac:dyDescent="0.25">
      <c r="A179" s="388"/>
      <c r="B179" s="388"/>
    </row>
    <row r="180" spans="1:2" x14ac:dyDescent="0.25">
      <c r="A180" s="388"/>
      <c r="B180" s="388"/>
    </row>
    <row r="181" spans="1:2" x14ac:dyDescent="0.25">
      <c r="A181" s="388"/>
      <c r="B181" s="388"/>
    </row>
    <row r="182" spans="1:2" x14ac:dyDescent="0.25">
      <c r="A182" s="388"/>
      <c r="B182" s="388"/>
    </row>
    <row r="183" spans="1:2" x14ac:dyDescent="0.25">
      <c r="A183" s="388"/>
      <c r="B183" s="388"/>
    </row>
    <row r="184" spans="1:2" x14ac:dyDescent="0.25">
      <c r="A184" s="388"/>
      <c r="B184" s="388"/>
    </row>
    <row r="185" spans="1:2" x14ac:dyDescent="0.25">
      <c r="A185" s="388"/>
      <c r="B185" s="388"/>
    </row>
    <row r="186" spans="1:2" x14ac:dyDescent="0.25">
      <c r="A186" s="388"/>
      <c r="B186" s="388"/>
    </row>
    <row r="187" spans="1:2" x14ac:dyDescent="0.25">
      <c r="A187" s="388"/>
      <c r="B187" s="388"/>
    </row>
    <row r="188" spans="1:2" x14ac:dyDescent="0.25">
      <c r="A188" s="388"/>
      <c r="B188" s="388"/>
    </row>
    <row r="189" spans="1:2" x14ac:dyDescent="0.25">
      <c r="A189" s="388"/>
      <c r="B189" s="388"/>
    </row>
    <row r="190" spans="1:2" x14ac:dyDescent="0.25">
      <c r="A190" s="388"/>
      <c r="B190" s="388"/>
    </row>
    <row r="191" spans="1:2" x14ac:dyDescent="0.25">
      <c r="A191" s="388"/>
      <c r="B191" s="388"/>
    </row>
    <row r="192" spans="1:2" x14ac:dyDescent="0.25">
      <c r="A192" s="388"/>
      <c r="B192" s="388"/>
    </row>
    <row r="193" spans="1:2" x14ac:dyDescent="0.25">
      <c r="A193" s="388"/>
      <c r="B193" s="388"/>
    </row>
    <row r="194" spans="1:2" x14ac:dyDescent="0.25">
      <c r="A194" s="388"/>
      <c r="B194" s="388"/>
    </row>
    <row r="195" spans="1:2" x14ac:dyDescent="0.25">
      <c r="A195" s="388"/>
      <c r="B195" s="388"/>
    </row>
    <row r="196" spans="1:2" x14ac:dyDescent="0.25">
      <c r="A196" s="388"/>
      <c r="B196" s="388"/>
    </row>
    <row r="197" spans="1:2" x14ac:dyDescent="0.25">
      <c r="A197" s="388"/>
      <c r="B197" s="388"/>
    </row>
    <row r="198" spans="1:2" x14ac:dyDescent="0.25">
      <c r="A198" s="388"/>
      <c r="B198" s="388"/>
    </row>
    <row r="199" spans="1:2" x14ac:dyDescent="0.25">
      <c r="A199" s="388"/>
      <c r="B199" s="388"/>
    </row>
    <row r="200" spans="1:2" x14ac:dyDescent="0.25">
      <c r="A200" s="388"/>
      <c r="B200" s="388"/>
    </row>
    <row r="201" spans="1:2" x14ac:dyDescent="0.25">
      <c r="A201" s="388"/>
      <c r="B201" s="388"/>
    </row>
    <row r="202" spans="1:2" x14ac:dyDescent="0.25">
      <c r="A202" s="388"/>
      <c r="B202" s="388"/>
    </row>
    <row r="203" spans="1:2" x14ac:dyDescent="0.25">
      <c r="A203" s="388"/>
      <c r="B203" s="388"/>
    </row>
    <row r="204" spans="1:2" x14ac:dyDescent="0.25">
      <c r="A204" s="388"/>
      <c r="B204" s="388"/>
    </row>
    <row r="205" spans="1:2" x14ac:dyDescent="0.25">
      <c r="A205" s="388"/>
      <c r="B205" s="388"/>
    </row>
    <row r="206" spans="1:2" x14ac:dyDescent="0.25">
      <c r="A206" s="388"/>
      <c r="B206" s="388"/>
    </row>
    <row r="207" spans="1:2" x14ac:dyDescent="0.25">
      <c r="A207" s="388"/>
      <c r="B207" s="388"/>
    </row>
    <row r="208" spans="1:2" x14ac:dyDescent="0.25">
      <c r="A208" s="388"/>
      <c r="B208" s="388"/>
    </row>
    <row r="209" spans="1:2" x14ac:dyDescent="0.25">
      <c r="A209" s="388"/>
      <c r="B209" s="388"/>
    </row>
    <row r="210" spans="1:2" x14ac:dyDescent="0.25">
      <c r="A210" s="388"/>
      <c r="B210" s="388"/>
    </row>
    <row r="211" spans="1:2" x14ac:dyDescent="0.25">
      <c r="A211" s="388"/>
      <c r="B211" s="388"/>
    </row>
    <row r="212" spans="1:2" x14ac:dyDescent="0.25">
      <c r="A212" s="388"/>
      <c r="B212" s="388"/>
    </row>
    <row r="213" spans="1:2" x14ac:dyDescent="0.25">
      <c r="A213" s="388"/>
      <c r="B213" s="388"/>
    </row>
    <row r="214" spans="1:2" x14ac:dyDescent="0.25">
      <c r="A214" s="388"/>
      <c r="B214" s="388"/>
    </row>
    <row r="215" spans="1:2" x14ac:dyDescent="0.25">
      <c r="A215" s="388"/>
      <c r="B215" s="388"/>
    </row>
    <row r="216" spans="1:2" x14ac:dyDescent="0.25">
      <c r="A216" s="388"/>
      <c r="B216" s="388"/>
    </row>
    <row r="217" spans="1:2" x14ac:dyDescent="0.25">
      <c r="A217" s="388"/>
      <c r="B217" s="388"/>
    </row>
    <row r="218" spans="1:2" x14ac:dyDescent="0.25">
      <c r="A218" s="388"/>
      <c r="B218" s="388"/>
    </row>
    <row r="219" spans="1:2" x14ac:dyDescent="0.25">
      <c r="A219" s="388"/>
      <c r="B219" s="388"/>
    </row>
    <row r="220" spans="1:2" x14ac:dyDescent="0.25">
      <c r="A220" s="388"/>
      <c r="B220" s="388"/>
    </row>
    <row r="221" spans="1:2" x14ac:dyDescent="0.25">
      <c r="A221" s="388"/>
      <c r="B221" s="388"/>
    </row>
    <row r="222" spans="1:2" x14ac:dyDescent="0.25">
      <c r="A222" s="388"/>
      <c r="B222" s="388"/>
    </row>
    <row r="223" spans="1:2" x14ac:dyDescent="0.25">
      <c r="A223" s="388"/>
      <c r="B223" s="388"/>
    </row>
    <row r="224" spans="1:2" x14ac:dyDescent="0.25">
      <c r="A224" s="388"/>
      <c r="B224" s="388"/>
    </row>
    <row r="225" spans="1:2" x14ac:dyDescent="0.25">
      <c r="A225" s="388"/>
      <c r="B225" s="388"/>
    </row>
    <row r="226" spans="1:2" x14ac:dyDescent="0.25">
      <c r="A226" s="388"/>
      <c r="B226" s="388"/>
    </row>
    <row r="227" spans="1:2" x14ac:dyDescent="0.25">
      <c r="A227" s="388"/>
      <c r="B227" s="388"/>
    </row>
    <row r="228" spans="1:2" x14ac:dyDescent="0.25">
      <c r="A228" s="388"/>
      <c r="B228" s="388"/>
    </row>
    <row r="229" spans="1:2" x14ac:dyDescent="0.25">
      <c r="A229" s="388"/>
      <c r="B229" s="388"/>
    </row>
    <row r="230" spans="1:2" x14ac:dyDescent="0.25">
      <c r="A230" s="388"/>
      <c r="B230" s="388"/>
    </row>
    <row r="231" spans="1:2" x14ac:dyDescent="0.25">
      <c r="A231" s="388"/>
      <c r="B231" s="388"/>
    </row>
    <row r="232" spans="1:2" x14ac:dyDescent="0.25">
      <c r="A232" s="388"/>
      <c r="B232" s="388"/>
    </row>
    <row r="233" spans="1:2" x14ac:dyDescent="0.25">
      <c r="A233" s="388"/>
      <c r="B233" s="388"/>
    </row>
    <row r="234" spans="1:2" x14ac:dyDescent="0.25">
      <c r="A234" s="388"/>
      <c r="B234" s="388"/>
    </row>
    <row r="235" spans="1:2" x14ac:dyDescent="0.25">
      <c r="A235" s="388"/>
      <c r="B235" s="388"/>
    </row>
    <row r="236" spans="1:2" x14ac:dyDescent="0.25">
      <c r="A236" s="388"/>
      <c r="B236" s="388"/>
    </row>
    <row r="237" spans="1:2" x14ac:dyDescent="0.25">
      <c r="A237" s="388"/>
      <c r="B237" s="388"/>
    </row>
    <row r="238" spans="1:2" x14ac:dyDescent="0.25">
      <c r="A238" s="388"/>
      <c r="B238" s="388"/>
    </row>
    <row r="239" spans="1:2" x14ac:dyDescent="0.25">
      <c r="A239" s="388"/>
      <c r="B239" s="388"/>
    </row>
    <row r="240" spans="1:2" x14ac:dyDescent="0.25">
      <c r="A240" s="388"/>
      <c r="B240" s="388"/>
    </row>
    <row r="241" spans="1:2" x14ac:dyDescent="0.25">
      <c r="A241" s="388"/>
      <c r="B241" s="388"/>
    </row>
    <row r="242" spans="1:2" x14ac:dyDescent="0.25">
      <c r="A242" s="388"/>
      <c r="B242" s="388"/>
    </row>
    <row r="243" spans="1:2" x14ac:dyDescent="0.25">
      <c r="A243" s="388"/>
      <c r="B243" s="388"/>
    </row>
    <row r="244" spans="1:2" x14ac:dyDescent="0.25">
      <c r="A244" s="388"/>
      <c r="B244" s="388"/>
    </row>
    <row r="245" spans="1:2" x14ac:dyDescent="0.25">
      <c r="A245" s="388"/>
      <c r="B245" s="388"/>
    </row>
    <row r="246" spans="1:2" x14ac:dyDescent="0.25">
      <c r="A246" s="388"/>
      <c r="B246" s="388"/>
    </row>
    <row r="247" spans="1:2" x14ac:dyDescent="0.25">
      <c r="A247" s="388"/>
      <c r="B247" s="388"/>
    </row>
    <row r="248" spans="1:2" x14ac:dyDescent="0.25">
      <c r="A248" s="388"/>
      <c r="B248" s="388"/>
    </row>
    <row r="249" spans="1:2" x14ac:dyDescent="0.25">
      <c r="A249" s="388"/>
      <c r="B249" s="388"/>
    </row>
    <row r="250" spans="1:2" x14ac:dyDescent="0.25">
      <c r="A250" s="388"/>
      <c r="B250" s="388"/>
    </row>
    <row r="251" spans="1:2" x14ac:dyDescent="0.25">
      <c r="A251" s="388"/>
      <c r="B251" s="388"/>
    </row>
    <row r="252" spans="1:2" x14ac:dyDescent="0.25">
      <c r="A252" s="388"/>
      <c r="B252" s="388"/>
    </row>
    <row r="253" spans="1:2" x14ac:dyDescent="0.25">
      <c r="A253" s="388"/>
      <c r="B253" s="388"/>
    </row>
    <row r="254" spans="1:2" x14ac:dyDescent="0.25">
      <c r="A254" s="388"/>
      <c r="B254" s="388"/>
    </row>
    <row r="255" spans="1:2" x14ac:dyDescent="0.25">
      <c r="A255" s="388"/>
      <c r="B255" s="388"/>
    </row>
    <row r="256" spans="1:2" x14ac:dyDescent="0.25">
      <c r="A256" s="388"/>
      <c r="B256" s="388"/>
    </row>
    <row r="257" spans="1:2" x14ac:dyDescent="0.25">
      <c r="A257" s="388"/>
      <c r="B257" s="388"/>
    </row>
    <row r="258" spans="1:2" x14ac:dyDescent="0.25">
      <c r="A258" s="388"/>
      <c r="B258" s="388"/>
    </row>
    <row r="259" spans="1:2" x14ac:dyDescent="0.25">
      <c r="A259" s="388"/>
      <c r="B259" s="388"/>
    </row>
    <row r="260" spans="1:2" x14ac:dyDescent="0.25">
      <c r="A260" s="388"/>
      <c r="B260" s="388"/>
    </row>
    <row r="261" spans="1:2" x14ac:dyDescent="0.25">
      <c r="A261" s="388"/>
      <c r="B261" s="388"/>
    </row>
    <row r="262" spans="1:2" x14ac:dyDescent="0.25">
      <c r="A262" s="388"/>
      <c r="B262" s="388"/>
    </row>
    <row r="263" spans="1:2" x14ac:dyDescent="0.25">
      <c r="A263" s="388"/>
      <c r="B263" s="388"/>
    </row>
    <row r="264" spans="1:2" x14ac:dyDescent="0.25">
      <c r="A264" s="388"/>
      <c r="B264" s="388"/>
    </row>
    <row r="265" spans="1:2" x14ac:dyDescent="0.25">
      <c r="A265" s="388"/>
      <c r="B265" s="388"/>
    </row>
    <row r="266" spans="1:2" x14ac:dyDescent="0.25">
      <c r="A266" s="388"/>
      <c r="B266" s="388"/>
    </row>
    <row r="267" spans="1:2" x14ac:dyDescent="0.25">
      <c r="A267" s="388"/>
      <c r="B267" s="388"/>
    </row>
    <row r="268" spans="1:2" x14ac:dyDescent="0.25">
      <c r="A268" s="388"/>
      <c r="B268" s="388"/>
    </row>
    <row r="269" spans="1:2" x14ac:dyDescent="0.25">
      <c r="A269" s="388"/>
      <c r="B269" s="388"/>
    </row>
    <row r="270" spans="1:2" x14ac:dyDescent="0.25">
      <c r="A270" s="388"/>
      <c r="B270" s="388"/>
    </row>
    <row r="271" spans="1:2" x14ac:dyDescent="0.25">
      <c r="A271" s="388"/>
      <c r="B271" s="388"/>
    </row>
    <row r="272" spans="1:2" x14ac:dyDescent="0.25">
      <c r="A272" s="388"/>
      <c r="B272" s="388"/>
    </row>
    <row r="273" spans="1:2" x14ac:dyDescent="0.25">
      <c r="A273" s="388"/>
      <c r="B273" s="388"/>
    </row>
    <row r="274" spans="1:2" x14ac:dyDescent="0.25">
      <c r="A274" s="388"/>
      <c r="B274" s="388"/>
    </row>
    <row r="275" spans="1:2" x14ac:dyDescent="0.25">
      <c r="A275" s="388"/>
      <c r="B275" s="388"/>
    </row>
    <row r="276" spans="1:2" x14ac:dyDescent="0.25">
      <c r="A276" s="388"/>
      <c r="B276" s="388"/>
    </row>
    <row r="277" spans="1:2" x14ac:dyDescent="0.25">
      <c r="A277" s="388"/>
      <c r="B277" s="388"/>
    </row>
    <row r="278" spans="1:2" x14ac:dyDescent="0.25">
      <c r="A278" s="388"/>
      <c r="B278" s="388"/>
    </row>
    <row r="279" spans="1:2" x14ac:dyDescent="0.25">
      <c r="A279" s="388"/>
      <c r="B279" s="388"/>
    </row>
    <row r="280" spans="1:2" x14ac:dyDescent="0.25">
      <c r="A280" s="388"/>
      <c r="B280" s="388"/>
    </row>
    <row r="281" spans="1:2" x14ac:dyDescent="0.25">
      <c r="A281" s="388"/>
      <c r="B281" s="388"/>
    </row>
    <row r="282" spans="1:2" x14ac:dyDescent="0.25">
      <c r="A282" s="388"/>
      <c r="B282" s="388"/>
    </row>
    <row r="283" spans="1:2" x14ac:dyDescent="0.25">
      <c r="A283" s="388"/>
      <c r="B283" s="388"/>
    </row>
    <row r="284" spans="1:2" x14ac:dyDescent="0.25">
      <c r="A284" s="388"/>
      <c r="B284" s="388"/>
    </row>
    <row r="285" spans="1:2" x14ac:dyDescent="0.25">
      <c r="A285" s="388"/>
      <c r="B285" s="388"/>
    </row>
    <row r="286" spans="1:2" x14ac:dyDescent="0.25">
      <c r="A286" s="388"/>
      <c r="B286" s="388"/>
    </row>
    <row r="287" spans="1:2" x14ac:dyDescent="0.25">
      <c r="A287" s="388"/>
      <c r="B287" s="388"/>
    </row>
    <row r="288" spans="1:2" x14ac:dyDescent="0.25">
      <c r="A288" s="388"/>
      <c r="B288" s="388"/>
    </row>
    <row r="289" spans="1:2" x14ac:dyDescent="0.25">
      <c r="A289" s="388"/>
      <c r="B289" s="388"/>
    </row>
    <row r="290" spans="1:2" x14ac:dyDescent="0.25">
      <c r="A290" s="388"/>
      <c r="B290" s="388"/>
    </row>
    <row r="291" spans="1:2" x14ac:dyDescent="0.25">
      <c r="A291" s="388"/>
      <c r="B291" s="388"/>
    </row>
    <row r="292" spans="1:2" x14ac:dyDescent="0.25">
      <c r="A292" s="388"/>
      <c r="B292" s="388"/>
    </row>
    <row r="293" spans="1:2" x14ac:dyDescent="0.25">
      <c r="A293" s="388"/>
      <c r="B293" s="388"/>
    </row>
    <row r="294" spans="1:2" x14ac:dyDescent="0.25">
      <c r="A294" s="388"/>
      <c r="B294" s="388"/>
    </row>
    <row r="295" spans="1:2" x14ac:dyDescent="0.25">
      <c r="A295" s="388"/>
      <c r="B295" s="388"/>
    </row>
    <row r="296" spans="1:2" x14ac:dyDescent="0.25">
      <c r="A296" s="388"/>
      <c r="B296" s="388"/>
    </row>
    <row r="297" spans="1:2" x14ac:dyDescent="0.25">
      <c r="A297" s="388"/>
      <c r="B297" s="388"/>
    </row>
    <row r="298" spans="1:2" x14ac:dyDescent="0.25">
      <c r="A298" s="388"/>
      <c r="B298" s="388"/>
    </row>
    <row r="299" spans="1:2" x14ac:dyDescent="0.25">
      <c r="A299" s="388"/>
      <c r="B299" s="388"/>
    </row>
    <row r="300" spans="1:2" x14ac:dyDescent="0.25">
      <c r="A300" s="388"/>
      <c r="B300" s="388"/>
    </row>
    <row r="301" spans="1:2" x14ac:dyDescent="0.25">
      <c r="A301" s="388"/>
      <c r="B301" s="388"/>
    </row>
    <row r="302" spans="1:2" x14ac:dyDescent="0.25">
      <c r="A302" s="388"/>
      <c r="B302" s="388"/>
    </row>
    <row r="303" spans="1:2" x14ac:dyDescent="0.25">
      <c r="A303" s="388"/>
      <c r="B303" s="388"/>
    </row>
    <row r="304" spans="1:2" x14ac:dyDescent="0.25">
      <c r="A304" s="388"/>
      <c r="B304" s="388"/>
    </row>
    <row r="305" spans="1:2" x14ac:dyDescent="0.25">
      <c r="A305" s="388"/>
      <c r="B305" s="388"/>
    </row>
    <row r="306" spans="1:2" x14ac:dyDescent="0.25">
      <c r="A306" s="388"/>
      <c r="B306" s="388"/>
    </row>
    <row r="307" spans="1:2" x14ac:dyDescent="0.25">
      <c r="A307" s="388"/>
      <c r="B307" s="388"/>
    </row>
    <row r="308" spans="1:2" x14ac:dyDescent="0.25">
      <c r="A308" s="388"/>
      <c r="B308" s="388"/>
    </row>
    <row r="309" spans="1:2" x14ac:dyDescent="0.25">
      <c r="A309" s="388"/>
      <c r="B309" s="388"/>
    </row>
    <row r="310" spans="1:2" x14ac:dyDescent="0.25">
      <c r="A310" s="388"/>
      <c r="B310" s="388"/>
    </row>
    <row r="311" spans="1:2" x14ac:dyDescent="0.25">
      <c r="A311" s="388"/>
      <c r="B311" s="388"/>
    </row>
    <row r="312" spans="1:2" x14ac:dyDescent="0.25">
      <c r="A312" s="388"/>
      <c r="B312" s="388"/>
    </row>
    <row r="313" spans="1:2" x14ac:dyDescent="0.25">
      <c r="A313" s="388"/>
      <c r="B313" s="388"/>
    </row>
    <row r="314" spans="1:2" x14ac:dyDescent="0.25">
      <c r="A314" s="388"/>
      <c r="B314" s="388"/>
    </row>
    <row r="315" spans="1:2" x14ac:dyDescent="0.25">
      <c r="A315" s="388"/>
      <c r="B315" s="388"/>
    </row>
    <row r="316" spans="1:2" x14ac:dyDescent="0.25">
      <c r="A316" s="388"/>
      <c r="B316" s="388"/>
    </row>
    <row r="317" spans="1:2" x14ac:dyDescent="0.25">
      <c r="A317" s="388"/>
      <c r="B317" s="388"/>
    </row>
    <row r="318" spans="1:2" x14ac:dyDescent="0.25">
      <c r="A318" s="388"/>
      <c r="B318" s="388"/>
    </row>
    <row r="319" spans="1:2" x14ac:dyDescent="0.25">
      <c r="A319" s="388"/>
      <c r="B319" s="388"/>
    </row>
    <row r="320" spans="1:2" x14ac:dyDescent="0.25">
      <c r="A320" s="388"/>
      <c r="B320" s="388"/>
    </row>
    <row r="321" spans="1:2" x14ac:dyDescent="0.25">
      <c r="A321" s="388"/>
      <c r="B321" s="388"/>
    </row>
    <row r="322" spans="1:2" x14ac:dyDescent="0.25">
      <c r="A322" s="388"/>
      <c r="B322" s="388"/>
    </row>
    <row r="323" spans="1:2" x14ac:dyDescent="0.25">
      <c r="A323" s="388"/>
      <c r="B323" s="388"/>
    </row>
    <row r="324" spans="1:2" x14ac:dyDescent="0.25">
      <c r="A324" s="388"/>
      <c r="B324" s="388"/>
    </row>
    <row r="325" spans="1:2" x14ac:dyDescent="0.25">
      <c r="A325" s="388"/>
      <c r="B325" s="388"/>
    </row>
    <row r="326" spans="1:2" x14ac:dyDescent="0.25">
      <c r="A326" s="388"/>
      <c r="B326" s="388"/>
    </row>
    <row r="327" spans="1:2" x14ac:dyDescent="0.25">
      <c r="A327" s="388"/>
      <c r="B327" s="388"/>
    </row>
    <row r="328" spans="1:2" x14ac:dyDescent="0.25">
      <c r="A328" s="388"/>
      <c r="B328" s="388"/>
    </row>
    <row r="329" spans="1:2" x14ac:dyDescent="0.25">
      <c r="A329" s="388"/>
      <c r="B329" s="388"/>
    </row>
    <row r="330" spans="1:2" x14ac:dyDescent="0.25">
      <c r="A330" s="388"/>
      <c r="B330" s="388"/>
    </row>
    <row r="331" spans="1:2" x14ac:dyDescent="0.25">
      <c r="A331" s="388"/>
      <c r="B331" s="388"/>
    </row>
    <row r="332" spans="1:2" x14ac:dyDescent="0.25">
      <c r="A332" s="388"/>
      <c r="B332" s="388"/>
    </row>
    <row r="333" spans="1:2" x14ac:dyDescent="0.25">
      <c r="A333" s="388"/>
      <c r="B333" s="388"/>
    </row>
    <row r="334" spans="1:2" x14ac:dyDescent="0.25">
      <c r="A334" s="388"/>
      <c r="B334" s="388"/>
    </row>
    <row r="335" spans="1:2" x14ac:dyDescent="0.25">
      <c r="A335" s="388"/>
      <c r="B335" s="388"/>
    </row>
    <row r="336" spans="1:2" x14ac:dyDescent="0.25">
      <c r="A336" s="388"/>
      <c r="B336" s="388"/>
    </row>
    <row r="337" spans="1:2" x14ac:dyDescent="0.25">
      <c r="A337" s="388"/>
      <c r="B337" s="388"/>
    </row>
    <row r="338" spans="1:2" x14ac:dyDescent="0.25">
      <c r="A338" s="388"/>
      <c r="B338" s="388"/>
    </row>
    <row r="339" spans="1:2" x14ac:dyDescent="0.25">
      <c r="A339" s="388"/>
      <c r="B339" s="388"/>
    </row>
    <row r="340" spans="1:2" x14ac:dyDescent="0.25">
      <c r="A340" s="388"/>
      <c r="B340" s="388"/>
    </row>
    <row r="341" spans="1:2" x14ac:dyDescent="0.25">
      <c r="A341" s="388"/>
      <c r="B341" s="388"/>
    </row>
    <row r="342" spans="1:2" x14ac:dyDescent="0.25">
      <c r="A342" s="388"/>
      <c r="B342" s="388"/>
    </row>
    <row r="343" spans="1:2" x14ac:dyDescent="0.25">
      <c r="A343" s="388"/>
      <c r="B343" s="388"/>
    </row>
    <row r="344" spans="1:2" x14ac:dyDescent="0.25">
      <c r="A344" s="388"/>
      <c r="B344" s="388"/>
    </row>
    <row r="345" spans="1:2" x14ac:dyDescent="0.25">
      <c r="A345" s="388"/>
      <c r="B345" s="388"/>
    </row>
    <row r="346" spans="1:2" x14ac:dyDescent="0.25">
      <c r="A346" s="388"/>
      <c r="B346" s="388"/>
    </row>
    <row r="347" spans="1:2" x14ac:dyDescent="0.25">
      <c r="A347" s="388"/>
      <c r="B347" s="388"/>
    </row>
    <row r="348" spans="1:2" x14ac:dyDescent="0.25">
      <c r="A348" s="388"/>
      <c r="B348" s="388"/>
    </row>
    <row r="349" spans="1:2" x14ac:dyDescent="0.25">
      <c r="A349" s="388"/>
      <c r="B349" s="388"/>
    </row>
    <row r="350" spans="1:2" x14ac:dyDescent="0.25">
      <c r="A350" s="388"/>
      <c r="B350" s="388"/>
    </row>
    <row r="351" spans="1:2" x14ac:dyDescent="0.25">
      <c r="A351" s="388"/>
      <c r="B351" s="388"/>
    </row>
    <row r="352" spans="1:2" x14ac:dyDescent="0.25">
      <c r="A352" s="388"/>
      <c r="B352" s="388"/>
    </row>
    <row r="353" spans="1:2" x14ac:dyDescent="0.25">
      <c r="A353" s="388"/>
      <c r="B353" s="388"/>
    </row>
    <row r="354" spans="1:2" x14ac:dyDescent="0.25">
      <c r="A354" s="388"/>
      <c r="B354" s="388"/>
    </row>
    <row r="355" spans="1:2" x14ac:dyDescent="0.25">
      <c r="A355" s="388"/>
      <c r="B355" s="388"/>
    </row>
    <row r="356" spans="1:2" x14ac:dyDescent="0.25">
      <c r="A356" s="388"/>
      <c r="B356" s="388"/>
    </row>
    <row r="357" spans="1:2" x14ac:dyDescent="0.25">
      <c r="A357" s="388"/>
      <c r="B357" s="388"/>
    </row>
    <row r="358" spans="1:2" x14ac:dyDescent="0.25">
      <c r="A358" s="388"/>
      <c r="B358" s="388"/>
    </row>
    <row r="359" spans="1:2" x14ac:dyDescent="0.25">
      <c r="A359" s="388"/>
      <c r="B359" s="388"/>
    </row>
    <row r="360" spans="1:2" x14ac:dyDescent="0.25">
      <c r="A360" s="388"/>
      <c r="B360" s="388"/>
    </row>
    <row r="361" spans="1:2" x14ac:dyDescent="0.25">
      <c r="A361" s="388"/>
      <c r="B361" s="388"/>
    </row>
    <row r="362" spans="1:2" x14ac:dyDescent="0.25">
      <c r="A362" s="388"/>
      <c r="B362" s="388"/>
    </row>
    <row r="363" spans="1:2" x14ac:dyDescent="0.25">
      <c r="A363" s="388"/>
      <c r="B363" s="388"/>
    </row>
    <row r="364" spans="1:2" x14ac:dyDescent="0.25">
      <c r="A364" s="388"/>
      <c r="B364" s="388"/>
    </row>
    <row r="365" spans="1:2" x14ac:dyDescent="0.25">
      <c r="A365" s="388"/>
      <c r="B365" s="388"/>
    </row>
    <row r="366" spans="1:2" x14ac:dyDescent="0.25">
      <c r="A366" s="388"/>
      <c r="B366" s="388"/>
    </row>
    <row r="367" spans="1:2" x14ac:dyDescent="0.25">
      <c r="A367" s="388"/>
      <c r="B367" s="388"/>
    </row>
    <row r="368" spans="1:2" x14ac:dyDescent="0.25">
      <c r="A368" s="388"/>
      <c r="B368" s="388"/>
    </row>
    <row r="369" spans="1:2" x14ac:dyDescent="0.25">
      <c r="A369" s="388"/>
      <c r="B369" s="388"/>
    </row>
    <row r="370" spans="1:2" x14ac:dyDescent="0.25">
      <c r="A370" s="388"/>
      <c r="B370" s="388"/>
    </row>
    <row r="371" spans="1:2" x14ac:dyDescent="0.25">
      <c r="A371" s="388"/>
      <c r="B371" s="388"/>
    </row>
    <row r="372" spans="1:2" x14ac:dyDescent="0.25">
      <c r="A372" s="388"/>
      <c r="B372" s="388"/>
    </row>
    <row r="373" spans="1:2" x14ac:dyDescent="0.25">
      <c r="A373" s="388"/>
      <c r="B373" s="388"/>
    </row>
    <row r="374" spans="1:2" x14ac:dyDescent="0.25">
      <c r="A374" s="388"/>
      <c r="B374" s="388"/>
    </row>
    <row r="375" spans="1:2" x14ac:dyDescent="0.25">
      <c r="A375" s="388"/>
      <c r="B375" s="388"/>
    </row>
    <row r="376" spans="1:2" x14ac:dyDescent="0.25">
      <c r="A376" s="388"/>
      <c r="B376" s="388"/>
    </row>
    <row r="377" spans="1:2" x14ac:dyDescent="0.25">
      <c r="A377" s="388"/>
      <c r="B377" s="388"/>
    </row>
    <row r="378" spans="1:2" x14ac:dyDescent="0.25">
      <c r="A378" s="388"/>
      <c r="B378" s="388"/>
    </row>
    <row r="379" spans="1:2" x14ac:dyDescent="0.25">
      <c r="A379" s="388"/>
      <c r="B379" s="388"/>
    </row>
    <row r="380" spans="1:2" x14ac:dyDescent="0.25">
      <c r="A380" s="388"/>
      <c r="B380" s="388"/>
    </row>
    <row r="381" spans="1:2" x14ac:dyDescent="0.25">
      <c r="A381" s="388"/>
      <c r="B381" s="388"/>
    </row>
    <row r="382" spans="1:2" x14ac:dyDescent="0.25">
      <c r="A382" s="388"/>
      <c r="B382" s="388"/>
    </row>
    <row r="383" spans="1:2" x14ac:dyDescent="0.25">
      <c r="A383" s="388"/>
      <c r="B383" s="388"/>
    </row>
    <row r="384" spans="1:2" x14ac:dyDescent="0.25">
      <c r="A384" s="388"/>
      <c r="B384" s="388"/>
    </row>
    <row r="385" spans="1:2" x14ac:dyDescent="0.25">
      <c r="A385" s="388"/>
      <c r="B385" s="388"/>
    </row>
    <row r="386" spans="1:2" x14ac:dyDescent="0.25">
      <c r="A386" s="388"/>
      <c r="B386" s="388"/>
    </row>
    <row r="387" spans="1:2" x14ac:dyDescent="0.25">
      <c r="A387" s="388"/>
      <c r="B387" s="388"/>
    </row>
    <row r="388" spans="1:2" x14ac:dyDescent="0.25">
      <c r="A388" s="388"/>
      <c r="B388" s="388"/>
    </row>
    <row r="389" spans="1:2" x14ac:dyDescent="0.25">
      <c r="A389" s="388"/>
      <c r="B389" s="388"/>
    </row>
    <row r="390" spans="1:2" x14ac:dyDescent="0.25">
      <c r="A390" s="388"/>
      <c r="B390" s="388"/>
    </row>
    <row r="391" spans="1:2" x14ac:dyDescent="0.25">
      <c r="A391" s="388"/>
      <c r="B391" s="388"/>
    </row>
    <row r="392" spans="1:2" x14ac:dyDescent="0.25">
      <c r="A392" s="388"/>
      <c r="B392" s="388"/>
    </row>
    <row r="393" spans="1:2" x14ac:dyDescent="0.25">
      <c r="A393" s="388"/>
      <c r="B393" s="388"/>
    </row>
    <row r="394" spans="1:2" x14ac:dyDescent="0.25">
      <c r="A394" s="388"/>
      <c r="B394" s="388"/>
    </row>
    <row r="395" spans="1:2" x14ac:dyDescent="0.25">
      <c r="A395" s="388"/>
      <c r="B395" s="388"/>
    </row>
    <row r="396" spans="1:2" x14ac:dyDescent="0.25">
      <c r="A396" s="388"/>
      <c r="B396" s="388"/>
    </row>
    <row r="397" spans="1:2" x14ac:dyDescent="0.25">
      <c r="A397" s="388"/>
      <c r="B397" s="388"/>
    </row>
    <row r="398" spans="1:2" x14ac:dyDescent="0.25">
      <c r="A398" s="388"/>
      <c r="B398" s="388"/>
    </row>
    <row r="399" spans="1:2" x14ac:dyDescent="0.25">
      <c r="A399" s="388"/>
      <c r="B399" s="388"/>
    </row>
    <row r="400" spans="1:2" x14ac:dyDescent="0.25">
      <c r="A400" s="388"/>
      <c r="B400" s="388"/>
    </row>
    <row r="401" spans="1:2" x14ac:dyDescent="0.25">
      <c r="A401" s="388"/>
      <c r="B401" s="388"/>
    </row>
    <row r="402" spans="1:2" x14ac:dyDescent="0.25">
      <c r="A402" s="388"/>
      <c r="B402" s="388"/>
    </row>
    <row r="403" spans="1:2" x14ac:dyDescent="0.25">
      <c r="A403" s="388"/>
      <c r="B403" s="388"/>
    </row>
    <row r="404" spans="1:2" x14ac:dyDescent="0.25">
      <c r="A404" s="388"/>
      <c r="B404" s="388"/>
    </row>
    <row r="405" spans="1:2" x14ac:dyDescent="0.25">
      <c r="A405" s="388"/>
      <c r="B405" s="388"/>
    </row>
    <row r="406" spans="1:2" x14ac:dyDescent="0.25">
      <c r="A406" s="388"/>
      <c r="B406" s="388"/>
    </row>
    <row r="407" spans="1:2" x14ac:dyDescent="0.25">
      <c r="A407" s="388"/>
      <c r="B407" s="388"/>
    </row>
    <row r="408" spans="1:2" x14ac:dyDescent="0.25">
      <c r="A408" s="388"/>
      <c r="B408" s="388"/>
    </row>
    <row r="409" spans="1:2" x14ac:dyDescent="0.25">
      <c r="A409" s="388"/>
      <c r="B409" s="388"/>
    </row>
    <row r="410" spans="1:2" x14ac:dyDescent="0.25">
      <c r="A410" s="388"/>
      <c r="B410" s="388"/>
    </row>
    <row r="411" spans="1:2" x14ac:dyDescent="0.25">
      <c r="A411" s="388"/>
      <c r="B411" s="388"/>
    </row>
    <row r="412" spans="1:2" x14ac:dyDescent="0.25">
      <c r="A412" s="388"/>
      <c r="B412" s="388"/>
    </row>
    <row r="413" spans="1:2" x14ac:dyDescent="0.25">
      <c r="A413" s="388"/>
      <c r="B413" s="388"/>
    </row>
    <row r="414" spans="1:2" x14ac:dyDescent="0.25">
      <c r="A414" s="388"/>
      <c r="B414" s="388"/>
    </row>
    <row r="415" spans="1:2" x14ac:dyDescent="0.25">
      <c r="A415" s="388"/>
      <c r="B415" s="388"/>
    </row>
    <row r="416" spans="1:2" x14ac:dyDescent="0.25">
      <c r="A416" s="388"/>
      <c r="B416" s="388"/>
    </row>
    <row r="417" spans="1:2" x14ac:dyDescent="0.25">
      <c r="A417" s="388"/>
      <c r="B417" s="388"/>
    </row>
    <row r="418" spans="1:2" x14ac:dyDescent="0.25">
      <c r="A418" s="388"/>
      <c r="B418" s="388"/>
    </row>
    <row r="419" spans="1:2" x14ac:dyDescent="0.25">
      <c r="A419" s="388"/>
      <c r="B419" s="388"/>
    </row>
    <row r="420" spans="1:2" x14ac:dyDescent="0.25">
      <c r="A420" s="388"/>
      <c r="B420" s="388"/>
    </row>
    <row r="421" spans="1:2" x14ac:dyDescent="0.25">
      <c r="A421" s="388"/>
      <c r="B421" s="388"/>
    </row>
    <row r="422" spans="1:2" x14ac:dyDescent="0.25">
      <c r="A422" s="388"/>
      <c r="B422" s="388"/>
    </row>
    <row r="423" spans="1:2" x14ac:dyDescent="0.25">
      <c r="A423" s="388"/>
      <c r="B423" s="388"/>
    </row>
    <row r="424" spans="1:2" x14ac:dyDescent="0.25">
      <c r="A424" s="388"/>
      <c r="B424" s="388"/>
    </row>
    <row r="425" spans="1:2" x14ac:dyDescent="0.25">
      <c r="A425" s="388"/>
      <c r="B425" s="388"/>
    </row>
    <row r="426" spans="1:2" x14ac:dyDescent="0.25">
      <c r="A426" s="388"/>
      <c r="B426" s="388"/>
    </row>
    <row r="427" spans="1:2" x14ac:dyDescent="0.25">
      <c r="A427" s="388"/>
      <c r="B427" s="388"/>
    </row>
    <row r="428" spans="1:2" x14ac:dyDescent="0.25">
      <c r="A428" s="388"/>
      <c r="B428" s="388"/>
    </row>
    <row r="429" spans="1:2" x14ac:dyDescent="0.25">
      <c r="A429" s="388"/>
      <c r="B429" s="388"/>
    </row>
    <row r="430" spans="1:2" x14ac:dyDescent="0.25">
      <c r="A430" s="388"/>
      <c r="B430" s="388"/>
    </row>
    <row r="431" spans="1:2" x14ac:dyDescent="0.25">
      <c r="A431" s="388"/>
      <c r="B431" s="388"/>
    </row>
    <row r="432" spans="1:2" x14ac:dyDescent="0.25">
      <c r="A432" s="388"/>
      <c r="B432" s="388"/>
    </row>
    <row r="433" spans="1:2" x14ac:dyDescent="0.25">
      <c r="A433" s="388"/>
      <c r="B433" s="388"/>
    </row>
    <row r="434" spans="1:2" x14ac:dyDescent="0.25">
      <c r="A434" s="388"/>
      <c r="B434" s="388"/>
    </row>
    <row r="435" spans="1:2" x14ac:dyDescent="0.25">
      <c r="A435" s="388"/>
      <c r="B435" s="388"/>
    </row>
    <row r="436" spans="1:2" x14ac:dyDescent="0.25">
      <c r="A436" s="388"/>
      <c r="B436" s="388"/>
    </row>
    <row r="437" spans="1:2" x14ac:dyDescent="0.25">
      <c r="A437" s="388"/>
      <c r="B437" s="388"/>
    </row>
    <row r="438" spans="1:2" x14ac:dyDescent="0.25">
      <c r="A438" s="388"/>
      <c r="B438" s="388"/>
    </row>
    <row r="439" spans="1:2" x14ac:dyDescent="0.25">
      <c r="A439" s="388"/>
      <c r="B439" s="388"/>
    </row>
    <row r="440" spans="1:2" x14ac:dyDescent="0.25">
      <c r="A440" s="388"/>
      <c r="B440" s="388"/>
    </row>
    <row r="441" spans="1:2" x14ac:dyDescent="0.25">
      <c r="A441" s="388"/>
      <c r="B441" s="388"/>
    </row>
    <row r="442" spans="1:2" x14ac:dyDescent="0.25">
      <c r="A442" s="388"/>
      <c r="B442" s="388"/>
    </row>
    <row r="443" spans="1:2" x14ac:dyDescent="0.25">
      <c r="A443" s="388"/>
      <c r="B443" s="388"/>
    </row>
    <row r="444" spans="1:2" x14ac:dyDescent="0.25">
      <c r="A444" s="388"/>
      <c r="B444" s="388"/>
    </row>
    <row r="445" spans="1:2" x14ac:dyDescent="0.25">
      <c r="A445" s="388"/>
      <c r="B445" s="388"/>
    </row>
    <row r="446" spans="1:2" x14ac:dyDescent="0.25">
      <c r="A446" s="388"/>
      <c r="B446" s="388"/>
    </row>
    <row r="447" spans="1:2" x14ac:dyDescent="0.25">
      <c r="A447" s="388"/>
      <c r="B447" s="388"/>
    </row>
    <row r="448" spans="1:2" x14ac:dyDescent="0.25">
      <c r="A448" s="388"/>
      <c r="B448" s="388"/>
    </row>
    <row r="449" spans="1:2" x14ac:dyDescent="0.25">
      <c r="A449" s="388"/>
      <c r="B449" s="388"/>
    </row>
    <row r="450" spans="1:2" x14ac:dyDescent="0.25">
      <c r="A450" s="388"/>
      <c r="B450" s="388"/>
    </row>
    <row r="451" spans="1:2" x14ac:dyDescent="0.25">
      <c r="A451" s="388"/>
      <c r="B451" s="388"/>
    </row>
    <row r="452" spans="1:2" x14ac:dyDescent="0.25">
      <c r="A452" s="388"/>
      <c r="B452" s="388"/>
    </row>
    <row r="453" spans="1:2" x14ac:dyDescent="0.25">
      <c r="A453" s="388"/>
      <c r="B453" s="388"/>
    </row>
    <row r="454" spans="1:2" x14ac:dyDescent="0.25">
      <c r="A454" s="388"/>
      <c r="B454" s="388"/>
    </row>
    <row r="455" spans="1:2" x14ac:dyDescent="0.25">
      <c r="A455" s="388"/>
      <c r="B455" s="388"/>
    </row>
    <row r="456" spans="1:2" x14ac:dyDescent="0.25">
      <c r="A456" s="388"/>
      <c r="B456" s="388"/>
    </row>
    <row r="457" spans="1:2" x14ac:dyDescent="0.25">
      <c r="A457" s="388"/>
      <c r="B457" s="388"/>
    </row>
    <row r="458" spans="1:2" x14ac:dyDescent="0.25">
      <c r="A458" s="388"/>
      <c r="B458" s="388"/>
    </row>
    <row r="459" spans="1:2" x14ac:dyDescent="0.25">
      <c r="A459" s="388"/>
      <c r="B459" s="388"/>
    </row>
    <row r="460" spans="1:2" x14ac:dyDescent="0.25">
      <c r="A460" s="388"/>
      <c r="B460" s="388"/>
    </row>
    <row r="461" spans="1:2" x14ac:dyDescent="0.25">
      <c r="A461" s="388"/>
      <c r="B461" s="388"/>
    </row>
    <row r="462" spans="1:2" x14ac:dyDescent="0.25">
      <c r="A462" s="388"/>
      <c r="B462" s="388"/>
    </row>
    <row r="463" spans="1:2" x14ac:dyDescent="0.25">
      <c r="A463" s="388"/>
      <c r="B463" s="388"/>
    </row>
    <row r="464" spans="1:2" x14ac:dyDescent="0.25">
      <c r="A464" s="388"/>
      <c r="B464" s="388"/>
    </row>
    <row r="465" spans="1:2" x14ac:dyDescent="0.25">
      <c r="A465" s="388"/>
      <c r="B465" s="388"/>
    </row>
    <row r="466" spans="1:2" x14ac:dyDescent="0.25">
      <c r="A466" s="388"/>
      <c r="B466" s="388"/>
    </row>
    <row r="467" spans="1:2" x14ac:dyDescent="0.25">
      <c r="A467" s="388"/>
      <c r="B467" s="388"/>
    </row>
    <row r="468" spans="1:2" x14ac:dyDescent="0.25">
      <c r="A468" s="388"/>
      <c r="B468" s="388"/>
    </row>
    <row r="469" spans="1:2" x14ac:dyDescent="0.25">
      <c r="A469" s="388"/>
      <c r="B469" s="388"/>
    </row>
    <row r="470" spans="1:2" x14ac:dyDescent="0.25">
      <c r="A470" s="388"/>
      <c r="B470" s="388"/>
    </row>
    <row r="471" spans="1:2" x14ac:dyDescent="0.25">
      <c r="A471" s="388"/>
      <c r="B471" s="388"/>
    </row>
    <row r="472" spans="1:2" x14ac:dyDescent="0.25">
      <c r="A472" s="388"/>
      <c r="B472" s="388"/>
    </row>
    <row r="473" spans="1:2" x14ac:dyDescent="0.25">
      <c r="A473" s="388"/>
      <c r="B473" s="388"/>
    </row>
    <row r="474" spans="1:2" x14ac:dyDescent="0.25">
      <c r="A474" s="388"/>
      <c r="B474" s="388"/>
    </row>
    <row r="475" spans="1:2" x14ac:dyDescent="0.25">
      <c r="A475" s="388"/>
      <c r="B475" s="388"/>
    </row>
    <row r="476" spans="1:2" x14ac:dyDescent="0.25">
      <c r="A476" s="388"/>
      <c r="B476" s="388"/>
    </row>
    <row r="477" spans="1:2" x14ac:dyDescent="0.25">
      <c r="A477" s="388"/>
      <c r="B477" s="388"/>
    </row>
    <row r="478" spans="1:2" x14ac:dyDescent="0.25">
      <c r="A478" s="388"/>
      <c r="B478" s="388"/>
    </row>
    <row r="479" spans="1:2" x14ac:dyDescent="0.25">
      <c r="A479" s="388"/>
      <c r="B479" s="388"/>
    </row>
    <row r="480" spans="1:2" x14ac:dyDescent="0.25">
      <c r="A480" s="388"/>
      <c r="B480" s="388"/>
    </row>
    <row r="481" spans="1:2" x14ac:dyDescent="0.25">
      <c r="A481" s="388"/>
      <c r="B481" s="388"/>
    </row>
    <row r="482" spans="1:2" x14ac:dyDescent="0.25">
      <c r="A482" s="388"/>
      <c r="B482" s="388"/>
    </row>
    <row r="483" spans="1:2" x14ac:dyDescent="0.25">
      <c r="A483" s="388"/>
      <c r="B483" s="388"/>
    </row>
    <row r="484" spans="1:2" x14ac:dyDescent="0.25">
      <c r="A484" s="388"/>
      <c r="B484" s="388"/>
    </row>
    <row r="485" spans="1:2" x14ac:dyDescent="0.25">
      <c r="A485" s="388"/>
      <c r="B485" s="388"/>
    </row>
    <row r="486" spans="1:2" x14ac:dyDescent="0.25">
      <c r="A486" s="388"/>
      <c r="B486" s="388"/>
    </row>
    <row r="487" spans="1:2" x14ac:dyDescent="0.25">
      <c r="A487" s="388"/>
      <c r="B487" s="388"/>
    </row>
    <row r="488" spans="1:2" x14ac:dyDescent="0.25">
      <c r="A488" s="388"/>
      <c r="B488" s="388"/>
    </row>
    <row r="489" spans="1:2" x14ac:dyDescent="0.25">
      <c r="A489" s="388"/>
      <c r="B489" s="388"/>
    </row>
    <row r="490" spans="1:2" x14ac:dyDescent="0.25">
      <c r="A490" s="388"/>
      <c r="B490" s="388"/>
    </row>
    <row r="491" spans="1:2" x14ac:dyDescent="0.25">
      <c r="A491" s="388"/>
      <c r="B491" s="388"/>
    </row>
    <row r="492" spans="1:2" x14ac:dyDescent="0.25">
      <c r="A492" s="388"/>
      <c r="B492" s="388"/>
    </row>
    <row r="493" spans="1:2" x14ac:dyDescent="0.25">
      <c r="A493" s="388"/>
      <c r="B493" s="388"/>
    </row>
    <row r="494" spans="1:2" x14ac:dyDescent="0.25">
      <c r="A494" s="388"/>
      <c r="B494" s="388"/>
    </row>
    <row r="495" spans="1:2" x14ac:dyDescent="0.25">
      <c r="A495" s="388"/>
      <c r="B495" s="388"/>
    </row>
    <row r="496" spans="1:2" x14ac:dyDescent="0.25">
      <c r="A496" s="388"/>
      <c r="B496" s="388"/>
    </row>
    <row r="497" spans="1:2" x14ac:dyDescent="0.25">
      <c r="A497" s="388"/>
      <c r="B497" s="388"/>
    </row>
    <row r="498" spans="1:2" x14ac:dyDescent="0.25">
      <c r="A498" s="388"/>
      <c r="B498" s="388"/>
    </row>
    <row r="499" spans="1:2" x14ac:dyDescent="0.25">
      <c r="A499" s="388"/>
      <c r="B499" s="388"/>
    </row>
    <row r="500" spans="1:2" x14ac:dyDescent="0.25">
      <c r="A500" s="388"/>
      <c r="B500" s="388"/>
    </row>
    <row r="501" spans="1:2" x14ac:dyDescent="0.25">
      <c r="A501" s="388"/>
      <c r="B501" s="388"/>
    </row>
    <row r="502" spans="1:2" x14ac:dyDescent="0.25">
      <c r="A502" s="388"/>
      <c r="B502" s="388"/>
    </row>
    <row r="503" spans="1:2" x14ac:dyDescent="0.25">
      <c r="A503" s="388"/>
      <c r="B503" s="388"/>
    </row>
    <row r="504" spans="1:2" x14ac:dyDescent="0.25">
      <c r="A504" s="388"/>
      <c r="B504" s="388"/>
    </row>
    <row r="505" spans="1:2" x14ac:dyDescent="0.25">
      <c r="A505" s="388"/>
      <c r="B505" s="388"/>
    </row>
    <row r="506" spans="1:2" x14ac:dyDescent="0.25">
      <c r="A506" s="388"/>
      <c r="B506" s="388"/>
    </row>
    <row r="507" spans="1:2" x14ac:dyDescent="0.25">
      <c r="A507" s="388"/>
      <c r="B507" s="388"/>
    </row>
    <row r="508" spans="1:2" x14ac:dyDescent="0.25">
      <c r="A508" s="388"/>
      <c r="B508" s="388"/>
    </row>
    <row r="509" spans="1:2" x14ac:dyDescent="0.25">
      <c r="A509" s="388"/>
      <c r="B509" s="388"/>
    </row>
    <row r="510" spans="1:2" x14ac:dyDescent="0.25">
      <c r="A510" s="388"/>
      <c r="B510" s="388"/>
    </row>
    <row r="511" spans="1:2" x14ac:dyDescent="0.25">
      <c r="A511" s="388"/>
      <c r="B511" s="388"/>
    </row>
    <row r="512" spans="1:2" x14ac:dyDescent="0.25">
      <c r="A512" s="388"/>
      <c r="B512" s="388"/>
    </row>
    <row r="513" spans="1:2" x14ac:dyDescent="0.25">
      <c r="A513" s="388"/>
      <c r="B513" s="388"/>
    </row>
    <row r="514" spans="1:2" x14ac:dyDescent="0.25">
      <c r="A514" s="388"/>
      <c r="B514" s="388"/>
    </row>
    <row r="515" spans="1:2" x14ac:dyDescent="0.25">
      <c r="A515" s="388"/>
      <c r="B515" s="388"/>
    </row>
    <row r="516" spans="1:2" x14ac:dyDescent="0.25">
      <c r="A516" s="388"/>
      <c r="B516" s="388"/>
    </row>
    <row r="517" spans="1:2" x14ac:dyDescent="0.25">
      <c r="A517" s="388"/>
      <c r="B517" s="388"/>
    </row>
    <row r="518" spans="1:2" x14ac:dyDescent="0.25">
      <c r="A518" s="388"/>
      <c r="B518" s="388"/>
    </row>
    <row r="519" spans="1:2" x14ac:dyDescent="0.25">
      <c r="A519" s="388"/>
      <c r="B519" s="388"/>
    </row>
    <row r="520" spans="1:2" x14ac:dyDescent="0.25">
      <c r="A520" s="388"/>
      <c r="B520" s="388"/>
    </row>
    <row r="521" spans="1:2" x14ac:dyDescent="0.25">
      <c r="A521" s="388"/>
      <c r="B521" s="388"/>
    </row>
    <row r="522" spans="1:2" x14ac:dyDescent="0.25">
      <c r="A522" s="388"/>
      <c r="B522" s="388"/>
    </row>
    <row r="523" spans="1:2" x14ac:dyDescent="0.25">
      <c r="A523" s="388"/>
      <c r="B523" s="388"/>
    </row>
    <row r="524" spans="1:2" x14ac:dyDescent="0.25">
      <c r="A524" s="388"/>
      <c r="B524" s="388"/>
    </row>
    <row r="525" spans="1:2" x14ac:dyDescent="0.25">
      <c r="A525" s="388"/>
      <c r="B525" s="388"/>
    </row>
    <row r="526" spans="1:2" x14ac:dyDescent="0.25">
      <c r="A526" s="388"/>
      <c r="B526" s="388"/>
    </row>
    <row r="527" spans="1:2" x14ac:dyDescent="0.25">
      <c r="A527" s="388"/>
      <c r="B527" s="388"/>
    </row>
    <row r="528" spans="1:2" x14ac:dyDescent="0.25">
      <c r="A528" s="388"/>
      <c r="B528" s="388"/>
    </row>
    <row r="529" spans="1:2" x14ac:dyDescent="0.25">
      <c r="A529" s="388"/>
      <c r="B529" s="388"/>
    </row>
    <row r="530" spans="1:2" x14ac:dyDescent="0.25">
      <c r="A530" s="388"/>
      <c r="B530" s="388"/>
    </row>
    <row r="531" spans="1:2" x14ac:dyDescent="0.25">
      <c r="A531" s="388"/>
      <c r="B531" s="388"/>
    </row>
    <row r="532" spans="1:2" x14ac:dyDescent="0.25">
      <c r="A532" s="388"/>
      <c r="B532" s="388"/>
    </row>
    <row r="533" spans="1:2" x14ac:dyDescent="0.25">
      <c r="A533" s="388"/>
      <c r="B533" s="388"/>
    </row>
    <row r="534" spans="1:2" x14ac:dyDescent="0.25">
      <c r="A534" s="388"/>
      <c r="B534" s="388"/>
    </row>
    <row r="535" spans="1:2" x14ac:dyDescent="0.25">
      <c r="A535" s="388"/>
      <c r="B535" s="388"/>
    </row>
    <row r="536" spans="1:2" x14ac:dyDescent="0.25">
      <c r="A536" s="388"/>
      <c r="B536" s="388"/>
    </row>
    <row r="537" spans="1:2" x14ac:dyDescent="0.25">
      <c r="A537" s="388"/>
      <c r="B537" s="388"/>
    </row>
    <row r="538" spans="1:2" x14ac:dyDescent="0.25">
      <c r="A538" s="388"/>
      <c r="B538" s="388"/>
    </row>
    <row r="539" spans="1:2" x14ac:dyDescent="0.25">
      <c r="A539" s="388"/>
      <c r="B539" s="388"/>
    </row>
    <row r="540" spans="1:2" x14ac:dyDescent="0.25">
      <c r="A540" s="388"/>
      <c r="B540" s="388"/>
    </row>
    <row r="541" spans="1:2" x14ac:dyDescent="0.25">
      <c r="A541" s="388"/>
      <c r="B541" s="388"/>
    </row>
    <row r="542" spans="1:2" x14ac:dyDescent="0.25">
      <c r="A542" s="388"/>
      <c r="B542" s="388"/>
    </row>
    <row r="543" spans="1:2" x14ac:dyDescent="0.25">
      <c r="A543" s="388"/>
      <c r="B543" s="388"/>
    </row>
    <row r="544" spans="1:2" x14ac:dyDescent="0.25">
      <c r="A544" s="388"/>
      <c r="B544" s="388"/>
    </row>
    <row r="545" spans="1:2" x14ac:dyDescent="0.25">
      <c r="A545" s="388"/>
      <c r="B545" s="388"/>
    </row>
    <row r="546" spans="1:2" x14ac:dyDescent="0.25">
      <c r="A546" s="388"/>
      <c r="B546" s="388"/>
    </row>
    <row r="547" spans="1:2" x14ac:dyDescent="0.25">
      <c r="A547" s="388"/>
      <c r="B547" s="388"/>
    </row>
    <row r="548" spans="1:2" x14ac:dyDescent="0.25">
      <c r="A548" s="388"/>
      <c r="B548" s="388"/>
    </row>
    <row r="549" spans="1:2" x14ac:dyDescent="0.25">
      <c r="A549" s="388"/>
      <c r="B549" s="388"/>
    </row>
    <row r="550" spans="1:2" x14ac:dyDescent="0.25">
      <c r="A550" s="388"/>
      <c r="B550" s="388"/>
    </row>
    <row r="551" spans="1:2" x14ac:dyDescent="0.25">
      <c r="A551" s="388"/>
      <c r="B551" s="388"/>
    </row>
    <row r="552" spans="1:2" x14ac:dyDescent="0.25">
      <c r="A552" s="388"/>
      <c r="B552" s="388"/>
    </row>
    <row r="553" spans="1:2" x14ac:dyDescent="0.25">
      <c r="A553" s="388"/>
      <c r="B553" s="388"/>
    </row>
    <row r="554" spans="1:2" x14ac:dyDescent="0.25">
      <c r="A554" s="388"/>
      <c r="B554" s="388"/>
    </row>
    <row r="555" spans="1:2" x14ac:dyDescent="0.25">
      <c r="A555" s="388"/>
      <c r="B555" s="388"/>
    </row>
    <row r="556" spans="1:2" x14ac:dyDescent="0.25">
      <c r="A556" s="388"/>
      <c r="B556" s="388"/>
    </row>
    <row r="557" spans="1:2" x14ac:dyDescent="0.25">
      <c r="A557" s="388"/>
      <c r="B557" s="388"/>
    </row>
    <row r="558" spans="1:2" x14ac:dyDescent="0.25">
      <c r="A558" s="388"/>
      <c r="B558" s="388"/>
    </row>
    <row r="559" spans="1:2" x14ac:dyDescent="0.25">
      <c r="A559" s="388"/>
      <c r="B559" s="388"/>
    </row>
    <row r="560" spans="1:2" x14ac:dyDescent="0.25">
      <c r="A560" s="388"/>
      <c r="B560" s="388"/>
    </row>
    <row r="561" spans="1:2" x14ac:dyDescent="0.25">
      <c r="A561" s="388"/>
      <c r="B561" s="388"/>
    </row>
    <row r="562" spans="1:2" x14ac:dyDescent="0.25">
      <c r="A562" s="388"/>
      <c r="B562" s="388"/>
    </row>
    <row r="563" spans="1:2" x14ac:dyDescent="0.25">
      <c r="A563" s="388"/>
      <c r="B563" s="388"/>
    </row>
    <row r="564" spans="1:2" x14ac:dyDescent="0.25">
      <c r="A564" s="388"/>
      <c r="B564" s="388"/>
    </row>
    <row r="565" spans="1:2" x14ac:dyDescent="0.25">
      <c r="A565" s="388"/>
      <c r="B565" s="388"/>
    </row>
    <row r="566" spans="1:2" x14ac:dyDescent="0.25">
      <c r="A566" s="388"/>
      <c r="B566" s="388"/>
    </row>
    <row r="567" spans="1:2" x14ac:dyDescent="0.25">
      <c r="A567" s="388"/>
      <c r="B567" s="388"/>
    </row>
    <row r="568" spans="1:2" x14ac:dyDescent="0.25">
      <c r="A568" s="388"/>
      <c r="B568" s="388"/>
    </row>
    <row r="569" spans="1:2" x14ac:dyDescent="0.25">
      <c r="A569" s="388"/>
      <c r="B569" s="388"/>
    </row>
    <row r="570" spans="1:2" x14ac:dyDescent="0.25">
      <c r="A570" s="388"/>
      <c r="B570" s="388"/>
    </row>
    <row r="571" spans="1:2" x14ac:dyDescent="0.25">
      <c r="A571" s="388"/>
      <c r="B571" s="388"/>
    </row>
    <row r="572" spans="1:2" x14ac:dyDescent="0.25">
      <c r="A572" s="388"/>
      <c r="B572" s="388"/>
    </row>
    <row r="573" spans="1:2" x14ac:dyDescent="0.25">
      <c r="A573" s="388"/>
      <c r="B573" s="388"/>
    </row>
    <row r="574" spans="1:2" x14ac:dyDescent="0.25">
      <c r="A574" s="388"/>
      <c r="B574" s="388"/>
    </row>
    <row r="575" spans="1:2" x14ac:dyDescent="0.25">
      <c r="A575" s="388"/>
      <c r="B575" s="388"/>
    </row>
    <row r="576" spans="1:2" x14ac:dyDescent="0.25">
      <c r="A576" s="388"/>
      <c r="B576" s="388"/>
    </row>
    <row r="577" spans="1:2" x14ac:dyDescent="0.25">
      <c r="A577" s="388"/>
      <c r="B577" s="388"/>
    </row>
    <row r="578" spans="1:2" x14ac:dyDescent="0.25">
      <c r="A578" s="388"/>
      <c r="B578" s="388"/>
    </row>
    <row r="579" spans="1:2" x14ac:dyDescent="0.25">
      <c r="A579" s="388"/>
      <c r="B579" s="388"/>
    </row>
    <row r="580" spans="1:2" x14ac:dyDescent="0.25">
      <c r="A580" s="388"/>
      <c r="B580" s="388"/>
    </row>
    <row r="581" spans="1:2" x14ac:dyDescent="0.25">
      <c r="A581" s="388"/>
      <c r="B581" s="388"/>
    </row>
    <row r="582" spans="1:2" x14ac:dyDescent="0.25">
      <c r="A582" s="388"/>
      <c r="B582" s="388"/>
    </row>
    <row r="583" spans="1:2" x14ac:dyDescent="0.25">
      <c r="A583" s="388"/>
      <c r="B583" s="388"/>
    </row>
    <row r="584" spans="1:2" x14ac:dyDescent="0.25">
      <c r="A584" s="388"/>
      <c r="B584" s="388"/>
    </row>
    <row r="585" spans="1:2" x14ac:dyDescent="0.25">
      <c r="A585" s="388"/>
      <c r="B585" s="388"/>
    </row>
    <row r="586" spans="1:2" x14ac:dyDescent="0.25">
      <c r="A586" s="388"/>
      <c r="B586" s="388"/>
    </row>
    <row r="587" spans="1:2" x14ac:dyDescent="0.25">
      <c r="A587" s="388"/>
      <c r="B587" s="388"/>
    </row>
    <row r="588" spans="1:2" x14ac:dyDescent="0.25">
      <c r="A588" s="388"/>
      <c r="B588" s="388"/>
    </row>
    <row r="589" spans="1:2" x14ac:dyDescent="0.25">
      <c r="A589" s="388"/>
      <c r="B589" s="388"/>
    </row>
    <row r="590" spans="1:2" x14ac:dyDescent="0.25">
      <c r="A590" s="388"/>
      <c r="B590" s="388"/>
    </row>
    <row r="591" spans="1:2" x14ac:dyDescent="0.25">
      <c r="A591" s="388"/>
      <c r="B591" s="388"/>
    </row>
    <row r="592" spans="1:2" x14ac:dyDescent="0.25">
      <c r="A592" s="388"/>
      <c r="B592" s="388"/>
    </row>
    <row r="593" spans="1:2" x14ac:dyDescent="0.25">
      <c r="A593" s="388"/>
      <c r="B593" s="388"/>
    </row>
    <row r="594" spans="1:2" x14ac:dyDescent="0.25">
      <c r="A594" s="388"/>
      <c r="B594" s="388"/>
    </row>
    <row r="595" spans="1:2" x14ac:dyDescent="0.25">
      <c r="A595" s="388"/>
      <c r="B595" s="388"/>
    </row>
    <row r="596" spans="1:2" x14ac:dyDescent="0.25">
      <c r="A596" s="388"/>
      <c r="B596" s="388"/>
    </row>
    <row r="597" spans="1:2" x14ac:dyDescent="0.25">
      <c r="A597" s="388"/>
      <c r="B597" s="388"/>
    </row>
    <row r="598" spans="1:2" x14ac:dyDescent="0.25">
      <c r="A598" s="388"/>
      <c r="B598" s="388"/>
    </row>
    <row r="599" spans="1:2" x14ac:dyDescent="0.25">
      <c r="A599" s="388"/>
      <c r="B599" s="388"/>
    </row>
    <row r="600" spans="1:2" x14ac:dyDescent="0.25">
      <c r="A600" s="388"/>
      <c r="B600" s="388"/>
    </row>
    <row r="601" spans="1:2" x14ac:dyDescent="0.25">
      <c r="A601" s="388"/>
      <c r="B601" s="388"/>
    </row>
    <row r="602" spans="1:2" x14ac:dyDescent="0.25">
      <c r="A602" s="388"/>
      <c r="B602" s="388"/>
    </row>
    <row r="603" spans="1:2" x14ac:dyDescent="0.25">
      <c r="A603" s="388"/>
      <c r="B603" s="388"/>
    </row>
    <row r="604" spans="1:2" x14ac:dyDescent="0.25">
      <c r="A604" s="388"/>
      <c r="B604" s="388"/>
    </row>
    <row r="605" spans="1:2" x14ac:dyDescent="0.25">
      <c r="A605" s="388"/>
      <c r="B605" s="388"/>
    </row>
    <row r="606" spans="1:2" x14ac:dyDescent="0.25">
      <c r="A606" s="388"/>
      <c r="B606" s="388"/>
    </row>
    <row r="607" spans="1:2" x14ac:dyDescent="0.25">
      <c r="A607" s="388"/>
      <c r="B607" s="388"/>
    </row>
    <row r="608" spans="1:2" x14ac:dyDescent="0.25">
      <c r="A608" s="388"/>
      <c r="B608" s="388"/>
    </row>
    <row r="609" spans="1:2" x14ac:dyDescent="0.25">
      <c r="A609" s="388"/>
      <c r="B609" s="388"/>
    </row>
    <row r="610" spans="1:2" x14ac:dyDescent="0.25">
      <c r="A610" s="388"/>
      <c r="B610" s="388"/>
    </row>
    <row r="611" spans="1:2" x14ac:dyDescent="0.25">
      <c r="A611" s="388"/>
      <c r="B611" s="388"/>
    </row>
    <row r="612" spans="1:2" x14ac:dyDescent="0.25">
      <c r="A612" s="388"/>
      <c r="B612" s="388"/>
    </row>
    <row r="613" spans="1:2" x14ac:dyDescent="0.25">
      <c r="A613" s="388"/>
      <c r="B613" s="388"/>
    </row>
    <row r="614" spans="1:2" x14ac:dyDescent="0.25">
      <c r="A614" s="388"/>
      <c r="B614" s="388"/>
    </row>
    <row r="615" spans="1:2" x14ac:dyDescent="0.25">
      <c r="A615" s="388"/>
      <c r="B615" s="388"/>
    </row>
    <row r="616" spans="1:2" x14ac:dyDescent="0.25">
      <c r="A616" s="388"/>
      <c r="B616" s="388"/>
    </row>
    <row r="617" spans="1:2" x14ac:dyDescent="0.25">
      <c r="A617" s="388"/>
      <c r="B617" s="388"/>
    </row>
    <row r="618" spans="1:2" x14ac:dyDescent="0.25">
      <c r="A618" s="388"/>
      <c r="B618" s="388"/>
    </row>
    <row r="619" spans="1:2" x14ac:dyDescent="0.25">
      <c r="A619" s="388"/>
      <c r="B619" s="388"/>
    </row>
    <row r="620" spans="1:2" x14ac:dyDescent="0.25">
      <c r="A620" s="388"/>
      <c r="B620" s="388"/>
    </row>
    <row r="621" spans="1:2" x14ac:dyDescent="0.25">
      <c r="A621" s="388"/>
      <c r="B621" s="388"/>
    </row>
    <row r="622" spans="1:2" x14ac:dyDescent="0.25">
      <c r="A622" s="388"/>
      <c r="B622" s="388"/>
    </row>
    <row r="623" spans="1:2" x14ac:dyDescent="0.25">
      <c r="A623" s="388"/>
      <c r="B623" s="388"/>
    </row>
    <row r="624" spans="1:2" x14ac:dyDescent="0.25">
      <c r="A624" s="388"/>
      <c r="B624" s="388"/>
    </row>
    <row r="625" spans="1:2" x14ac:dyDescent="0.25">
      <c r="A625" s="388"/>
      <c r="B625" s="388"/>
    </row>
    <row r="626" spans="1:2" x14ac:dyDescent="0.25">
      <c r="A626" s="388"/>
      <c r="B626" s="388"/>
    </row>
    <row r="627" spans="1:2" x14ac:dyDescent="0.25">
      <c r="A627" s="388"/>
      <c r="B627" s="388"/>
    </row>
    <row r="628" spans="1:2" x14ac:dyDescent="0.25">
      <c r="A628" s="388"/>
      <c r="B628" s="388"/>
    </row>
    <row r="629" spans="1:2" x14ac:dyDescent="0.25">
      <c r="A629" s="388"/>
      <c r="B629" s="388"/>
    </row>
    <row r="630" spans="1:2" x14ac:dyDescent="0.25">
      <c r="A630" s="388"/>
      <c r="B630" s="388"/>
    </row>
    <row r="631" spans="1:2" x14ac:dyDescent="0.25">
      <c r="A631" s="388"/>
      <c r="B631" s="388"/>
    </row>
    <row r="632" spans="1:2" x14ac:dyDescent="0.25">
      <c r="A632" s="388"/>
      <c r="B632" s="388"/>
    </row>
    <row r="633" spans="1:2" x14ac:dyDescent="0.25">
      <c r="A633" s="388"/>
      <c r="B633" s="388"/>
    </row>
    <row r="634" spans="1:2" x14ac:dyDescent="0.25">
      <c r="A634" s="388"/>
      <c r="B634" s="388"/>
    </row>
    <row r="635" spans="1:2" x14ac:dyDescent="0.25">
      <c r="A635" s="388"/>
      <c r="B635" s="388"/>
    </row>
    <row r="636" spans="1:2" x14ac:dyDescent="0.25">
      <c r="A636" s="388"/>
      <c r="B636" s="388"/>
    </row>
    <row r="637" spans="1:2" x14ac:dyDescent="0.25">
      <c r="A637" s="388"/>
      <c r="B637" s="388"/>
    </row>
    <row r="638" spans="1:2" x14ac:dyDescent="0.25">
      <c r="A638" s="388"/>
      <c r="B638" s="388"/>
    </row>
    <row r="639" spans="1:2" x14ac:dyDescent="0.25">
      <c r="A639" s="388"/>
      <c r="B639" s="388"/>
    </row>
    <row r="640" spans="1:2" x14ac:dyDescent="0.25">
      <c r="A640" s="388"/>
      <c r="B640" s="388"/>
    </row>
    <row r="641" spans="1:2" x14ac:dyDescent="0.25">
      <c r="A641" s="388"/>
      <c r="B641" s="388"/>
    </row>
    <row r="642" spans="1:2" x14ac:dyDescent="0.25">
      <c r="A642" s="388"/>
      <c r="B642" s="388"/>
    </row>
    <row r="643" spans="1:2" x14ac:dyDescent="0.25">
      <c r="A643" s="388"/>
      <c r="B643" s="388"/>
    </row>
    <row r="644" spans="1:2" x14ac:dyDescent="0.25">
      <c r="A644" s="388"/>
      <c r="B644" s="388"/>
    </row>
    <row r="645" spans="1:2" x14ac:dyDescent="0.25">
      <c r="A645" s="388"/>
      <c r="B645" s="388"/>
    </row>
    <row r="646" spans="1:2" x14ac:dyDescent="0.25">
      <c r="A646" s="388"/>
      <c r="B646" s="388"/>
    </row>
    <row r="647" spans="1:2" x14ac:dyDescent="0.25">
      <c r="A647" s="388"/>
      <c r="B647" s="388"/>
    </row>
    <row r="648" spans="1:2" x14ac:dyDescent="0.25">
      <c r="A648" s="388"/>
      <c r="B648" s="388"/>
    </row>
    <row r="649" spans="1:2" x14ac:dyDescent="0.25">
      <c r="A649" s="388"/>
      <c r="B649" s="388"/>
    </row>
    <row r="650" spans="1:2" x14ac:dyDescent="0.25">
      <c r="A650" s="388"/>
      <c r="B650" s="388"/>
    </row>
    <row r="651" spans="1:2" x14ac:dyDescent="0.25">
      <c r="A651" s="388"/>
      <c r="B651" s="388"/>
    </row>
    <row r="652" spans="1:2" x14ac:dyDescent="0.25">
      <c r="A652" s="388"/>
      <c r="B652" s="388"/>
    </row>
    <row r="653" spans="1:2" x14ac:dyDescent="0.25">
      <c r="A653" s="388"/>
      <c r="B653" s="388"/>
    </row>
    <row r="654" spans="1:2" x14ac:dyDescent="0.25">
      <c r="A654" s="388"/>
      <c r="B654" s="388"/>
    </row>
    <row r="655" spans="1:2" x14ac:dyDescent="0.25">
      <c r="A655" s="388"/>
      <c r="B655" s="388"/>
    </row>
    <row r="656" spans="1:2" x14ac:dyDescent="0.25">
      <c r="A656" s="388"/>
      <c r="B656" s="388"/>
    </row>
    <row r="657" spans="1:2" x14ac:dyDescent="0.25">
      <c r="A657" s="388"/>
      <c r="B657" s="388"/>
    </row>
    <row r="658" spans="1:2" x14ac:dyDescent="0.25">
      <c r="A658" s="388"/>
      <c r="B658" s="388"/>
    </row>
    <row r="659" spans="1:2" x14ac:dyDescent="0.25">
      <c r="A659" s="388"/>
      <c r="B659" s="388"/>
    </row>
    <row r="660" spans="1:2" x14ac:dyDescent="0.25">
      <c r="A660" s="388"/>
      <c r="B660" s="388"/>
    </row>
    <row r="661" spans="1:2" x14ac:dyDescent="0.25">
      <c r="A661" s="388"/>
      <c r="B661" s="388"/>
    </row>
    <row r="662" spans="1:2" x14ac:dyDescent="0.25">
      <c r="A662" s="388"/>
      <c r="B662" s="388"/>
    </row>
    <row r="663" spans="1:2" x14ac:dyDescent="0.25">
      <c r="A663" s="388"/>
      <c r="B663" s="388"/>
    </row>
    <row r="664" spans="1:2" x14ac:dyDescent="0.25">
      <c r="A664" s="388"/>
      <c r="B664" s="388"/>
    </row>
    <row r="665" spans="1:2" x14ac:dyDescent="0.25">
      <c r="A665" s="388"/>
      <c r="B665" s="388"/>
    </row>
    <row r="666" spans="1:2" x14ac:dyDescent="0.25">
      <c r="A666" s="388"/>
      <c r="B666" s="388"/>
    </row>
    <row r="667" spans="1:2" x14ac:dyDescent="0.25">
      <c r="A667" s="388"/>
      <c r="B667" s="388"/>
    </row>
    <row r="668" spans="1:2" x14ac:dyDescent="0.25">
      <c r="A668" s="388"/>
      <c r="B668" s="388"/>
    </row>
    <row r="669" spans="1:2" x14ac:dyDescent="0.25">
      <c r="A669" s="388"/>
      <c r="B669" s="388"/>
    </row>
    <row r="670" spans="1:2" x14ac:dyDescent="0.25">
      <c r="A670" s="388"/>
      <c r="B670" s="388"/>
    </row>
    <row r="671" spans="1:2" x14ac:dyDescent="0.25">
      <c r="A671" s="388"/>
      <c r="B671" s="388"/>
    </row>
    <row r="672" spans="1:2" x14ac:dyDescent="0.25">
      <c r="A672" s="388"/>
      <c r="B672" s="388"/>
    </row>
    <row r="673" spans="1:2" x14ac:dyDescent="0.25">
      <c r="A673" s="388"/>
      <c r="B673" s="388"/>
    </row>
    <row r="674" spans="1:2" x14ac:dyDescent="0.25">
      <c r="A674" s="388"/>
      <c r="B674" s="388"/>
    </row>
    <row r="675" spans="1:2" x14ac:dyDescent="0.25">
      <c r="A675" s="388"/>
      <c r="B675" s="388"/>
    </row>
    <row r="676" spans="1:2" x14ac:dyDescent="0.25">
      <c r="A676" s="388"/>
      <c r="B676" s="388"/>
    </row>
    <row r="677" spans="1:2" x14ac:dyDescent="0.25">
      <c r="A677" s="388"/>
      <c r="B677" s="388"/>
    </row>
    <row r="678" spans="1:2" x14ac:dyDescent="0.25">
      <c r="A678" s="388"/>
      <c r="B678" s="388"/>
    </row>
    <row r="679" spans="1:2" x14ac:dyDescent="0.25">
      <c r="A679" s="388"/>
      <c r="B679" s="388"/>
    </row>
    <row r="680" spans="1:2" x14ac:dyDescent="0.25">
      <c r="A680" s="388"/>
      <c r="B680" s="388"/>
    </row>
    <row r="681" spans="1:2" x14ac:dyDescent="0.25">
      <c r="A681" s="388"/>
      <c r="B681" s="388"/>
    </row>
    <row r="682" spans="1:2" x14ac:dyDescent="0.25">
      <c r="A682" s="388"/>
      <c r="B682" s="388"/>
    </row>
    <row r="683" spans="1:2" x14ac:dyDescent="0.25">
      <c r="A683" s="388"/>
      <c r="B683" s="388"/>
    </row>
    <row r="684" spans="1:2" x14ac:dyDescent="0.25">
      <c r="A684" s="388"/>
      <c r="B684" s="388"/>
    </row>
    <row r="685" spans="1:2" x14ac:dyDescent="0.25">
      <c r="A685" s="388"/>
      <c r="B685" s="388"/>
    </row>
    <row r="686" spans="1:2" x14ac:dyDescent="0.25">
      <c r="A686" s="388"/>
      <c r="B686" s="388"/>
    </row>
    <row r="687" spans="1:2" x14ac:dyDescent="0.25">
      <c r="A687" s="388"/>
      <c r="B687" s="388"/>
    </row>
    <row r="688" spans="1:2" x14ac:dyDescent="0.25">
      <c r="A688" s="388"/>
      <c r="B688" s="388"/>
    </row>
    <row r="689" spans="1:2" x14ac:dyDescent="0.25">
      <c r="A689" s="388"/>
      <c r="B689" s="388"/>
    </row>
    <row r="690" spans="1:2" x14ac:dyDescent="0.25">
      <c r="A690" s="388"/>
      <c r="B690" s="388"/>
    </row>
    <row r="691" spans="1:2" x14ac:dyDescent="0.25">
      <c r="A691" s="388"/>
      <c r="B691" s="388"/>
    </row>
    <row r="692" spans="1:2" x14ac:dyDescent="0.25">
      <c r="A692" s="388"/>
      <c r="B692" s="388"/>
    </row>
    <row r="693" spans="1:2" x14ac:dyDescent="0.25">
      <c r="A693" s="388"/>
      <c r="B693" s="388"/>
    </row>
    <row r="694" spans="1:2" x14ac:dyDescent="0.25">
      <c r="A694" s="388"/>
      <c r="B694" s="388"/>
    </row>
    <row r="695" spans="1:2" x14ac:dyDescent="0.25">
      <c r="A695" s="388"/>
      <c r="B695" s="388"/>
    </row>
    <row r="696" spans="1:2" x14ac:dyDescent="0.25">
      <c r="A696" s="388"/>
      <c r="B696" s="388"/>
    </row>
    <row r="697" spans="1:2" x14ac:dyDescent="0.25">
      <c r="A697" s="388"/>
      <c r="B697" s="388"/>
    </row>
    <row r="698" spans="1:2" x14ac:dyDescent="0.25">
      <c r="A698" s="388"/>
      <c r="B698" s="388"/>
    </row>
    <row r="699" spans="1:2" x14ac:dyDescent="0.25">
      <c r="A699" s="388"/>
      <c r="B699" s="388"/>
    </row>
    <row r="700" spans="1:2" x14ac:dyDescent="0.25">
      <c r="A700" s="388"/>
      <c r="B700" s="388"/>
    </row>
    <row r="701" spans="1:2" x14ac:dyDescent="0.25">
      <c r="A701" s="388"/>
      <c r="B701" s="388"/>
    </row>
    <row r="702" spans="1:2" x14ac:dyDescent="0.25">
      <c r="A702" s="388"/>
      <c r="B702" s="388"/>
    </row>
    <row r="703" spans="1:2" x14ac:dyDescent="0.25">
      <c r="A703" s="388"/>
      <c r="B703" s="388"/>
    </row>
    <row r="704" spans="1:2" x14ac:dyDescent="0.25">
      <c r="A704" s="388"/>
      <c r="B704" s="388"/>
    </row>
    <row r="705" spans="1:2" x14ac:dyDescent="0.25">
      <c r="A705" s="388"/>
      <c r="B705" s="388"/>
    </row>
    <row r="706" spans="1:2" x14ac:dyDescent="0.25">
      <c r="A706" s="388"/>
      <c r="B706" s="388"/>
    </row>
    <row r="707" spans="1:2" x14ac:dyDescent="0.25">
      <c r="A707" s="388"/>
      <c r="B707" s="388"/>
    </row>
    <row r="708" spans="1:2" x14ac:dyDescent="0.25">
      <c r="A708" s="388"/>
      <c r="B708" s="388"/>
    </row>
    <row r="709" spans="1:2" x14ac:dyDescent="0.25">
      <c r="A709" s="388"/>
      <c r="B709" s="388"/>
    </row>
    <row r="710" spans="1:2" x14ac:dyDescent="0.25">
      <c r="A710" s="388"/>
      <c r="B710" s="388"/>
    </row>
    <row r="711" spans="1:2" x14ac:dyDescent="0.25">
      <c r="A711" s="388"/>
      <c r="B711" s="388"/>
    </row>
    <row r="712" spans="1:2" x14ac:dyDescent="0.25">
      <c r="A712" s="388"/>
      <c r="B712" s="388"/>
    </row>
    <row r="713" spans="1:2" x14ac:dyDescent="0.25">
      <c r="A713" s="388"/>
      <c r="B713" s="388"/>
    </row>
    <row r="714" spans="1:2" x14ac:dyDescent="0.25">
      <c r="A714" s="388"/>
      <c r="B714" s="388"/>
    </row>
    <row r="715" spans="1:2" x14ac:dyDescent="0.25">
      <c r="A715" s="388"/>
      <c r="B715" s="388"/>
    </row>
    <row r="716" spans="1:2" x14ac:dyDescent="0.25">
      <c r="A716" s="388"/>
      <c r="B716" s="388"/>
    </row>
    <row r="717" spans="1:2" x14ac:dyDescent="0.25">
      <c r="A717" s="388"/>
      <c r="B717" s="388"/>
    </row>
    <row r="718" spans="1:2" x14ac:dyDescent="0.25">
      <c r="A718" s="388"/>
      <c r="B718" s="388"/>
    </row>
    <row r="719" spans="1:2" x14ac:dyDescent="0.25">
      <c r="A719" s="388"/>
      <c r="B719" s="388"/>
    </row>
    <row r="720" spans="1:2" x14ac:dyDescent="0.25">
      <c r="A720" s="388"/>
      <c r="B720" s="388"/>
    </row>
    <row r="721" spans="1:2" x14ac:dyDescent="0.25">
      <c r="A721" s="388"/>
      <c r="B721" s="388"/>
    </row>
    <row r="722" spans="1:2" x14ac:dyDescent="0.25">
      <c r="A722" s="388"/>
      <c r="B722" s="388"/>
    </row>
    <row r="723" spans="1:2" x14ac:dyDescent="0.25">
      <c r="A723" s="388"/>
      <c r="B723" s="388"/>
    </row>
    <row r="724" spans="1:2" x14ac:dyDescent="0.25">
      <c r="A724" s="388"/>
      <c r="B724" s="388"/>
    </row>
    <row r="725" spans="1:2" x14ac:dyDescent="0.25">
      <c r="A725" s="388"/>
      <c r="B725" s="388"/>
    </row>
    <row r="726" spans="1:2" x14ac:dyDescent="0.25">
      <c r="A726" s="388"/>
      <c r="B726" s="388"/>
    </row>
    <row r="727" spans="1:2" x14ac:dyDescent="0.25">
      <c r="A727" s="388"/>
      <c r="B727" s="388"/>
    </row>
    <row r="728" spans="1:2" x14ac:dyDescent="0.25">
      <c r="A728" s="388"/>
      <c r="B728" s="388"/>
    </row>
    <row r="729" spans="1:2" x14ac:dyDescent="0.25">
      <c r="A729" s="388"/>
      <c r="B729" s="388"/>
    </row>
    <row r="730" spans="1:2" x14ac:dyDescent="0.25">
      <c r="A730" s="388"/>
      <c r="B730" s="388"/>
    </row>
    <row r="731" spans="1:2" x14ac:dyDescent="0.25">
      <c r="A731" s="388"/>
      <c r="B731" s="388"/>
    </row>
    <row r="732" spans="1:2" x14ac:dyDescent="0.25">
      <c r="A732" s="388"/>
      <c r="B732" s="388"/>
    </row>
    <row r="733" spans="1:2" x14ac:dyDescent="0.25">
      <c r="A733" s="388"/>
      <c r="B733" s="388"/>
    </row>
    <row r="734" spans="1:2" x14ac:dyDescent="0.25">
      <c r="A734" s="388"/>
      <c r="B734" s="388"/>
    </row>
    <row r="735" spans="1:2" x14ac:dyDescent="0.25">
      <c r="A735" s="388"/>
      <c r="B735" s="388"/>
    </row>
    <row r="736" spans="1:2" x14ac:dyDescent="0.25">
      <c r="A736" s="388"/>
      <c r="B736" s="388"/>
    </row>
    <row r="737" spans="1:2" x14ac:dyDescent="0.25">
      <c r="A737" s="388"/>
      <c r="B737" s="388"/>
    </row>
    <row r="738" spans="1:2" x14ac:dyDescent="0.25">
      <c r="A738" s="388"/>
      <c r="B738" s="388"/>
    </row>
    <row r="739" spans="1:2" x14ac:dyDescent="0.25">
      <c r="A739" s="388"/>
      <c r="B739" s="388"/>
    </row>
    <row r="740" spans="1:2" x14ac:dyDescent="0.25">
      <c r="A740" s="388"/>
      <c r="B740" s="388"/>
    </row>
    <row r="741" spans="1:2" x14ac:dyDescent="0.25">
      <c r="A741" s="388"/>
      <c r="B741" s="388"/>
    </row>
    <row r="742" spans="1:2" x14ac:dyDescent="0.25">
      <c r="A742" s="388"/>
      <c r="B742" s="388"/>
    </row>
    <row r="743" spans="1:2" x14ac:dyDescent="0.25">
      <c r="A743" s="388"/>
      <c r="B743" s="388"/>
    </row>
    <row r="744" spans="1:2" x14ac:dyDescent="0.25">
      <c r="A744" s="388"/>
      <c r="B744" s="388"/>
    </row>
    <row r="745" spans="1:2" x14ac:dyDescent="0.25">
      <c r="A745" s="388"/>
      <c r="B745" s="388"/>
    </row>
    <row r="746" spans="1:2" x14ac:dyDescent="0.25">
      <c r="A746" s="388"/>
      <c r="B746" s="388"/>
    </row>
    <row r="747" spans="1:2" x14ac:dyDescent="0.25">
      <c r="A747" s="388"/>
      <c r="B747" s="388"/>
    </row>
    <row r="748" spans="1:2" x14ac:dyDescent="0.25">
      <c r="A748" s="388"/>
      <c r="B748" s="388"/>
    </row>
    <row r="749" spans="1:2" x14ac:dyDescent="0.25">
      <c r="A749" s="388"/>
      <c r="B749" s="388"/>
    </row>
    <row r="750" spans="1:2" x14ac:dyDescent="0.25">
      <c r="A750" s="388"/>
      <c r="B750" s="388"/>
    </row>
    <row r="751" spans="1:2" x14ac:dyDescent="0.25">
      <c r="A751" s="388"/>
      <c r="B751" s="388"/>
    </row>
    <row r="752" spans="1:2" x14ac:dyDescent="0.25">
      <c r="A752" s="388"/>
      <c r="B752" s="388"/>
    </row>
    <row r="753" spans="1:2" x14ac:dyDescent="0.25">
      <c r="A753" s="388"/>
      <c r="B753" s="388"/>
    </row>
    <row r="754" spans="1:2" x14ac:dyDescent="0.25">
      <c r="A754" s="388"/>
      <c r="B754" s="388"/>
    </row>
    <row r="755" spans="1:2" x14ac:dyDescent="0.25">
      <c r="A755" s="388"/>
      <c r="B755" s="388"/>
    </row>
    <row r="756" spans="1:2" x14ac:dyDescent="0.25">
      <c r="A756" s="388"/>
      <c r="B756" s="388"/>
    </row>
    <row r="757" spans="1:2" x14ac:dyDescent="0.25">
      <c r="A757" s="388"/>
      <c r="B757" s="388"/>
    </row>
    <row r="758" spans="1:2" x14ac:dyDescent="0.25">
      <c r="A758" s="388"/>
      <c r="B758" s="388"/>
    </row>
    <row r="759" spans="1:2" x14ac:dyDescent="0.25">
      <c r="A759" s="388"/>
      <c r="B759" s="388"/>
    </row>
    <row r="760" spans="1:2" x14ac:dyDescent="0.25">
      <c r="A760" s="388"/>
      <c r="B760" s="388"/>
    </row>
    <row r="761" spans="1:2" x14ac:dyDescent="0.25">
      <c r="A761" s="388"/>
      <c r="B761" s="388"/>
    </row>
    <row r="762" spans="1:2" x14ac:dyDescent="0.25">
      <c r="A762" s="388"/>
      <c r="B762" s="388"/>
    </row>
    <row r="763" spans="1:2" x14ac:dyDescent="0.25">
      <c r="A763" s="388"/>
      <c r="B763" s="388"/>
    </row>
    <row r="764" spans="1:2" x14ac:dyDescent="0.25">
      <c r="A764" s="388"/>
      <c r="B764" s="388"/>
    </row>
    <row r="765" spans="1:2" x14ac:dyDescent="0.25">
      <c r="A765" s="388"/>
      <c r="B765" s="388"/>
    </row>
    <row r="766" spans="1:2" x14ac:dyDescent="0.25">
      <c r="A766" s="388"/>
      <c r="B766" s="388"/>
    </row>
    <row r="767" spans="1:2" x14ac:dyDescent="0.25">
      <c r="A767" s="388"/>
      <c r="B767" s="388"/>
    </row>
    <row r="768" spans="1:2" x14ac:dyDescent="0.25">
      <c r="A768" s="388"/>
      <c r="B768" s="388"/>
    </row>
    <row r="769" spans="1:2" x14ac:dyDescent="0.25">
      <c r="A769" s="388"/>
      <c r="B769" s="388"/>
    </row>
    <row r="770" spans="1:2" x14ac:dyDescent="0.25">
      <c r="A770" s="388"/>
      <c r="B770" s="388"/>
    </row>
    <row r="771" spans="1:2" x14ac:dyDescent="0.25">
      <c r="A771" s="388"/>
      <c r="B771" s="388"/>
    </row>
    <row r="772" spans="1:2" x14ac:dyDescent="0.25">
      <c r="A772" s="388"/>
      <c r="B772" s="388"/>
    </row>
    <row r="773" spans="1:2" x14ac:dyDescent="0.25">
      <c r="A773" s="388"/>
      <c r="B773" s="388"/>
    </row>
    <row r="774" spans="1:2" x14ac:dyDescent="0.25">
      <c r="A774" s="388"/>
      <c r="B774" s="388"/>
    </row>
    <row r="775" spans="1:2" x14ac:dyDescent="0.25">
      <c r="A775" s="388"/>
      <c r="B775" s="388"/>
    </row>
    <row r="776" spans="1:2" x14ac:dyDescent="0.25">
      <c r="A776" s="388"/>
      <c r="B776" s="388"/>
    </row>
    <row r="777" spans="1:2" x14ac:dyDescent="0.25">
      <c r="A777" s="388"/>
      <c r="B777" s="388"/>
    </row>
    <row r="778" spans="1:2" x14ac:dyDescent="0.25">
      <c r="A778" s="388"/>
      <c r="B778" s="388"/>
    </row>
    <row r="779" spans="1:2" x14ac:dyDescent="0.25">
      <c r="A779" s="388"/>
      <c r="B779" s="388"/>
    </row>
    <row r="780" spans="1:2" x14ac:dyDescent="0.25">
      <c r="A780" s="388"/>
      <c r="B780" s="388"/>
    </row>
    <row r="781" spans="1:2" x14ac:dyDescent="0.25">
      <c r="A781" s="388"/>
      <c r="B781" s="388"/>
    </row>
    <row r="782" spans="1:2" x14ac:dyDescent="0.25">
      <c r="A782" s="388"/>
      <c r="B782" s="388"/>
    </row>
    <row r="783" spans="1:2" x14ac:dyDescent="0.25">
      <c r="A783" s="388"/>
      <c r="B783" s="388"/>
    </row>
    <row r="784" spans="1:2" x14ac:dyDescent="0.25">
      <c r="A784" s="388"/>
      <c r="B784" s="388"/>
    </row>
    <row r="785" spans="1:2" x14ac:dyDescent="0.25">
      <c r="A785" s="388"/>
      <c r="B785" s="388"/>
    </row>
    <row r="786" spans="1:2" x14ac:dyDescent="0.25">
      <c r="A786" s="388"/>
      <c r="B786" s="388"/>
    </row>
    <row r="787" spans="1:2" x14ac:dyDescent="0.25">
      <c r="A787" s="388"/>
      <c r="B787" s="388"/>
    </row>
    <row r="788" spans="1:2" x14ac:dyDescent="0.25">
      <c r="A788" s="388"/>
      <c r="B788" s="388"/>
    </row>
    <row r="789" spans="1:2" x14ac:dyDescent="0.25">
      <c r="A789" s="388"/>
      <c r="B789" s="388"/>
    </row>
    <row r="790" spans="1:2" x14ac:dyDescent="0.25">
      <c r="A790" s="388"/>
      <c r="B790" s="388"/>
    </row>
    <row r="791" spans="1:2" x14ac:dyDescent="0.25">
      <c r="A791" s="388"/>
      <c r="B791" s="388"/>
    </row>
    <row r="792" spans="1:2" x14ac:dyDescent="0.25">
      <c r="A792" s="388"/>
      <c r="B792" s="388"/>
    </row>
    <row r="793" spans="1:2" x14ac:dyDescent="0.25">
      <c r="A793" s="388"/>
      <c r="B793" s="388"/>
    </row>
    <row r="794" spans="1:2" x14ac:dyDescent="0.25">
      <c r="A794" s="388"/>
      <c r="B794" s="388"/>
    </row>
    <row r="795" spans="1:2" x14ac:dyDescent="0.25">
      <c r="A795" s="388"/>
      <c r="B795" s="388"/>
    </row>
    <row r="796" spans="1:2" x14ac:dyDescent="0.25">
      <c r="A796" s="388"/>
      <c r="B796" s="388"/>
    </row>
    <row r="797" spans="1:2" x14ac:dyDescent="0.25">
      <c r="A797" s="388"/>
      <c r="B797" s="388"/>
    </row>
    <row r="798" spans="1:2" x14ac:dyDescent="0.25">
      <c r="A798" s="388"/>
      <c r="B798" s="388"/>
    </row>
    <row r="799" spans="1:2" x14ac:dyDescent="0.25">
      <c r="A799" s="388"/>
      <c r="B799" s="388"/>
    </row>
    <row r="800" spans="1:2" x14ac:dyDescent="0.25">
      <c r="A800" s="388"/>
      <c r="B800" s="388"/>
    </row>
    <row r="801" spans="1:2" x14ac:dyDescent="0.25">
      <c r="A801" s="388"/>
      <c r="B801" s="388"/>
    </row>
    <row r="802" spans="1:2" x14ac:dyDescent="0.25">
      <c r="A802" s="388"/>
      <c r="B802" s="388"/>
    </row>
    <row r="803" spans="1:2" x14ac:dyDescent="0.25">
      <c r="A803" s="388"/>
      <c r="B803" s="388"/>
    </row>
    <row r="804" spans="1:2" x14ac:dyDescent="0.25">
      <c r="A804" s="388"/>
      <c r="B804" s="388"/>
    </row>
    <row r="805" spans="1:2" x14ac:dyDescent="0.25">
      <c r="A805" s="388"/>
      <c r="B805" s="388"/>
    </row>
    <row r="806" spans="1:2" x14ac:dyDescent="0.25">
      <c r="A806" s="388"/>
      <c r="B806" s="388"/>
    </row>
    <row r="807" spans="1:2" x14ac:dyDescent="0.25">
      <c r="A807" s="388"/>
      <c r="B807" s="388"/>
    </row>
    <row r="808" spans="1:2" x14ac:dyDescent="0.25">
      <c r="A808" s="388"/>
      <c r="B808" s="388"/>
    </row>
    <row r="809" spans="1:2" x14ac:dyDescent="0.25">
      <c r="A809" s="388"/>
      <c r="B809" s="388"/>
    </row>
    <row r="810" spans="1:2" x14ac:dyDescent="0.25">
      <c r="A810" s="388"/>
      <c r="B810" s="388"/>
    </row>
    <row r="811" spans="1:2" x14ac:dyDescent="0.25">
      <c r="A811" s="388"/>
      <c r="B811" s="388"/>
    </row>
    <row r="812" spans="1:2" x14ac:dyDescent="0.25">
      <c r="A812" s="388"/>
      <c r="B812" s="388"/>
    </row>
    <row r="813" spans="1:2" x14ac:dyDescent="0.25">
      <c r="A813" s="388"/>
      <c r="B813" s="388"/>
    </row>
    <row r="814" spans="1:2" x14ac:dyDescent="0.25">
      <c r="A814" s="388"/>
      <c r="B814" s="388"/>
    </row>
    <row r="815" spans="1:2" x14ac:dyDescent="0.25">
      <c r="A815" s="388"/>
      <c r="B815" s="388"/>
    </row>
    <row r="816" spans="1:2" x14ac:dyDescent="0.25">
      <c r="A816" s="388"/>
      <c r="B816" s="388"/>
    </row>
    <row r="817" spans="1:2" x14ac:dyDescent="0.25">
      <c r="A817" s="388"/>
      <c r="B817" s="388"/>
    </row>
    <row r="818" spans="1:2" x14ac:dyDescent="0.25">
      <c r="A818" s="388"/>
      <c r="B818" s="388"/>
    </row>
    <row r="819" spans="1:2" x14ac:dyDescent="0.25">
      <c r="A819" s="388"/>
      <c r="B819" s="388"/>
    </row>
    <row r="820" spans="1:2" x14ac:dyDescent="0.25">
      <c r="A820" s="388"/>
      <c r="B820" s="388"/>
    </row>
    <row r="821" spans="1:2" x14ac:dyDescent="0.25">
      <c r="A821" s="388"/>
      <c r="B821" s="388"/>
    </row>
    <row r="822" spans="1:2" x14ac:dyDescent="0.25">
      <c r="A822" s="388"/>
      <c r="B822" s="388"/>
    </row>
    <row r="823" spans="1:2" x14ac:dyDescent="0.25">
      <c r="A823" s="388"/>
      <c r="B823" s="388"/>
    </row>
    <row r="824" spans="1:2" x14ac:dyDescent="0.25">
      <c r="A824" s="388"/>
      <c r="B824" s="388"/>
    </row>
    <row r="825" spans="1:2" x14ac:dyDescent="0.25">
      <c r="A825" s="388"/>
      <c r="B825" s="388"/>
    </row>
    <row r="826" spans="1:2" x14ac:dyDescent="0.25">
      <c r="A826" s="388"/>
      <c r="B826" s="388"/>
    </row>
    <row r="827" spans="1:2" x14ac:dyDescent="0.25">
      <c r="A827" s="388"/>
      <c r="B827" s="388"/>
    </row>
    <row r="828" spans="1:2" x14ac:dyDescent="0.25">
      <c r="A828" s="388"/>
      <c r="B828" s="388"/>
    </row>
    <row r="829" spans="1:2" x14ac:dyDescent="0.25">
      <c r="A829" s="388"/>
      <c r="B829" s="388"/>
    </row>
    <row r="830" spans="1:2" x14ac:dyDescent="0.25">
      <c r="A830" s="388"/>
      <c r="B830" s="388"/>
    </row>
    <row r="831" spans="1:2" x14ac:dyDescent="0.25">
      <c r="A831" s="388"/>
      <c r="B831" s="388"/>
    </row>
    <row r="832" spans="1:2" x14ac:dyDescent="0.25">
      <c r="A832" s="388"/>
      <c r="B832" s="388"/>
    </row>
    <row r="833" spans="1:2" x14ac:dyDescent="0.25">
      <c r="A833" s="388"/>
      <c r="B833" s="388"/>
    </row>
    <row r="834" spans="1:2" x14ac:dyDescent="0.25">
      <c r="A834" s="388"/>
      <c r="B834" s="388"/>
    </row>
    <row r="835" spans="1:2" x14ac:dyDescent="0.25">
      <c r="A835" s="388"/>
      <c r="B835" s="388"/>
    </row>
    <row r="836" spans="1:2" x14ac:dyDescent="0.25">
      <c r="A836" s="388"/>
      <c r="B836" s="388"/>
    </row>
    <row r="837" spans="1:2" x14ac:dyDescent="0.25">
      <c r="A837" s="388"/>
      <c r="B837" s="388"/>
    </row>
    <row r="838" spans="1:2" x14ac:dyDescent="0.25">
      <c r="A838" s="388"/>
      <c r="B838" s="388"/>
    </row>
    <row r="839" spans="1:2" x14ac:dyDescent="0.25">
      <c r="A839" s="388"/>
      <c r="B839" s="388"/>
    </row>
    <row r="840" spans="1:2" x14ac:dyDescent="0.25">
      <c r="A840" s="388"/>
      <c r="B840" s="388"/>
    </row>
    <row r="841" spans="1:2" x14ac:dyDescent="0.25">
      <c r="A841" s="388"/>
      <c r="B841" s="388"/>
    </row>
    <row r="842" spans="1:2" x14ac:dyDescent="0.25">
      <c r="A842" s="388"/>
      <c r="B842" s="388"/>
    </row>
    <row r="843" spans="1:2" x14ac:dyDescent="0.25">
      <c r="A843" s="388"/>
      <c r="B843" s="388"/>
    </row>
    <row r="844" spans="1:2" x14ac:dyDescent="0.25">
      <c r="A844" s="388"/>
      <c r="B844" s="388"/>
    </row>
    <row r="845" spans="1:2" x14ac:dyDescent="0.25">
      <c r="A845" s="388"/>
      <c r="B845" s="388"/>
    </row>
    <row r="846" spans="1:2" x14ac:dyDescent="0.25">
      <c r="A846" s="388"/>
      <c r="B846" s="388"/>
    </row>
    <row r="847" spans="1:2" x14ac:dyDescent="0.25">
      <c r="A847" s="388"/>
      <c r="B847" s="388"/>
    </row>
    <row r="848" spans="1:2" x14ac:dyDescent="0.25">
      <c r="A848" s="388"/>
      <c r="B848" s="388"/>
    </row>
    <row r="849" spans="1:2" x14ac:dyDescent="0.25">
      <c r="A849" s="388"/>
      <c r="B849" s="388"/>
    </row>
    <row r="850" spans="1:2" x14ac:dyDescent="0.25">
      <c r="A850" s="388"/>
      <c r="B850" s="388"/>
    </row>
    <row r="851" spans="1:2" x14ac:dyDescent="0.25">
      <c r="A851" s="388"/>
      <c r="B851" s="388"/>
    </row>
    <row r="852" spans="1:2" x14ac:dyDescent="0.25">
      <c r="A852" s="388"/>
      <c r="B852" s="388"/>
    </row>
    <row r="853" spans="1:2" x14ac:dyDescent="0.25">
      <c r="A853" s="388"/>
      <c r="B853" s="388"/>
    </row>
    <row r="854" spans="1:2" x14ac:dyDescent="0.25">
      <c r="A854" s="388"/>
      <c r="B854" s="388"/>
    </row>
    <row r="855" spans="1:2" x14ac:dyDescent="0.25">
      <c r="A855" s="388"/>
      <c r="B855" s="388"/>
    </row>
    <row r="856" spans="1:2" x14ac:dyDescent="0.25">
      <c r="A856" s="388"/>
      <c r="B856" s="388"/>
    </row>
    <row r="857" spans="1:2" x14ac:dyDescent="0.25">
      <c r="A857" s="388"/>
      <c r="B857" s="388"/>
    </row>
    <row r="858" spans="1:2" x14ac:dyDescent="0.25">
      <c r="A858" s="388"/>
      <c r="B858" s="388"/>
    </row>
    <row r="859" spans="1:2" x14ac:dyDescent="0.25">
      <c r="A859" s="388"/>
      <c r="B859" s="388"/>
    </row>
    <row r="860" spans="1:2" x14ac:dyDescent="0.25">
      <c r="A860" s="388"/>
      <c r="B860" s="388"/>
    </row>
    <row r="861" spans="1:2" x14ac:dyDescent="0.25">
      <c r="A861" s="388"/>
      <c r="B861" s="388"/>
    </row>
    <row r="862" spans="1:2" x14ac:dyDescent="0.25">
      <c r="A862" s="388"/>
      <c r="B862" s="388"/>
    </row>
    <row r="863" spans="1:2" x14ac:dyDescent="0.25">
      <c r="A863" s="388"/>
      <c r="B863" s="388"/>
    </row>
    <row r="864" spans="1:2" x14ac:dyDescent="0.25">
      <c r="A864" s="388"/>
      <c r="B864" s="388"/>
    </row>
    <row r="865" spans="1:2" x14ac:dyDescent="0.25">
      <c r="A865" s="388"/>
      <c r="B865" s="388"/>
    </row>
    <row r="866" spans="1:2" x14ac:dyDescent="0.25">
      <c r="A866" s="388"/>
      <c r="B866" s="388"/>
    </row>
    <row r="867" spans="1:2" x14ac:dyDescent="0.25">
      <c r="A867" s="388"/>
      <c r="B867" s="388"/>
    </row>
    <row r="868" spans="1:2" x14ac:dyDescent="0.25">
      <c r="A868" s="388"/>
      <c r="B868" s="388"/>
    </row>
    <row r="869" spans="1:2" x14ac:dyDescent="0.25">
      <c r="A869" s="388"/>
      <c r="B869" s="388"/>
    </row>
    <row r="870" spans="1:2" x14ac:dyDescent="0.25">
      <c r="A870" s="388"/>
      <c r="B870" s="388"/>
    </row>
    <row r="871" spans="1:2" x14ac:dyDescent="0.25">
      <c r="A871" s="388"/>
      <c r="B871" s="388"/>
    </row>
    <row r="872" spans="1:2" x14ac:dyDescent="0.25">
      <c r="A872" s="388"/>
      <c r="B872" s="388"/>
    </row>
    <row r="873" spans="1:2" x14ac:dyDescent="0.25">
      <c r="A873" s="388"/>
      <c r="B873" s="388"/>
    </row>
    <row r="874" spans="1:2" x14ac:dyDescent="0.25">
      <c r="A874" s="388"/>
      <c r="B874" s="388"/>
    </row>
    <row r="875" spans="1:2" x14ac:dyDescent="0.25">
      <c r="A875" s="388"/>
      <c r="B875" s="388"/>
    </row>
    <row r="876" spans="1:2" x14ac:dyDescent="0.25">
      <c r="A876" s="388"/>
      <c r="B876" s="388"/>
    </row>
    <row r="877" spans="1:2" x14ac:dyDescent="0.25">
      <c r="A877" s="388"/>
      <c r="B877" s="388"/>
    </row>
    <row r="878" spans="1:2" x14ac:dyDescent="0.25">
      <c r="A878" s="388"/>
      <c r="B878" s="388"/>
    </row>
    <row r="879" spans="1:2" x14ac:dyDescent="0.25">
      <c r="A879" s="388"/>
      <c r="B879" s="388"/>
    </row>
    <row r="880" spans="1:2" x14ac:dyDescent="0.25">
      <c r="A880" s="388"/>
      <c r="B880" s="388"/>
    </row>
    <row r="881" spans="1:2" x14ac:dyDescent="0.25">
      <c r="A881" s="388"/>
      <c r="B881" s="388"/>
    </row>
    <row r="882" spans="1:2" x14ac:dyDescent="0.25">
      <c r="A882" s="388"/>
      <c r="B882" s="388"/>
    </row>
    <row r="883" spans="1:2" x14ac:dyDescent="0.25">
      <c r="A883" s="388"/>
      <c r="B883" s="388"/>
    </row>
    <row r="884" spans="1:2" x14ac:dyDescent="0.25">
      <c r="A884" s="388"/>
      <c r="B884" s="388"/>
    </row>
    <row r="885" spans="1:2" x14ac:dyDescent="0.25">
      <c r="A885" s="388"/>
      <c r="B885" s="388"/>
    </row>
    <row r="886" spans="1:2" x14ac:dyDescent="0.25">
      <c r="A886" s="388"/>
      <c r="B886" s="388"/>
    </row>
    <row r="887" spans="1:2" x14ac:dyDescent="0.25">
      <c r="A887" s="388"/>
      <c r="B887" s="388"/>
    </row>
    <row r="888" spans="1:2" x14ac:dyDescent="0.25">
      <c r="A888" s="388"/>
      <c r="B888" s="388"/>
    </row>
    <row r="889" spans="1:2" x14ac:dyDescent="0.25">
      <c r="A889" s="388"/>
      <c r="B889" s="388"/>
    </row>
    <row r="890" spans="1:2" x14ac:dyDescent="0.25">
      <c r="A890" s="388"/>
      <c r="B890" s="388"/>
    </row>
    <row r="891" spans="1:2" x14ac:dyDescent="0.25">
      <c r="A891" s="388"/>
      <c r="B891" s="388"/>
    </row>
    <row r="892" spans="1:2" x14ac:dyDescent="0.25">
      <c r="A892" s="388"/>
      <c r="B892" s="388"/>
    </row>
    <row r="893" spans="1:2" x14ac:dyDescent="0.25">
      <c r="A893" s="388"/>
      <c r="B893" s="388"/>
    </row>
    <row r="894" spans="1:2" x14ac:dyDescent="0.25">
      <c r="A894" s="388"/>
      <c r="B894" s="388"/>
    </row>
    <row r="895" spans="1:2" x14ac:dyDescent="0.25">
      <c r="A895" s="388"/>
      <c r="B895" s="388"/>
    </row>
    <row r="896" spans="1:2" x14ac:dyDescent="0.25">
      <c r="A896" s="388"/>
      <c r="B896" s="388"/>
    </row>
    <row r="897" spans="1:2" x14ac:dyDescent="0.25">
      <c r="A897" s="388"/>
      <c r="B897" s="388"/>
    </row>
    <row r="898" spans="1:2" x14ac:dyDescent="0.25">
      <c r="A898" s="388"/>
      <c r="B898" s="388"/>
    </row>
    <row r="899" spans="1:2" x14ac:dyDescent="0.25">
      <c r="A899" s="388"/>
      <c r="B899" s="388"/>
    </row>
    <row r="900" spans="1:2" x14ac:dyDescent="0.25">
      <c r="A900" s="388"/>
      <c r="B900" s="388"/>
    </row>
    <row r="901" spans="1:2" x14ac:dyDescent="0.25">
      <c r="A901" s="388"/>
      <c r="B901" s="388"/>
    </row>
    <row r="902" spans="1:2" x14ac:dyDescent="0.25">
      <c r="A902" s="388"/>
      <c r="B902" s="388"/>
    </row>
    <row r="903" spans="1:2" x14ac:dyDescent="0.25">
      <c r="A903" s="388"/>
      <c r="B903" s="388"/>
    </row>
    <row r="904" spans="1:2" x14ac:dyDescent="0.25">
      <c r="A904" s="388"/>
      <c r="B904" s="388"/>
    </row>
    <row r="905" spans="1:2" x14ac:dyDescent="0.25">
      <c r="A905" s="388"/>
      <c r="B905" s="388"/>
    </row>
    <row r="906" spans="1:2" x14ac:dyDescent="0.25">
      <c r="A906" s="388"/>
      <c r="B906" s="388"/>
    </row>
    <row r="907" spans="1:2" x14ac:dyDescent="0.25">
      <c r="A907" s="388"/>
      <c r="B907" s="388"/>
    </row>
    <row r="908" spans="1:2" x14ac:dyDescent="0.25">
      <c r="A908" s="388"/>
      <c r="B908" s="388"/>
    </row>
    <row r="909" spans="1:2" x14ac:dyDescent="0.25">
      <c r="A909" s="388"/>
      <c r="B909" s="388"/>
    </row>
    <row r="910" spans="1:2" x14ac:dyDescent="0.25">
      <c r="A910" s="388"/>
      <c r="B910" s="388"/>
    </row>
    <row r="911" spans="1:2" x14ac:dyDescent="0.25">
      <c r="A911" s="388"/>
      <c r="B911" s="388"/>
    </row>
    <row r="912" spans="1:2" x14ac:dyDescent="0.25">
      <c r="A912" s="388"/>
      <c r="B912" s="388"/>
    </row>
    <row r="913" spans="1:2" x14ac:dyDescent="0.25">
      <c r="A913" s="388"/>
      <c r="B913" s="388"/>
    </row>
    <row r="914" spans="1:2" x14ac:dyDescent="0.25">
      <c r="A914" s="388"/>
      <c r="B914" s="388"/>
    </row>
    <row r="915" spans="1:2" x14ac:dyDescent="0.25">
      <c r="A915" s="388"/>
      <c r="B915" s="388"/>
    </row>
    <row r="916" spans="1:2" x14ac:dyDescent="0.25">
      <c r="A916" s="388"/>
      <c r="B916" s="388"/>
    </row>
    <row r="917" spans="1:2" x14ac:dyDescent="0.25">
      <c r="A917" s="388"/>
      <c r="B917" s="388"/>
    </row>
    <row r="918" spans="1:2" x14ac:dyDescent="0.25">
      <c r="A918" s="388"/>
      <c r="B918" s="388"/>
    </row>
    <row r="919" spans="1:2" x14ac:dyDescent="0.25">
      <c r="A919" s="388"/>
      <c r="B919" s="388"/>
    </row>
    <row r="920" spans="1:2" x14ac:dyDescent="0.25">
      <c r="A920" s="388"/>
      <c r="B920" s="388"/>
    </row>
    <row r="921" spans="1:2" x14ac:dyDescent="0.25">
      <c r="A921" s="388"/>
      <c r="B921" s="388"/>
    </row>
    <row r="922" spans="1:2" x14ac:dyDescent="0.25">
      <c r="A922" s="388"/>
      <c r="B922" s="388"/>
    </row>
    <row r="923" spans="1:2" x14ac:dyDescent="0.25">
      <c r="A923" s="388"/>
      <c r="B923" s="388"/>
    </row>
    <row r="924" spans="1:2" x14ac:dyDescent="0.25">
      <c r="A924" s="388"/>
      <c r="B924" s="388"/>
    </row>
    <row r="925" spans="1:2" x14ac:dyDescent="0.25">
      <c r="A925" s="388"/>
      <c r="B925" s="388"/>
    </row>
    <row r="926" spans="1:2" x14ac:dyDescent="0.25">
      <c r="A926" s="388"/>
      <c r="B926" s="388"/>
    </row>
    <row r="927" spans="1:2" x14ac:dyDescent="0.25">
      <c r="A927" s="388"/>
      <c r="B927" s="388"/>
    </row>
    <row r="928" spans="1:2" x14ac:dyDescent="0.25">
      <c r="A928" s="388"/>
      <c r="B928" s="388"/>
    </row>
    <row r="929" spans="1:2" x14ac:dyDescent="0.25">
      <c r="A929" s="388"/>
      <c r="B929" s="388"/>
    </row>
    <row r="930" spans="1:2" x14ac:dyDescent="0.25">
      <c r="A930" s="388"/>
      <c r="B930" s="388"/>
    </row>
    <row r="931" spans="1:2" x14ac:dyDescent="0.25">
      <c r="A931" s="388"/>
      <c r="B931" s="388"/>
    </row>
    <row r="932" spans="1:2" x14ac:dyDescent="0.25">
      <c r="A932" s="388"/>
      <c r="B932" s="388"/>
    </row>
    <row r="933" spans="1:2" x14ac:dyDescent="0.25">
      <c r="A933" s="388"/>
      <c r="B933" s="388"/>
    </row>
    <row r="934" spans="1:2" x14ac:dyDescent="0.25">
      <c r="A934" s="388"/>
      <c r="B934" s="388"/>
    </row>
    <row r="935" spans="1:2" x14ac:dyDescent="0.25">
      <c r="A935" s="388"/>
      <c r="B935" s="388"/>
    </row>
    <row r="936" spans="1:2" x14ac:dyDescent="0.25">
      <c r="A936" s="388"/>
      <c r="B936" s="388"/>
    </row>
    <row r="937" spans="1:2" x14ac:dyDescent="0.25">
      <c r="A937" s="388"/>
      <c r="B937" s="388"/>
    </row>
    <row r="938" spans="1:2" x14ac:dyDescent="0.25">
      <c r="A938" s="388"/>
      <c r="B938" s="388"/>
    </row>
    <row r="939" spans="1:2" x14ac:dyDescent="0.25">
      <c r="A939" s="388"/>
      <c r="B939" s="388"/>
    </row>
    <row r="940" spans="1:2" x14ac:dyDescent="0.25">
      <c r="A940" s="388"/>
      <c r="B940" s="388"/>
    </row>
    <row r="941" spans="1:2" x14ac:dyDescent="0.25">
      <c r="A941" s="388"/>
      <c r="B941" s="388"/>
    </row>
    <row r="942" spans="1:2" x14ac:dyDescent="0.25">
      <c r="A942" s="388"/>
      <c r="B942" s="388"/>
    </row>
    <row r="943" spans="1:2" x14ac:dyDescent="0.25">
      <c r="A943" s="388"/>
      <c r="B943" s="388"/>
    </row>
    <row r="944" spans="1:2" x14ac:dyDescent="0.25">
      <c r="A944" s="388"/>
      <c r="B944" s="388"/>
    </row>
    <row r="945" spans="1:2" x14ac:dyDescent="0.25">
      <c r="A945" s="388"/>
      <c r="B945" s="388"/>
    </row>
    <row r="946" spans="1:2" x14ac:dyDescent="0.25">
      <c r="A946" s="388"/>
      <c r="B946" s="388"/>
    </row>
    <row r="947" spans="1:2" x14ac:dyDescent="0.25">
      <c r="A947" s="388"/>
      <c r="B947" s="388"/>
    </row>
    <row r="948" spans="1:2" x14ac:dyDescent="0.25">
      <c r="A948" s="388"/>
      <c r="B948" s="388"/>
    </row>
    <row r="949" spans="1:2" x14ac:dyDescent="0.25">
      <c r="A949" s="388"/>
      <c r="B949" s="388"/>
    </row>
    <row r="950" spans="1:2" x14ac:dyDescent="0.25">
      <c r="A950" s="388"/>
      <c r="B950" s="388"/>
    </row>
    <row r="951" spans="1:2" x14ac:dyDescent="0.25">
      <c r="A951" s="388"/>
      <c r="B951" s="388"/>
    </row>
    <row r="952" spans="1:2" x14ac:dyDescent="0.25">
      <c r="A952" s="388"/>
      <c r="B952" s="388"/>
    </row>
    <row r="953" spans="1:2" x14ac:dyDescent="0.25">
      <c r="A953" s="388"/>
      <c r="B953" s="388"/>
    </row>
    <row r="954" spans="1:2" x14ac:dyDescent="0.25">
      <c r="A954" s="388"/>
      <c r="B954" s="388"/>
    </row>
    <row r="955" spans="1:2" x14ac:dyDescent="0.25">
      <c r="A955" s="388"/>
      <c r="B955" s="388"/>
    </row>
    <row r="956" spans="1:2" x14ac:dyDescent="0.25">
      <c r="A956" s="388"/>
      <c r="B956" s="388"/>
    </row>
    <row r="957" spans="1:2" x14ac:dyDescent="0.25">
      <c r="A957" s="388"/>
      <c r="B957" s="388"/>
    </row>
    <row r="958" spans="1:2" x14ac:dyDescent="0.25">
      <c r="A958" s="388"/>
      <c r="B958" s="388"/>
    </row>
    <row r="959" spans="1:2" x14ac:dyDescent="0.25">
      <c r="A959" s="388"/>
      <c r="B959" s="388"/>
    </row>
    <row r="960" spans="1:2" x14ac:dyDescent="0.25">
      <c r="A960" s="388"/>
      <c r="B960" s="388"/>
    </row>
    <row r="961" spans="1:2" x14ac:dyDescent="0.25">
      <c r="A961" s="388"/>
      <c r="B961" s="388"/>
    </row>
    <row r="962" spans="1:2" x14ac:dyDescent="0.25">
      <c r="A962" s="388"/>
      <c r="B962" s="388"/>
    </row>
    <row r="963" spans="1:2" x14ac:dyDescent="0.25">
      <c r="A963" s="388"/>
      <c r="B963" s="388"/>
    </row>
    <row r="964" spans="1:2" x14ac:dyDescent="0.25">
      <c r="A964" s="388"/>
      <c r="B964" s="388"/>
    </row>
    <row r="965" spans="1:2" x14ac:dyDescent="0.25">
      <c r="A965" s="388"/>
      <c r="B965" s="388"/>
    </row>
    <row r="966" spans="1:2" x14ac:dyDescent="0.25">
      <c r="A966" s="388"/>
      <c r="B966" s="388"/>
    </row>
    <row r="967" spans="1:2" x14ac:dyDescent="0.25">
      <c r="A967" s="388"/>
      <c r="B967" s="388"/>
    </row>
    <row r="968" spans="1:2" x14ac:dyDescent="0.25">
      <c r="A968" s="388"/>
      <c r="B968" s="388"/>
    </row>
    <row r="969" spans="1:2" x14ac:dyDescent="0.25">
      <c r="A969" s="388"/>
      <c r="B969" s="388"/>
    </row>
    <row r="970" spans="1:2" x14ac:dyDescent="0.25">
      <c r="A970" s="388"/>
      <c r="B970" s="388"/>
    </row>
    <row r="971" spans="1:2" x14ac:dyDescent="0.25">
      <c r="A971" s="388"/>
      <c r="B971" s="388"/>
    </row>
    <row r="972" spans="1:2" x14ac:dyDescent="0.25">
      <c r="A972" s="388"/>
      <c r="B972" s="388"/>
    </row>
    <row r="973" spans="1:2" x14ac:dyDescent="0.25">
      <c r="A973" s="388"/>
      <c r="B973" s="388"/>
    </row>
    <row r="974" spans="1:2" x14ac:dyDescent="0.25">
      <c r="A974" s="388"/>
      <c r="B974" s="388"/>
    </row>
    <row r="975" spans="1:2" x14ac:dyDescent="0.25">
      <c r="A975" s="388"/>
      <c r="B975" s="388"/>
    </row>
    <row r="976" spans="1:2" x14ac:dyDescent="0.25">
      <c r="A976" s="388"/>
      <c r="B976" s="388"/>
    </row>
    <row r="977" spans="1:2" x14ac:dyDescent="0.25">
      <c r="A977" s="388"/>
      <c r="B977" s="388"/>
    </row>
    <row r="978" spans="1:2" x14ac:dyDescent="0.25">
      <c r="A978" s="388"/>
      <c r="B978" s="388"/>
    </row>
    <row r="979" spans="1:2" x14ac:dyDescent="0.25">
      <c r="A979" s="388"/>
      <c r="B979" s="388"/>
    </row>
    <row r="980" spans="1:2" x14ac:dyDescent="0.25">
      <c r="A980" s="388"/>
      <c r="B980" s="388"/>
    </row>
    <row r="981" spans="1:2" x14ac:dyDescent="0.25">
      <c r="A981" s="388"/>
      <c r="B981" s="388"/>
    </row>
    <row r="982" spans="1:2" x14ac:dyDescent="0.25">
      <c r="A982" s="388"/>
      <c r="B982" s="388"/>
    </row>
    <row r="983" spans="1:2" x14ac:dyDescent="0.25">
      <c r="A983" s="388"/>
      <c r="B983" s="388"/>
    </row>
    <row r="984" spans="1:2" x14ac:dyDescent="0.25">
      <c r="A984" s="388"/>
      <c r="B984" s="388"/>
    </row>
    <row r="985" spans="1:2" x14ac:dyDescent="0.25">
      <c r="A985" s="388"/>
      <c r="B985" s="388"/>
    </row>
    <row r="986" spans="1:2" x14ac:dyDescent="0.25">
      <c r="A986" s="388"/>
      <c r="B986" s="388"/>
    </row>
    <row r="987" spans="1:2" x14ac:dyDescent="0.25">
      <c r="A987" s="388"/>
      <c r="B987" s="388"/>
    </row>
    <row r="988" spans="1:2" x14ac:dyDescent="0.25">
      <c r="A988" s="388"/>
      <c r="B988" s="388"/>
    </row>
    <row r="989" spans="1:2" x14ac:dyDescent="0.25">
      <c r="A989" s="388"/>
      <c r="B989" s="388"/>
    </row>
    <row r="990" spans="1:2" x14ac:dyDescent="0.25">
      <c r="A990" s="388"/>
      <c r="B990" s="388"/>
    </row>
    <row r="991" spans="1:2" x14ac:dyDescent="0.25">
      <c r="A991" s="388"/>
      <c r="B991" s="388"/>
    </row>
    <row r="992" spans="1:2" x14ac:dyDescent="0.25">
      <c r="A992" s="388"/>
      <c r="B992" s="388"/>
    </row>
    <row r="993" spans="1:2" x14ac:dyDescent="0.25">
      <c r="A993" s="388"/>
      <c r="B993" s="388"/>
    </row>
    <row r="994" spans="1:2" x14ac:dyDescent="0.25">
      <c r="A994" s="388"/>
      <c r="B994" s="388"/>
    </row>
    <row r="995" spans="1:2" x14ac:dyDescent="0.25">
      <c r="A995" s="388"/>
      <c r="B995" s="388"/>
    </row>
    <row r="996" spans="1:2" x14ac:dyDescent="0.25">
      <c r="A996" s="388"/>
      <c r="B996" s="388"/>
    </row>
    <row r="997" spans="1:2" x14ac:dyDescent="0.25">
      <c r="A997" s="388"/>
      <c r="B997" s="388"/>
    </row>
    <row r="998" spans="1:2" x14ac:dyDescent="0.25">
      <c r="A998" s="388"/>
      <c r="B998" s="388"/>
    </row>
    <row r="999" spans="1:2" x14ac:dyDescent="0.25">
      <c r="A999" s="388"/>
      <c r="B999" s="388"/>
    </row>
    <row r="1000" spans="1:2" x14ac:dyDescent="0.25">
      <c r="A1000" s="388"/>
      <c r="B1000" s="388"/>
    </row>
    <row r="1001" spans="1:2" x14ac:dyDescent="0.25">
      <c r="A1001" s="388"/>
      <c r="B1001" s="388"/>
    </row>
    <row r="1002" spans="1:2" x14ac:dyDescent="0.25">
      <c r="A1002" s="388"/>
      <c r="B1002" s="388"/>
    </row>
    <row r="1003" spans="1:2" x14ac:dyDescent="0.25">
      <c r="A1003" s="388"/>
      <c r="B1003" s="388"/>
    </row>
    <row r="1004" spans="1:2" x14ac:dyDescent="0.25">
      <c r="A1004" s="388"/>
      <c r="B1004" s="388"/>
    </row>
    <row r="1005" spans="1:2" x14ac:dyDescent="0.25">
      <c r="A1005" s="388"/>
      <c r="B1005" s="388"/>
    </row>
    <row r="1006" spans="1:2" x14ac:dyDescent="0.25">
      <c r="A1006" s="388"/>
      <c r="B1006" s="388"/>
    </row>
    <row r="1007" spans="1:2" x14ac:dyDescent="0.25">
      <c r="A1007" s="388"/>
      <c r="B1007" s="388"/>
    </row>
    <row r="1008" spans="1:2" x14ac:dyDescent="0.25">
      <c r="A1008" s="388"/>
      <c r="B1008" s="388"/>
    </row>
    <row r="1009" spans="1:2" x14ac:dyDescent="0.25">
      <c r="A1009" s="388"/>
      <c r="B1009" s="388"/>
    </row>
    <row r="1010" spans="1:2" x14ac:dyDescent="0.25">
      <c r="A1010" s="388"/>
      <c r="B1010" s="388"/>
    </row>
    <row r="1011" spans="1:2" x14ac:dyDescent="0.25">
      <c r="A1011" s="388"/>
      <c r="B1011" s="388"/>
    </row>
    <row r="1012" spans="1:2" x14ac:dyDescent="0.25">
      <c r="A1012" s="388"/>
      <c r="B1012" s="388"/>
    </row>
    <row r="1013" spans="1:2" x14ac:dyDescent="0.25">
      <c r="A1013" s="388"/>
      <c r="B1013" s="388"/>
    </row>
    <row r="1014" spans="1:2" x14ac:dyDescent="0.25">
      <c r="A1014" s="388"/>
      <c r="B1014" s="388"/>
    </row>
    <row r="1015" spans="1:2" x14ac:dyDescent="0.25">
      <c r="A1015" s="388"/>
      <c r="B1015" s="388"/>
    </row>
    <row r="1016" spans="1:2" x14ac:dyDescent="0.25">
      <c r="A1016" s="388"/>
      <c r="B1016" s="388"/>
    </row>
    <row r="1017" spans="1:2" x14ac:dyDescent="0.25">
      <c r="A1017" s="388"/>
      <c r="B1017" s="388"/>
    </row>
    <row r="1018" spans="1:2" x14ac:dyDescent="0.25">
      <c r="A1018" s="388"/>
      <c r="B1018" s="388"/>
    </row>
    <row r="1019" spans="1:2" x14ac:dyDescent="0.25">
      <c r="A1019" s="388"/>
      <c r="B1019" s="388"/>
    </row>
    <row r="1020" spans="1:2" x14ac:dyDescent="0.25">
      <c r="A1020" s="388"/>
      <c r="B1020" s="388"/>
    </row>
    <row r="1021" spans="1:2" x14ac:dyDescent="0.25">
      <c r="A1021" s="388"/>
      <c r="B1021" s="388"/>
    </row>
    <row r="1022" spans="1:2" x14ac:dyDescent="0.25">
      <c r="A1022" s="388"/>
      <c r="B1022" s="388"/>
    </row>
    <row r="1023" spans="1:2" x14ac:dyDescent="0.25">
      <c r="A1023" s="388"/>
      <c r="B1023" s="388"/>
    </row>
    <row r="1024" spans="1:2" x14ac:dyDescent="0.25">
      <c r="A1024" s="388"/>
      <c r="B1024" s="388"/>
    </row>
    <row r="1025" spans="1:2" x14ac:dyDescent="0.25">
      <c r="A1025" s="388"/>
      <c r="B1025" s="388"/>
    </row>
    <row r="1026" spans="1:2" x14ac:dyDescent="0.25">
      <c r="A1026" s="388"/>
      <c r="B1026" s="388"/>
    </row>
    <row r="1027" spans="1:2" x14ac:dyDescent="0.25">
      <c r="A1027" s="388"/>
      <c r="B1027" s="388"/>
    </row>
    <row r="1028" spans="1:2" x14ac:dyDescent="0.25">
      <c r="A1028" s="388"/>
      <c r="B1028" s="388"/>
    </row>
    <row r="1029" spans="1:2" x14ac:dyDescent="0.25">
      <c r="A1029" s="388"/>
      <c r="B1029" s="388"/>
    </row>
    <row r="1030" spans="1:2" x14ac:dyDescent="0.25">
      <c r="A1030" s="388"/>
      <c r="B1030" s="388"/>
    </row>
    <row r="1031" spans="1:2" x14ac:dyDescent="0.25">
      <c r="A1031" s="388"/>
      <c r="B1031" s="388"/>
    </row>
    <row r="1032" spans="1:2" x14ac:dyDescent="0.25">
      <c r="A1032" s="388"/>
      <c r="B1032" s="388"/>
    </row>
    <row r="1033" spans="1:2" x14ac:dyDescent="0.25">
      <c r="A1033" s="388"/>
      <c r="B1033" s="388"/>
    </row>
    <row r="1034" spans="1:2" x14ac:dyDescent="0.25">
      <c r="A1034" s="388"/>
      <c r="B1034" s="388"/>
    </row>
    <row r="1035" spans="1:2" x14ac:dyDescent="0.25">
      <c r="A1035" s="388"/>
      <c r="B1035" s="388"/>
    </row>
    <row r="1036" spans="1:2" x14ac:dyDescent="0.25">
      <c r="A1036" s="388"/>
      <c r="B1036" s="388"/>
    </row>
    <row r="1037" spans="1:2" x14ac:dyDescent="0.25">
      <c r="A1037" s="388"/>
      <c r="B1037" s="388"/>
    </row>
    <row r="1038" spans="1:2" x14ac:dyDescent="0.25">
      <c r="A1038" s="388"/>
      <c r="B1038" s="388"/>
    </row>
    <row r="1039" spans="1:2" x14ac:dyDescent="0.25">
      <c r="A1039" s="388"/>
      <c r="B1039" s="388"/>
    </row>
    <row r="1040" spans="1:2" x14ac:dyDescent="0.25">
      <c r="A1040" s="388"/>
      <c r="B1040" s="388"/>
    </row>
    <row r="1041" spans="1:2" x14ac:dyDescent="0.25">
      <c r="A1041" s="388"/>
      <c r="B1041" s="388"/>
    </row>
    <row r="1042" spans="1:2" x14ac:dyDescent="0.25">
      <c r="A1042" s="388"/>
      <c r="B1042" s="388"/>
    </row>
    <row r="1043" spans="1:2" x14ac:dyDescent="0.25">
      <c r="A1043" s="388"/>
      <c r="B1043" s="388"/>
    </row>
    <row r="1044" spans="1:2" x14ac:dyDescent="0.25">
      <c r="A1044" s="388"/>
      <c r="B1044" s="388"/>
    </row>
    <row r="1045" spans="1:2" x14ac:dyDescent="0.25">
      <c r="A1045" s="388"/>
      <c r="B1045" s="388"/>
    </row>
    <row r="1046" spans="1:2" x14ac:dyDescent="0.25">
      <c r="A1046" s="388"/>
      <c r="B1046" s="388"/>
    </row>
    <row r="1047" spans="1:2" x14ac:dyDescent="0.25">
      <c r="A1047" s="388"/>
      <c r="B1047" s="388"/>
    </row>
    <row r="1048" spans="1:2" x14ac:dyDescent="0.25">
      <c r="A1048" s="388"/>
      <c r="B1048" s="388"/>
    </row>
    <row r="1049" spans="1:2" x14ac:dyDescent="0.25">
      <c r="A1049" s="388"/>
      <c r="B1049" s="388"/>
    </row>
    <row r="1050" spans="1:2" x14ac:dyDescent="0.25">
      <c r="A1050" s="388"/>
      <c r="B1050" s="388"/>
    </row>
    <row r="1051" spans="1:2" x14ac:dyDescent="0.25">
      <c r="A1051" s="388"/>
      <c r="B1051" s="388"/>
    </row>
    <row r="1052" spans="1:2" x14ac:dyDescent="0.25">
      <c r="A1052" s="388"/>
      <c r="B1052" s="388"/>
    </row>
    <row r="1053" spans="1:2" x14ac:dyDescent="0.25">
      <c r="A1053" s="388"/>
      <c r="B1053" s="388"/>
    </row>
    <row r="1054" spans="1:2" x14ac:dyDescent="0.25">
      <c r="A1054" s="388"/>
      <c r="B1054" s="388"/>
    </row>
    <row r="1055" spans="1:2" x14ac:dyDescent="0.25">
      <c r="A1055" s="388"/>
      <c r="B1055" s="388"/>
    </row>
    <row r="1056" spans="1:2" x14ac:dyDescent="0.25">
      <c r="A1056" s="388"/>
      <c r="B1056" s="388"/>
    </row>
    <row r="1057" spans="1:2" x14ac:dyDescent="0.25">
      <c r="A1057" s="388"/>
      <c r="B1057" s="388"/>
    </row>
    <row r="1058" spans="1:2" x14ac:dyDescent="0.25">
      <c r="A1058" s="388"/>
      <c r="B1058" s="388"/>
    </row>
    <row r="1059" spans="1:2" x14ac:dyDescent="0.25">
      <c r="A1059" s="388"/>
      <c r="B1059" s="388"/>
    </row>
    <row r="1060" spans="1:2" x14ac:dyDescent="0.25">
      <c r="A1060" s="388"/>
      <c r="B1060" s="388"/>
    </row>
    <row r="1061" spans="1:2" x14ac:dyDescent="0.25">
      <c r="A1061" s="388"/>
      <c r="B1061" s="388"/>
    </row>
    <row r="1062" spans="1:2" x14ac:dyDescent="0.25">
      <c r="A1062" s="388"/>
      <c r="B1062" s="388"/>
    </row>
    <row r="1063" spans="1:2" x14ac:dyDescent="0.25">
      <c r="A1063" s="388"/>
      <c r="B1063" s="388"/>
    </row>
    <row r="1064" spans="1:2" x14ac:dyDescent="0.25">
      <c r="A1064" s="388"/>
      <c r="B1064" s="388"/>
    </row>
    <row r="1065" spans="1:2" x14ac:dyDescent="0.25">
      <c r="A1065" s="388"/>
      <c r="B1065" s="388"/>
    </row>
    <row r="1066" spans="1:2" x14ac:dyDescent="0.25">
      <c r="A1066" s="388"/>
      <c r="B1066" s="388"/>
    </row>
    <row r="1067" spans="1:2" x14ac:dyDescent="0.25">
      <c r="A1067" s="388"/>
      <c r="B1067" s="388"/>
    </row>
    <row r="1068" spans="1:2" x14ac:dyDescent="0.25">
      <c r="A1068" s="388"/>
      <c r="B1068" s="388"/>
    </row>
    <row r="1069" spans="1:2" x14ac:dyDescent="0.25">
      <c r="A1069" s="388"/>
      <c r="B1069" s="388"/>
    </row>
    <row r="1070" spans="1:2" x14ac:dyDescent="0.25">
      <c r="A1070" s="388"/>
      <c r="B1070" s="388"/>
    </row>
    <row r="1071" spans="1:2" x14ac:dyDescent="0.25">
      <c r="A1071" s="388"/>
      <c r="B1071" s="388"/>
    </row>
    <row r="1072" spans="1:2" x14ac:dyDescent="0.25">
      <c r="A1072" s="388"/>
      <c r="B1072" s="388"/>
    </row>
    <row r="1073" spans="1:2" x14ac:dyDescent="0.25">
      <c r="A1073" s="388"/>
      <c r="B1073" s="388"/>
    </row>
    <row r="1074" spans="1:2" x14ac:dyDescent="0.25">
      <c r="A1074" s="388"/>
      <c r="B1074" s="388"/>
    </row>
    <row r="1075" spans="1:2" x14ac:dyDescent="0.25">
      <c r="A1075" s="388"/>
      <c r="B1075" s="388"/>
    </row>
    <row r="1076" spans="1:2" x14ac:dyDescent="0.25">
      <c r="A1076" s="388"/>
      <c r="B1076" s="388"/>
    </row>
    <row r="1077" spans="1:2" x14ac:dyDescent="0.25">
      <c r="A1077" s="388"/>
      <c r="B1077" s="388"/>
    </row>
    <row r="1078" spans="1:2" x14ac:dyDescent="0.25">
      <c r="A1078" s="388"/>
      <c r="B1078" s="388"/>
    </row>
    <row r="1079" spans="1:2" x14ac:dyDescent="0.25">
      <c r="A1079" s="388"/>
      <c r="B1079" s="388"/>
    </row>
    <row r="1080" spans="1:2" x14ac:dyDescent="0.25">
      <c r="A1080" s="388"/>
      <c r="B1080" s="388"/>
    </row>
    <row r="1081" spans="1:2" x14ac:dyDescent="0.25">
      <c r="A1081" s="388"/>
      <c r="B1081" s="388"/>
    </row>
    <row r="1082" spans="1:2" x14ac:dyDescent="0.25">
      <c r="A1082" s="388"/>
      <c r="B1082" s="388"/>
    </row>
    <row r="1083" spans="1:2" x14ac:dyDescent="0.25">
      <c r="A1083" s="388"/>
      <c r="B1083" s="388"/>
    </row>
    <row r="1084" spans="1:2" x14ac:dyDescent="0.25">
      <c r="A1084" s="388"/>
      <c r="B1084" s="388"/>
    </row>
    <row r="1085" spans="1:2" x14ac:dyDescent="0.25">
      <c r="A1085" s="388"/>
      <c r="B1085" s="388"/>
    </row>
    <row r="1086" spans="1:2" x14ac:dyDescent="0.25">
      <c r="A1086" s="388"/>
      <c r="B1086" s="388"/>
    </row>
    <row r="1087" spans="1:2" x14ac:dyDescent="0.25">
      <c r="A1087" s="388"/>
      <c r="B1087" s="388"/>
    </row>
    <row r="1088" spans="1:2" x14ac:dyDescent="0.25">
      <c r="A1088" s="388"/>
      <c r="B1088" s="388"/>
    </row>
    <row r="1089" spans="1:2" x14ac:dyDescent="0.25">
      <c r="A1089" s="388"/>
      <c r="B1089" s="388"/>
    </row>
    <row r="1090" spans="1:2" x14ac:dyDescent="0.25">
      <c r="A1090" s="388"/>
      <c r="B1090" s="388"/>
    </row>
    <row r="1091" spans="1:2" x14ac:dyDescent="0.25">
      <c r="A1091" s="388"/>
      <c r="B1091" s="388"/>
    </row>
    <row r="1092" spans="1:2" x14ac:dyDescent="0.25">
      <c r="A1092" s="388"/>
      <c r="B1092" s="388"/>
    </row>
    <row r="1093" spans="1:2" x14ac:dyDescent="0.25">
      <c r="A1093" s="388"/>
      <c r="B1093" s="388"/>
    </row>
    <row r="1094" spans="1:2" x14ac:dyDescent="0.25">
      <c r="A1094" s="388"/>
      <c r="B1094" s="388"/>
    </row>
    <row r="1095" spans="1:2" x14ac:dyDescent="0.25">
      <c r="A1095" s="388"/>
      <c r="B1095" s="388"/>
    </row>
    <row r="1096" spans="1:2" x14ac:dyDescent="0.25">
      <c r="A1096" s="388"/>
      <c r="B1096" s="388"/>
    </row>
    <row r="1097" spans="1:2" x14ac:dyDescent="0.25">
      <c r="A1097" s="388"/>
      <c r="B1097" s="388"/>
    </row>
    <row r="1098" spans="1:2" x14ac:dyDescent="0.25">
      <c r="A1098" s="388"/>
      <c r="B1098" s="388"/>
    </row>
    <row r="1099" spans="1:2" x14ac:dyDescent="0.25">
      <c r="A1099" s="388"/>
      <c r="B1099" s="388"/>
    </row>
    <row r="1100" spans="1:2" x14ac:dyDescent="0.25">
      <c r="A1100" s="388"/>
      <c r="B1100" s="388"/>
    </row>
    <row r="1101" spans="1:2" x14ac:dyDescent="0.25">
      <c r="A1101" s="388"/>
      <c r="B1101" s="388"/>
    </row>
    <row r="1102" spans="1:2" x14ac:dyDescent="0.25">
      <c r="A1102" s="388"/>
      <c r="B1102" s="388"/>
    </row>
    <row r="1103" spans="1:2" x14ac:dyDescent="0.25">
      <c r="A1103" s="388"/>
      <c r="B1103" s="388"/>
    </row>
    <row r="1104" spans="1:2" x14ac:dyDescent="0.25">
      <c r="A1104" s="388"/>
      <c r="B1104" s="388"/>
    </row>
    <row r="1105" spans="1:2" x14ac:dyDescent="0.25">
      <c r="A1105" s="388"/>
      <c r="B1105" s="388"/>
    </row>
    <row r="1106" spans="1:2" x14ac:dyDescent="0.25">
      <c r="A1106" s="388"/>
      <c r="B1106" s="388"/>
    </row>
    <row r="1107" spans="1:2" x14ac:dyDescent="0.25">
      <c r="A1107" s="388"/>
      <c r="B1107" s="388"/>
    </row>
    <row r="1108" spans="1:2" x14ac:dyDescent="0.25">
      <c r="A1108" s="388"/>
      <c r="B1108" s="388"/>
    </row>
    <row r="1109" spans="1:2" x14ac:dyDescent="0.25">
      <c r="A1109" s="388"/>
      <c r="B1109" s="388"/>
    </row>
    <row r="1110" spans="1:2" x14ac:dyDescent="0.25">
      <c r="A1110" s="388"/>
      <c r="B1110" s="388"/>
    </row>
    <row r="1111" spans="1:2" x14ac:dyDescent="0.25">
      <c r="A1111" s="388"/>
      <c r="B1111" s="388"/>
    </row>
    <row r="1112" spans="1:2" x14ac:dyDescent="0.25">
      <c r="A1112" s="388"/>
      <c r="B1112" s="388"/>
    </row>
    <row r="1113" spans="1:2" x14ac:dyDescent="0.25">
      <c r="A1113" s="388"/>
      <c r="B1113" s="388"/>
    </row>
    <row r="1114" spans="1:2" x14ac:dyDescent="0.25">
      <c r="A1114" s="388"/>
      <c r="B1114" s="388"/>
    </row>
    <row r="1115" spans="1:2" x14ac:dyDescent="0.25">
      <c r="A1115" s="388"/>
      <c r="B1115" s="388"/>
    </row>
    <row r="1116" spans="1:2" x14ac:dyDescent="0.25">
      <c r="A1116" s="388"/>
      <c r="B1116" s="388"/>
    </row>
    <row r="1117" spans="1:2" x14ac:dyDescent="0.25">
      <c r="A1117" s="388"/>
      <c r="B1117" s="388"/>
    </row>
    <row r="1118" spans="1:2" x14ac:dyDescent="0.25">
      <c r="A1118" s="388"/>
      <c r="B1118" s="388"/>
    </row>
    <row r="1119" spans="1:2" x14ac:dyDescent="0.25">
      <c r="A1119" s="388"/>
      <c r="B1119" s="388"/>
    </row>
    <row r="1120" spans="1:2" x14ac:dyDescent="0.25">
      <c r="A1120" s="388"/>
      <c r="B1120" s="388"/>
    </row>
    <row r="1121" spans="1:2" x14ac:dyDescent="0.25">
      <c r="A1121" s="388"/>
      <c r="B1121" s="388"/>
    </row>
    <row r="1122" spans="1:2" x14ac:dyDescent="0.25">
      <c r="A1122" s="388"/>
      <c r="B1122" s="388"/>
    </row>
    <row r="1123" spans="1:2" x14ac:dyDescent="0.25">
      <c r="A1123" s="388"/>
      <c r="B1123" s="388"/>
    </row>
    <row r="1124" spans="1:2" x14ac:dyDescent="0.25">
      <c r="A1124" s="388"/>
      <c r="B1124" s="388"/>
    </row>
    <row r="1125" spans="1:2" x14ac:dyDescent="0.25">
      <c r="A1125" s="388"/>
      <c r="B1125" s="388"/>
    </row>
    <row r="1126" spans="1:2" x14ac:dyDescent="0.25">
      <c r="A1126" s="388"/>
      <c r="B1126" s="388"/>
    </row>
    <row r="1127" spans="1:2" x14ac:dyDescent="0.25">
      <c r="A1127" s="388"/>
      <c r="B1127" s="388"/>
    </row>
    <row r="1128" spans="1:2" x14ac:dyDescent="0.25">
      <c r="A1128" s="388"/>
      <c r="B1128" s="388"/>
    </row>
    <row r="1129" spans="1:2" x14ac:dyDescent="0.25">
      <c r="A1129" s="388"/>
      <c r="B1129" s="388"/>
    </row>
    <row r="1130" spans="1:2" x14ac:dyDescent="0.25">
      <c r="A1130" s="388"/>
      <c r="B1130" s="388"/>
    </row>
    <row r="1131" spans="1:2" x14ac:dyDescent="0.25">
      <c r="A1131" s="388"/>
      <c r="B1131" s="388"/>
    </row>
    <row r="1132" spans="1:2" x14ac:dyDescent="0.25">
      <c r="A1132" s="388"/>
      <c r="B1132" s="388"/>
    </row>
    <row r="1133" spans="1:2" x14ac:dyDescent="0.25">
      <c r="A1133" s="388"/>
      <c r="B1133" s="388"/>
    </row>
    <row r="1134" spans="1:2" x14ac:dyDescent="0.25">
      <c r="A1134" s="388"/>
      <c r="B1134" s="388"/>
    </row>
    <row r="1135" spans="1:2" x14ac:dyDescent="0.25">
      <c r="A1135" s="388"/>
      <c r="B1135" s="388"/>
    </row>
    <row r="1136" spans="1:2" x14ac:dyDescent="0.25">
      <c r="A1136" s="388"/>
      <c r="B1136" s="388"/>
    </row>
    <row r="1137" spans="1:2" x14ac:dyDescent="0.25">
      <c r="A1137" s="388"/>
      <c r="B1137" s="388"/>
    </row>
    <row r="1138" spans="1:2" x14ac:dyDescent="0.25">
      <c r="A1138" s="388"/>
      <c r="B1138" s="388"/>
    </row>
    <row r="1139" spans="1:2" x14ac:dyDescent="0.25">
      <c r="A1139" s="388"/>
      <c r="B1139" s="388"/>
    </row>
    <row r="1140" spans="1:2" x14ac:dyDescent="0.25">
      <c r="A1140" s="388"/>
      <c r="B1140" s="388"/>
    </row>
    <row r="1141" spans="1:2" x14ac:dyDescent="0.25">
      <c r="A1141" s="388"/>
      <c r="B1141" s="388"/>
    </row>
    <row r="1142" spans="1:2" x14ac:dyDescent="0.25">
      <c r="A1142" s="388"/>
      <c r="B1142" s="388"/>
    </row>
    <row r="1143" spans="1:2" x14ac:dyDescent="0.25">
      <c r="A1143" s="388"/>
      <c r="B1143" s="388"/>
    </row>
    <row r="1144" spans="1:2" x14ac:dyDescent="0.25">
      <c r="A1144" s="388"/>
      <c r="B1144" s="388"/>
    </row>
    <row r="1145" spans="1:2" x14ac:dyDescent="0.25">
      <c r="A1145" s="388"/>
      <c r="B1145" s="388"/>
    </row>
    <row r="1146" spans="1:2" x14ac:dyDescent="0.25">
      <c r="A1146" s="388"/>
      <c r="B1146" s="388"/>
    </row>
    <row r="1147" spans="1:2" x14ac:dyDescent="0.25">
      <c r="A1147" s="388"/>
      <c r="B1147" s="388"/>
    </row>
    <row r="1148" spans="1:2" x14ac:dyDescent="0.25">
      <c r="A1148" s="388"/>
      <c r="B1148" s="388"/>
    </row>
    <row r="1149" spans="1:2" x14ac:dyDescent="0.25">
      <c r="A1149" s="388"/>
      <c r="B1149" s="388"/>
    </row>
    <row r="1150" spans="1:2" x14ac:dyDescent="0.25">
      <c r="A1150" s="388"/>
      <c r="B1150" s="388"/>
    </row>
    <row r="1151" spans="1:2" x14ac:dyDescent="0.25">
      <c r="A1151" s="388"/>
      <c r="B1151" s="388"/>
    </row>
    <row r="1152" spans="1:2" x14ac:dyDescent="0.25">
      <c r="A1152" s="388"/>
      <c r="B1152" s="388"/>
    </row>
    <row r="1153" spans="1:2" x14ac:dyDescent="0.25">
      <c r="A1153" s="388"/>
      <c r="B1153" s="388"/>
    </row>
    <row r="1154" spans="1:2" x14ac:dyDescent="0.25">
      <c r="A1154" s="388"/>
      <c r="B1154" s="388"/>
    </row>
    <row r="1155" spans="1:2" x14ac:dyDescent="0.25">
      <c r="A1155" s="388"/>
      <c r="B1155" s="388"/>
    </row>
    <row r="1156" spans="1:2" x14ac:dyDescent="0.25">
      <c r="A1156" s="388"/>
      <c r="B1156" s="388"/>
    </row>
    <row r="1157" spans="1:2" x14ac:dyDescent="0.25">
      <c r="A1157" s="388"/>
      <c r="B1157" s="388"/>
    </row>
    <row r="1158" spans="1:2" x14ac:dyDescent="0.25">
      <c r="A1158" s="388"/>
      <c r="B1158" s="388"/>
    </row>
    <row r="1159" spans="1:2" x14ac:dyDescent="0.25">
      <c r="A1159" s="388"/>
      <c r="B1159" s="388"/>
    </row>
    <row r="1160" spans="1:2" x14ac:dyDescent="0.25">
      <c r="A1160" s="388"/>
      <c r="B1160" s="388"/>
    </row>
    <row r="1161" spans="1:2" x14ac:dyDescent="0.25">
      <c r="A1161" s="388"/>
      <c r="B1161" s="388"/>
    </row>
    <row r="1162" spans="1:2" x14ac:dyDescent="0.25">
      <c r="A1162" s="388"/>
      <c r="B1162" s="388"/>
    </row>
    <row r="1163" spans="1:2" x14ac:dyDescent="0.25">
      <c r="A1163" s="388"/>
      <c r="B1163" s="388"/>
    </row>
    <row r="1164" spans="1:2" x14ac:dyDescent="0.25">
      <c r="A1164" s="388"/>
      <c r="B1164" s="388"/>
    </row>
    <row r="1165" spans="1:2" x14ac:dyDescent="0.25">
      <c r="A1165" s="388"/>
      <c r="B1165" s="388"/>
    </row>
    <row r="1166" spans="1:2" x14ac:dyDescent="0.25">
      <c r="A1166" s="388"/>
      <c r="B1166" s="388"/>
    </row>
    <row r="1167" spans="1:2" x14ac:dyDescent="0.25">
      <c r="A1167" s="388"/>
      <c r="B1167" s="388"/>
    </row>
    <row r="1168" spans="1:2" x14ac:dyDescent="0.25">
      <c r="A1168" s="388"/>
      <c r="B1168" s="388"/>
    </row>
    <row r="1169" spans="1:2" x14ac:dyDescent="0.25">
      <c r="A1169" s="388"/>
      <c r="B1169" s="388"/>
    </row>
    <row r="1170" spans="1:2" x14ac:dyDescent="0.25">
      <c r="A1170" s="388"/>
      <c r="B1170" s="388"/>
    </row>
    <row r="1171" spans="1:2" x14ac:dyDescent="0.25">
      <c r="A1171" s="388"/>
      <c r="B1171" s="388"/>
    </row>
    <row r="1172" spans="1:2" x14ac:dyDescent="0.25">
      <c r="A1172" s="388"/>
      <c r="B1172" s="388"/>
    </row>
    <row r="1173" spans="1:2" x14ac:dyDescent="0.25">
      <c r="A1173" s="388"/>
      <c r="B1173" s="388"/>
    </row>
    <row r="1174" spans="1:2" x14ac:dyDescent="0.25">
      <c r="A1174" s="388"/>
      <c r="B1174" s="388"/>
    </row>
    <row r="1175" spans="1:2" x14ac:dyDescent="0.25">
      <c r="A1175" s="388"/>
      <c r="B1175" s="388"/>
    </row>
    <row r="1176" spans="1:2" x14ac:dyDescent="0.25">
      <c r="A1176" s="388"/>
      <c r="B1176" s="388"/>
    </row>
    <row r="1177" spans="1:2" x14ac:dyDescent="0.25">
      <c r="A1177" s="388"/>
      <c r="B1177" s="388"/>
    </row>
    <row r="1178" spans="1:2" x14ac:dyDescent="0.25">
      <c r="A1178" s="388"/>
      <c r="B1178" s="388"/>
    </row>
    <row r="1179" spans="1:2" x14ac:dyDescent="0.25">
      <c r="A1179" s="388"/>
      <c r="B1179" s="388"/>
    </row>
    <row r="1180" spans="1:2" x14ac:dyDescent="0.25">
      <c r="A1180" s="388"/>
      <c r="B1180" s="388"/>
    </row>
    <row r="1181" spans="1:2" x14ac:dyDescent="0.25">
      <c r="A1181" s="388"/>
      <c r="B1181" s="388"/>
    </row>
    <row r="1182" spans="1:2" x14ac:dyDescent="0.25">
      <c r="A1182" s="388"/>
      <c r="B1182" s="388"/>
    </row>
    <row r="1183" spans="1:2" x14ac:dyDescent="0.25">
      <c r="A1183" s="388"/>
      <c r="B1183" s="388"/>
    </row>
    <row r="1184" spans="1:2" x14ac:dyDescent="0.25">
      <c r="A1184" s="388"/>
      <c r="B1184" s="388"/>
    </row>
    <row r="1185" spans="1:2" x14ac:dyDescent="0.25">
      <c r="A1185" s="388"/>
      <c r="B1185" s="388"/>
    </row>
    <row r="1186" spans="1:2" x14ac:dyDescent="0.25">
      <c r="A1186" s="388"/>
      <c r="B1186" s="388"/>
    </row>
    <row r="1187" spans="1:2" x14ac:dyDescent="0.25">
      <c r="A1187" s="388"/>
      <c r="B1187" s="388"/>
    </row>
    <row r="1188" spans="1:2" x14ac:dyDescent="0.25">
      <c r="A1188" s="388"/>
      <c r="B1188" s="388"/>
    </row>
    <row r="1189" spans="1:2" x14ac:dyDescent="0.25">
      <c r="A1189" s="388"/>
      <c r="B1189" s="388"/>
    </row>
    <row r="1190" spans="1:2" x14ac:dyDescent="0.25">
      <c r="A1190" s="388"/>
      <c r="B1190" s="388"/>
    </row>
    <row r="1191" spans="1:2" x14ac:dyDescent="0.25">
      <c r="A1191" s="388"/>
      <c r="B1191" s="388"/>
    </row>
    <row r="1192" spans="1:2" x14ac:dyDescent="0.25">
      <c r="A1192" s="388"/>
      <c r="B1192" s="388"/>
    </row>
    <row r="1193" spans="1:2" x14ac:dyDescent="0.25">
      <c r="A1193" s="388"/>
      <c r="B1193" s="388"/>
    </row>
    <row r="1194" spans="1:2" x14ac:dyDescent="0.25">
      <c r="A1194" s="388"/>
      <c r="B1194" s="388"/>
    </row>
    <row r="1195" spans="1:2" x14ac:dyDescent="0.25">
      <c r="A1195" s="388"/>
      <c r="B1195" s="388"/>
    </row>
    <row r="1196" spans="1:2" x14ac:dyDescent="0.25">
      <c r="A1196" s="388"/>
      <c r="B1196" s="388"/>
    </row>
    <row r="1197" spans="1:2" x14ac:dyDescent="0.25">
      <c r="A1197" s="388"/>
      <c r="B1197" s="388"/>
    </row>
    <row r="1198" spans="1:2" x14ac:dyDescent="0.25">
      <c r="A1198" s="388"/>
      <c r="B1198" s="388"/>
    </row>
    <row r="1199" spans="1:2" x14ac:dyDescent="0.25">
      <c r="A1199" s="388"/>
      <c r="B1199" s="388"/>
    </row>
    <row r="1200" spans="1:2" x14ac:dyDescent="0.25">
      <c r="A1200" s="388"/>
      <c r="B1200" s="388"/>
    </row>
    <row r="1201" spans="1:2" x14ac:dyDescent="0.25">
      <c r="A1201" s="388"/>
      <c r="B1201" s="388"/>
    </row>
    <row r="1202" spans="1:2" x14ac:dyDescent="0.25">
      <c r="A1202" s="388"/>
      <c r="B1202" s="388"/>
    </row>
    <row r="1203" spans="1:2" x14ac:dyDescent="0.25">
      <c r="A1203" s="388"/>
      <c r="B1203" s="388"/>
    </row>
    <row r="1204" spans="1:2" x14ac:dyDescent="0.25">
      <c r="A1204" s="388"/>
      <c r="B1204" s="388"/>
    </row>
    <row r="1205" spans="1:2" x14ac:dyDescent="0.25">
      <c r="A1205" s="388"/>
      <c r="B1205" s="388"/>
    </row>
    <row r="1206" spans="1:2" x14ac:dyDescent="0.25">
      <c r="A1206" s="388"/>
      <c r="B1206" s="388"/>
    </row>
    <row r="1207" spans="1:2" x14ac:dyDescent="0.25">
      <c r="A1207" s="388"/>
      <c r="B1207" s="388"/>
    </row>
    <row r="1208" spans="1:2" x14ac:dyDescent="0.25">
      <c r="A1208" s="388"/>
      <c r="B1208" s="388"/>
    </row>
    <row r="1209" spans="1:2" x14ac:dyDescent="0.25">
      <c r="A1209" s="388"/>
      <c r="B1209" s="388"/>
    </row>
    <row r="1210" spans="1:2" x14ac:dyDescent="0.25">
      <c r="A1210" s="388"/>
      <c r="B1210" s="388"/>
    </row>
    <row r="1211" spans="1:2" x14ac:dyDescent="0.25">
      <c r="A1211" s="388"/>
      <c r="B1211" s="388"/>
    </row>
    <row r="1212" spans="1:2" x14ac:dyDescent="0.25">
      <c r="A1212" s="388"/>
      <c r="B1212" s="388"/>
    </row>
    <row r="1213" spans="1:2" x14ac:dyDescent="0.25">
      <c r="A1213" s="388"/>
      <c r="B1213" s="388"/>
    </row>
    <row r="1214" spans="1:2" x14ac:dyDescent="0.25">
      <c r="A1214" s="388"/>
      <c r="B1214" s="388"/>
    </row>
    <row r="1215" spans="1:2" x14ac:dyDescent="0.25">
      <c r="A1215" s="388"/>
      <c r="B1215" s="388"/>
    </row>
    <row r="1216" spans="1:2" x14ac:dyDescent="0.25">
      <c r="A1216" s="388"/>
      <c r="B1216" s="388"/>
    </row>
    <row r="1217" spans="1:2" x14ac:dyDescent="0.25">
      <c r="A1217" s="388"/>
      <c r="B1217" s="388"/>
    </row>
    <row r="1218" spans="1:2" x14ac:dyDescent="0.25">
      <c r="A1218" s="388"/>
      <c r="B1218" s="388"/>
    </row>
    <row r="1219" spans="1:2" x14ac:dyDescent="0.25">
      <c r="A1219" s="388"/>
      <c r="B1219" s="388"/>
    </row>
    <row r="1220" spans="1:2" x14ac:dyDescent="0.25">
      <c r="A1220" s="388"/>
      <c r="B1220" s="388"/>
    </row>
    <row r="1221" spans="1:2" x14ac:dyDescent="0.25">
      <c r="A1221" s="388"/>
      <c r="B1221" s="388"/>
    </row>
    <row r="1222" spans="1:2" x14ac:dyDescent="0.25">
      <c r="A1222" s="388"/>
      <c r="B1222" s="388"/>
    </row>
    <row r="1223" spans="1:2" x14ac:dyDescent="0.25">
      <c r="A1223" s="388"/>
      <c r="B1223" s="388"/>
    </row>
    <row r="1224" spans="1:2" x14ac:dyDescent="0.25">
      <c r="A1224" s="388"/>
      <c r="B1224" s="388"/>
    </row>
    <row r="1225" spans="1:2" x14ac:dyDescent="0.25">
      <c r="A1225" s="388"/>
      <c r="B1225" s="388"/>
    </row>
    <row r="1226" spans="1:2" x14ac:dyDescent="0.25">
      <c r="A1226" s="388"/>
      <c r="B1226" s="388"/>
    </row>
    <row r="1227" spans="1:2" x14ac:dyDescent="0.25">
      <c r="A1227" s="388"/>
      <c r="B1227" s="388"/>
    </row>
    <row r="1228" spans="1:2" x14ac:dyDescent="0.25">
      <c r="A1228" s="388"/>
      <c r="B1228" s="388"/>
    </row>
    <row r="1229" spans="1:2" x14ac:dyDescent="0.25">
      <c r="A1229" s="388"/>
      <c r="B1229" s="388"/>
    </row>
    <row r="1230" spans="1:2" x14ac:dyDescent="0.25">
      <c r="A1230" s="388"/>
      <c r="B1230" s="388"/>
    </row>
    <row r="1231" spans="1:2" x14ac:dyDescent="0.25">
      <c r="A1231" s="388"/>
      <c r="B1231" s="388"/>
    </row>
    <row r="1232" spans="1:2" x14ac:dyDescent="0.25">
      <c r="A1232" s="388"/>
      <c r="B1232" s="388"/>
    </row>
    <row r="1233" spans="1:2" x14ac:dyDescent="0.25">
      <c r="A1233" s="388"/>
      <c r="B1233" s="388"/>
    </row>
    <row r="1234" spans="1:2" x14ac:dyDescent="0.25">
      <c r="A1234" s="388"/>
      <c r="B1234" s="388"/>
    </row>
    <row r="1235" spans="1:2" x14ac:dyDescent="0.25">
      <c r="A1235" s="388"/>
      <c r="B1235" s="388"/>
    </row>
    <row r="1236" spans="1:2" x14ac:dyDescent="0.25">
      <c r="A1236" s="388"/>
      <c r="B1236" s="388"/>
    </row>
    <row r="1237" spans="1:2" x14ac:dyDescent="0.25">
      <c r="A1237" s="388"/>
      <c r="B1237" s="388"/>
    </row>
    <row r="1238" spans="1:2" x14ac:dyDescent="0.25">
      <c r="A1238" s="388"/>
      <c r="B1238" s="388"/>
    </row>
    <row r="1239" spans="1:2" x14ac:dyDescent="0.25">
      <c r="A1239" s="388"/>
      <c r="B1239" s="388"/>
    </row>
    <row r="1240" spans="1:2" x14ac:dyDescent="0.25">
      <c r="A1240" s="388"/>
      <c r="B1240" s="388"/>
    </row>
    <row r="1241" spans="1:2" x14ac:dyDescent="0.25">
      <c r="A1241" s="388"/>
      <c r="B1241" s="388"/>
    </row>
    <row r="1242" spans="1:2" x14ac:dyDescent="0.25">
      <c r="A1242" s="388"/>
      <c r="B1242" s="388"/>
    </row>
    <row r="1243" spans="1:2" x14ac:dyDescent="0.25">
      <c r="A1243" s="388"/>
      <c r="B1243" s="388"/>
    </row>
    <row r="1244" spans="1:2" x14ac:dyDescent="0.25">
      <c r="A1244" s="388"/>
      <c r="B1244" s="388"/>
    </row>
    <row r="1245" spans="1:2" x14ac:dyDescent="0.25">
      <c r="A1245" s="388"/>
      <c r="B1245" s="388"/>
    </row>
    <row r="1246" spans="1:2" x14ac:dyDescent="0.25">
      <c r="A1246" s="388"/>
      <c r="B1246" s="388"/>
    </row>
    <row r="1247" spans="1:2" x14ac:dyDescent="0.25">
      <c r="A1247" s="388"/>
      <c r="B1247" s="388"/>
    </row>
    <row r="1248" spans="1:2" x14ac:dyDescent="0.25">
      <c r="A1248" s="388"/>
      <c r="B1248" s="388"/>
    </row>
    <row r="1249" spans="1:2" x14ac:dyDescent="0.25">
      <c r="A1249" s="388"/>
      <c r="B1249" s="388"/>
    </row>
    <row r="1250" spans="1:2" x14ac:dyDescent="0.25">
      <c r="A1250" s="388"/>
      <c r="B1250" s="388"/>
    </row>
    <row r="1251" spans="1:2" x14ac:dyDescent="0.25">
      <c r="A1251" s="388"/>
      <c r="B1251" s="388"/>
    </row>
    <row r="1252" spans="1:2" x14ac:dyDescent="0.25">
      <c r="A1252" s="388"/>
      <c r="B1252" s="388"/>
    </row>
    <row r="1253" spans="1:2" x14ac:dyDescent="0.25">
      <c r="A1253" s="388"/>
      <c r="B1253" s="388"/>
    </row>
    <row r="1254" spans="1:2" x14ac:dyDescent="0.25">
      <c r="A1254" s="388"/>
      <c r="B1254" s="388"/>
    </row>
    <row r="1255" spans="1:2" x14ac:dyDescent="0.25">
      <c r="A1255" s="388"/>
      <c r="B1255" s="388"/>
    </row>
    <row r="1256" spans="1:2" x14ac:dyDescent="0.25">
      <c r="A1256" s="388"/>
      <c r="B1256" s="388"/>
    </row>
    <row r="1257" spans="1:2" x14ac:dyDescent="0.25">
      <c r="A1257" s="388"/>
      <c r="B1257" s="388"/>
    </row>
    <row r="1258" spans="1:2" x14ac:dyDescent="0.25">
      <c r="A1258" s="388"/>
      <c r="B1258" s="388"/>
    </row>
    <row r="1259" spans="1:2" x14ac:dyDescent="0.25">
      <c r="A1259" s="388"/>
      <c r="B1259" s="388"/>
    </row>
    <row r="1260" spans="1:2" x14ac:dyDescent="0.25">
      <c r="A1260" s="388"/>
      <c r="B1260" s="388"/>
    </row>
    <row r="1261" spans="1:2" x14ac:dyDescent="0.25">
      <c r="A1261" s="388"/>
      <c r="B1261" s="388"/>
    </row>
    <row r="1262" spans="1:2" x14ac:dyDescent="0.25">
      <c r="A1262" s="388"/>
      <c r="B1262" s="388"/>
    </row>
    <row r="1263" spans="1:2" x14ac:dyDescent="0.25">
      <c r="A1263" s="388"/>
      <c r="B1263" s="388"/>
    </row>
    <row r="1264" spans="1:2" x14ac:dyDescent="0.25">
      <c r="A1264" s="388"/>
      <c r="B1264" s="388"/>
    </row>
    <row r="1265" spans="1:2" x14ac:dyDescent="0.25">
      <c r="A1265" s="388"/>
      <c r="B1265" s="388"/>
    </row>
    <row r="1266" spans="1:2" x14ac:dyDescent="0.25">
      <c r="A1266" s="388"/>
      <c r="B1266" s="388"/>
    </row>
    <row r="1267" spans="1:2" x14ac:dyDescent="0.25">
      <c r="A1267" s="388"/>
      <c r="B1267" s="388"/>
    </row>
    <row r="1268" spans="1:2" x14ac:dyDescent="0.25">
      <c r="A1268" s="388"/>
      <c r="B1268" s="388"/>
    </row>
    <row r="1269" spans="1:2" x14ac:dyDescent="0.25">
      <c r="A1269" s="388"/>
      <c r="B1269" s="388"/>
    </row>
    <row r="1270" spans="1:2" x14ac:dyDescent="0.25">
      <c r="A1270" s="388"/>
      <c r="B1270" s="388"/>
    </row>
    <row r="1271" spans="1:2" x14ac:dyDescent="0.25">
      <c r="A1271" s="388"/>
      <c r="B1271" s="388"/>
    </row>
    <row r="1272" spans="1:2" x14ac:dyDescent="0.25">
      <c r="A1272" s="388"/>
      <c r="B1272" s="388"/>
    </row>
    <row r="1273" spans="1:2" x14ac:dyDescent="0.25">
      <c r="A1273" s="388"/>
      <c r="B1273" s="388"/>
    </row>
    <row r="1274" spans="1:2" x14ac:dyDescent="0.25">
      <c r="A1274" s="388"/>
      <c r="B1274" s="388"/>
    </row>
    <row r="1275" spans="1:2" x14ac:dyDescent="0.25">
      <c r="A1275" s="388"/>
      <c r="B1275" s="388"/>
    </row>
    <row r="1276" spans="1:2" x14ac:dyDescent="0.25">
      <c r="A1276" s="388"/>
      <c r="B1276" s="388"/>
    </row>
    <row r="1277" spans="1:2" x14ac:dyDescent="0.25">
      <c r="A1277" s="388"/>
      <c r="B1277" s="388"/>
    </row>
    <row r="1278" spans="1:2" x14ac:dyDescent="0.25">
      <c r="A1278" s="388"/>
      <c r="B1278" s="388"/>
    </row>
    <row r="1279" spans="1:2" x14ac:dyDescent="0.25">
      <c r="A1279" s="388"/>
      <c r="B1279" s="388"/>
    </row>
    <row r="1280" spans="1:2" x14ac:dyDescent="0.25">
      <c r="A1280" s="388"/>
      <c r="B1280" s="388"/>
    </row>
    <row r="1281" spans="1:2" x14ac:dyDescent="0.25">
      <c r="A1281" s="388"/>
      <c r="B1281" s="388"/>
    </row>
    <row r="1282" spans="1:2" x14ac:dyDescent="0.25">
      <c r="A1282" s="388"/>
      <c r="B1282" s="388"/>
    </row>
    <row r="1283" spans="1:2" x14ac:dyDescent="0.25">
      <c r="A1283" s="388"/>
      <c r="B1283" s="388"/>
    </row>
    <row r="1284" spans="1:2" x14ac:dyDescent="0.25">
      <c r="A1284" s="388"/>
      <c r="B1284" s="388"/>
    </row>
    <row r="1285" spans="1:2" x14ac:dyDescent="0.25">
      <c r="A1285" s="388"/>
      <c r="B1285" s="388"/>
    </row>
    <row r="1286" spans="1:2" x14ac:dyDescent="0.25">
      <c r="A1286" s="388"/>
      <c r="B1286" s="388"/>
    </row>
    <row r="1287" spans="1:2" x14ac:dyDescent="0.25">
      <c r="A1287" s="388"/>
      <c r="B1287" s="388"/>
    </row>
    <row r="1288" spans="1:2" x14ac:dyDescent="0.25">
      <c r="A1288" s="388"/>
      <c r="B1288" s="388"/>
    </row>
    <row r="1289" spans="1:2" x14ac:dyDescent="0.25">
      <c r="A1289" s="388"/>
      <c r="B1289" s="388"/>
    </row>
    <row r="1290" spans="1:2" x14ac:dyDescent="0.25">
      <c r="A1290" s="388"/>
      <c r="B1290" s="388"/>
    </row>
    <row r="1291" spans="1:2" x14ac:dyDescent="0.25">
      <c r="A1291" s="388"/>
      <c r="B1291" s="388"/>
    </row>
    <row r="1292" spans="1:2" x14ac:dyDescent="0.25">
      <c r="A1292" s="388"/>
      <c r="B1292" s="388"/>
    </row>
    <row r="1293" spans="1:2" x14ac:dyDescent="0.25">
      <c r="A1293" s="388"/>
      <c r="B1293" s="388"/>
    </row>
    <row r="1294" spans="1:2" x14ac:dyDescent="0.25">
      <c r="A1294" s="388"/>
      <c r="B1294" s="388"/>
    </row>
    <row r="1295" spans="1:2" x14ac:dyDescent="0.25">
      <c r="A1295" s="388"/>
      <c r="B1295" s="388"/>
    </row>
    <row r="1296" spans="1:2" x14ac:dyDescent="0.25">
      <c r="A1296" s="388"/>
      <c r="B1296" s="388"/>
    </row>
    <row r="1297" spans="1:2" x14ac:dyDescent="0.25">
      <c r="A1297" s="388"/>
      <c r="B1297" s="388"/>
    </row>
    <row r="1298" spans="1:2" x14ac:dyDescent="0.25">
      <c r="A1298" s="388"/>
      <c r="B1298" s="388"/>
    </row>
    <row r="1299" spans="1:2" x14ac:dyDescent="0.25">
      <c r="A1299" s="388"/>
      <c r="B1299" s="388"/>
    </row>
    <row r="1300" spans="1:2" x14ac:dyDescent="0.25">
      <c r="A1300" s="388"/>
      <c r="B1300" s="388"/>
    </row>
    <row r="1301" spans="1:2" x14ac:dyDescent="0.25">
      <c r="A1301" s="388"/>
      <c r="B1301" s="388"/>
    </row>
    <row r="1302" spans="1:2" x14ac:dyDescent="0.25">
      <c r="A1302" s="388"/>
      <c r="B1302" s="388"/>
    </row>
    <row r="1303" spans="1:2" x14ac:dyDescent="0.25">
      <c r="A1303" s="388"/>
      <c r="B1303" s="388"/>
    </row>
    <row r="1304" spans="1:2" x14ac:dyDescent="0.25">
      <c r="A1304" s="388"/>
      <c r="B1304" s="388"/>
    </row>
    <row r="1305" spans="1:2" x14ac:dyDescent="0.25">
      <c r="A1305" s="388"/>
      <c r="B1305" s="388"/>
    </row>
    <row r="1306" spans="1:2" x14ac:dyDescent="0.25">
      <c r="A1306" s="388"/>
      <c r="B1306" s="388"/>
    </row>
    <row r="1307" spans="1:2" x14ac:dyDescent="0.25">
      <c r="A1307" s="388"/>
      <c r="B1307" s="388"/>
    </row>
    <row r="1308" spans="1:2" x14ac:dyDescent="0.25">
      <c r="A1308" s="388"/>
      <c r="B1308" s="388"/>
    </row>
    <row r="1309" spans="1:2" x14ac:dyDescent="0.25">
      <c r="A1309" s="388"/>
      <c r="B1309" s="388"/>
    </row>
    <row r="1310" spans="1:2" x14ac:dyDescent="0.25">
      <c r="A1310" s="388"/>
      <c r="B1310" s="388"/>
    </row>
    <row r="1311" spans="1:2" x14ac:dyDescent="0.25">
      <c r="A1311" s="388"/>
      <c r="B1311" s="388"/>
    </row>
    <row r="1312" spans="1:2" x14ac:dyDescent="0.25">
      <c r="A1312" s="388"/>
      <c r="B1312" s="388"/>
    </row>
    <row r="1313" spans="1:2" x14ac:dyDescent="0.25">
      <c r="A1313" s="388"/>
      <c r="B1313" s="388"/>
    </row>
    <row r="1314" spans="1:2" x14ac:dyDescent="0.25">
      <c r="A1314" s="388"/>
      <c r="B1314" s="388"/>
    </row>
    <row r="1315" spans="1:2" x14ac:dyDescent="0.25">
      <c r="A1315" s="388"/>
      <c r="B1315" s="388"/>
    </row>
    <row r="1316" spans="1:2" x14ac:dyDescent="0.25">
      <c r="A1316" s="388"/>
      <c r="B1316" s="388"/>
    </row>
    <row r="1317" spans="1:2" x14ac:dyDescent="0.25">
      <c r="A1317" s="388"/>
      <c r="B1317" s="388"/>
    </row>
    <row r="1318" spans="1:2" x14ac:dyDescent="0.25">
      <c r="A1318" s="388"/>
      <c r="B1318" s="388"/>
    </row>
    <row r="1319" spans="1:2" x14ac:dyDescent="0.25">
      <c r="A1319" s="388"/>
      <c r="B1319" s="388"/>
    </row>
    <row r="1320" spans="1:2" x14ac:dyDescent="0.25">
      <c r="A1320" s="388"/>
      <c r="B1320" s="388"/>
    </row>
    <row r="1321" spans="1:2" x14ac:dyDescent="0.25">
      <c r="A1321" s="388"/>
      <c r="B1321" s="388"/>
    </row>
    <row r="1322" spans="1:2" x14ac:dyDescent="0.25">
      <c r="A1322" s="388"/>
      <c r="B1322" s="388"/>
    </row>
    <row r="1323" spans="1:2" x14ac:dyDescent="0.25">
      <c r="A1323" s="388"/>
      <c r="B1323" s="388"/>
    </row>
    <row r="1324" spans="1:2" x14ac:dyDescent="0.25">
      <c r="A1324" s="388"/>
      <c r="B1324" s="388"/>
    </row>
    <row r="1325" spans="1:2" x14ac:dyDescent="0.25">
      <c r="A1325" s="388"/>
      <c r="B1325" s="388"/>
    </row>
    <row r="1326" spans="1:2" x14ac:dyDescent="0.25">
      <c r="A1326" s="388"/>
      <c r="B1326" s="388"/>
    </row>
    <row r="1327" spans="1:2" x14ac:dyDescent="0.25">
      <c r="A1327" s="388"/>
      <c r="B1327" s="388"/>
    </row>
    <row r="1328" spans="1:2" x14ac:dyDescent="0.25">
      <c r="A1328" s="388"/>
      <c r="B1328" s="388"/>
    </row>
    <row r="1329" spans="1:2" x14ac:dyDescent="0.25">
      <c r="A1329" s="388"/>
      <c r="B1329" s="388"/>
    </row>
    <row r="1330" spans="1:2" x14ac:dyDescent="0.25">
      <c r="A1330" s="388"/>
      <c r="B1330" s="388"/>
    </row>
    <row r="1331" spans="1:2" x14ac:dyDescent="0.25">
      <c r="A1331" s="388"/>
      <c r="B1331" s="388"/>
    </row>
    <row r="1332" spans="1:2" x14ac:dyDescent="0.25">
      <c r="A1332" s="388"/>
      <c r="B1332" s="388"/>
    </row>
    <row r="1333" spans="1:2" x14ac:dyDescent="0.25">
      <c r="A1333" s="388"/>
      <c r="B1333" s="388"/>
    </row>
    <row r="1334" spans="1:2" x14ac:dyDescent="0.25">
      <c r="A1334" s="388"/>
      <c r="B1334" s="388"/>
    </row>
    <row r="1335" spans="1:2" x14ac:dyDescent="0.25">
      <c r="A1335" s="388"/>
      <c r="B1335" s="388"/>
    </row>
    <row r="1336" spans="1:2" x14ac:dyDescent="0.25">
      <c r="A1336" s="388"/>
      <c r="B1336" s="388"/>
    </row>
    <row r="1337" spans="1:2" x14ac:dyDescent="0.25">
      <c r="A1337" s="388"/>
      <c r="B1337" s="388"/>
    </row>
    <row r="1338" spans="1:2" x14ac:dyDescent="0.25">
      <c r="A1338" s="388"/>
      <c r="B1338" s="388"/>
    </row>
    <row r="1339" spans="1:2" x14ac:dyDescent="0.25">
      <c r="A1339" s="388"/>
      <c r="B1339" s="388"/>
    </row>
    <row r="1340" spans="1:2" x14ac:dyDescent="0.25">
      <c r="A1340" s="388"/>
      <c r="B1340" s="388"/>
    </row>
    <row r="1341" spans="1:2" x14ac:dyDescent="0.25">
      <c r="A1341" s="388"/>
      <c r="B1341" s="388"/>
    </row>
    <row r="1342" spans="1:2" x14ac:dyDescent="0.25">
      <c r="A1342" s="388"/>
      <c r="B1342" s="388"/>
    </row>
    <row r="1343" spans="1:2" x14ac:dyDescent="0.25">
      <c r="A1343" s="388"/>
      <c r="B1343" s="388"/>
    </row>
    <row r="1344" spans="1:2" x14ac:dyDescent="0.25">
      <c r="A1344" s="388"/>
      <c r="B1344" s="388"/>
    </row>
    <row r="1345" spans="1:2" x14ac:dyDescent="0.25">
      <c r="A1345" s="388"/>
      <c r="B1345" s="388"/>
    </row>
    <row r="1346" spans="1:2" x14ac:dyDescent="0.25">
      <c r="A1346" s="388"/>
      <c r="B1346" s="388"/>
    </row>
    <row r="1347" spans="1:2" x14ac:dyDescent="0.25">
      <c r="A1347" s="388"/>
      <c r="B1347" s="388"/>
    </row>
    <row r="1348" spans="1:2" x14ac:dyDescent="0.25">
      <c r="A1348" s="388"/>
      <c r="B1348" s="388"/>
    </row>
    <row r="1349" spans="1:2" x14ac:dyDescent="0.25">
      <c r="A1349" s="388"/>
      <c r="B1349" s="388"/>
    </row>
    <row r="1350" spans="1:2" x14ac:dyDescent="0.25">
      <c r="A1350" s="388"/>
      <c r="B1350" s="388"/>
    </row>
    <row r="1351" spans="1:2" x14ac:dyDescent="0.25">
      <c r="A1351" s="388"/>
      <c r="B1351" s="388"/>
    </row>
    <row r="1352" spans="1:2" x14ac:dyDescent="0.25">
      <c r="A1352" s="388"/>
      <c r="B1352" s="388"/>
    </row>
    <row r="1353" spans="1:2" x14ac:dyDescent="0.25">
      <c r="A1353" s="388"/>
      <c r="B1353" s="388"/>
    </row>
    <row r="1354" spans="1:2" x14ac:dyDescent="0.25">
      <c r="A1354" s="388"/>
      <c r="B1354" s="388"/>
    </row>
    <row r="1355" spans="1:2" x14ac:dyDescent="0.25">
      <c r="A1355" s="388"/>
      <c r="B1355" s="388"/>
    </row>
    <row r="1356" spans="1:2" x14ac:dyDescent="0.25">
      <c r="A1356" s="388"/>
      <c r="B1356" s="388"/>
    </row>
    <row r="1357" spans="1:2" x14ac:dyDescent="0.25">
      <c r="A1357" s="388"/>
      <c r="B1357" s="388"/>
    </row>
    <row r="1358" spans="1:2" x14ac:dyDescent="0.25">
      <c r="A1358" s="388"/>
      <c r="B1358" s="388"/>
    </row>
    <row r="1359" spans="1:2" x14ac:dyDescent="0.25">
      <c r="A1359" s="388"/>
      <c r="B1359" s="388"/>
    </row>
    <row r="1360" spans="1:2" x14ac:dyDescent="0.25">
      <c r="A1360" s="388"/>
      <c r="B1360" s="388"/>
    </row>
    <row r="1361" spans="1:2" x14ac:dyDescent="0.25">
      <c r="A1361" s="388"/>
      <c r="B1361" s="388"/>
    </row>
    <row r="1362" spans="1:2" x14ac:dyDescent="0.25">
      <c r="A1362" s="388"/>
      <c r="B1362" s="388"/>
    </row>
    <row r="1363" spans="1:2" x14ac:dyDescent="0.25">
      <c r="A1363" s="388"/>
      <c r="B1363" s="388"/>
    </row>
    <row r="1364" spans="1:2" x14ac:dyDescent="0.25">
      <c r="A1364" s="388"/>
      <c r="B1364" s="388"/>
    </row>
    <row r="1365" spans="1:2" x14ac:dyDescent="0.25">
      <c r="A1365" s="388"/>
      <c r="B1365" s="388"/>
    </row>
    <row r="1366" spans="1:2" x14ac:dyDescent="0.25">
      <c r="A1366" s="388"/>
      <c r="B1366" s="388"/>
    </row>
    <row r="1367" spans="1:2" x14ac:dyDescent="0.25">
      <c r="A1367" s="388"/>
      <c r="B1367" s="388"/>
    </row>
    <row r="1368" spans="1:2" x14ac:dyDescent="0.25">
      <c r="A1368" s="388"/>
      <c r="B1368" s="388"/>
    </row>
    <row r="1369" spans="1:2" x14ac:dyDescent="0.25">
      <c r="A1369" s="388"/>
      <c r="B1369" s="388"/>
    </row>
    <row r="1370" spans="1:2" x14ac:dyDescent="0.25">
      <c r="A1370" s="388"/>
      <c r="B1370" s="388"/>
    </row>
    <row r="1371" spans="1:2" x14ac:dyDescent="0.25">
      <c r="A1371" s="388"/>
      <c r="B1371" s="388"/>
    </row>
    <row r="1372" spans="1:2" x14ac:dyDescent="0.25">
      <c r="A1372" s="388"/>
      <c r="B1372" s="388"/>
    </row>
    <row r="1373" spans="1:2" x14ac:dyDescent="0.25">
      <c r="A1373" s="388"/>
      <c r="B1373" s="388"/>
    </row>
    <row r="1374" spans="1:2" x14ac:dyDescent="0.25">
      <c r="A1374" s="388"/>
      <c r="B1374" s="388"/>
    </row>
    <row r="1375" spans="1:2" x14ac:dyDescent="0.25">
      <c r="A1375" s="388"/>
      <c r="B1375" s="388"/>
    </row>
    <row r="1376" spans="1:2" x14ac:dyDescent="0.25">
      <c r="A1376" s="388"/>
      <c r="B1376" s="388"/>
    </row>
    <row r="1377" spans="1:2" x14ac:dyDescent="0.25">
      <c r="A1377" s="388"/>
      <c r="B1377" s="388"/>
    </row>
    <row r="1378" spans="1:2" x14ac:dyDescent="0.25">
      <c r="A1378" s="388"/>
      <c r="B1378" s="388"/>
    </row>
    <row r="1379" spans="1:2" x14ac:dyDescent="0.25">
      <c r="A1379" s="388"/>
      <c r="B1379" s="388"/>
    </row>
    <row r="1380" spans="1:2" x14ac:dyDescent="0.25">
      <c r="A1380" s="388"/>
      <c r="B1380" s="388"/>
    </row>
    <row r="1381" spans="1:2" x14ac:dyDescent="0.25">
      <c r="A1381" s="388"/>
      <c r="B1381" s="388"/>
    </row>
    <row r="1382" spans="1:2" x14ac:dyDescent="0.25">
      <c r="A1382" s="388"/>
      <c r="B1382" s="388"/>
    </row>
    <row r="1383" spans="1:2" x14ac:dyDescent="0.25">
      <c r="A1383" s="388"/>
      <c r="B1383" s="388"/>
    </row>
    <row r="1384" spans="1:2" x14ac:dyDescent="0.25">
      <c r="A1384" s="388"/>
      <c r="B1384" s="388"/>
    </row>
    <row r="1385" spans="1:2" x14ac:dyDescent="0.25">
      <c r="A1385" s="388"/>
      <c r="B1385" s="388"/>
    </row>
    <row r="1386" spans="1:2" x14ac:dyDescent="0.25">
      <c r="A1386" s="388"/>
      <c r="B1386" s="388"/>
    </row>
    <row r="1387" spans="1:2" x14ac:dyDescent="0.25">
      <c r="A1387" s="388"/>
      <c r="B1387" s="388"/>
    </row>
    <row r="1388" spans="1:2" x14ac:dyDescent="0.25">
      <c r="A1388" s="388"/>
      <c r="B1388" s="388"/>
    </row>
    <row r="1389" spans="1:2" x14ac:dyDescent="0.25">
      <c r="A1389" s="388"/>
      <c r="B1389" s="388"/>
    </row>
    <row r="1390" spans="1:2" x14ac:dyDescent="0.25">
      <c r="A1390" s="388"/>
      <c r="B1390" s="388"/>
    </row>
    <row r="1391" spans="1:2" x14ac:dyDescent="0.25">
      <c r="A1391" s="388"/>
      <c r="B1391" s="388"/>
    </row>
    <row r="1392" spans="1:2" x14ac:dyDescent="0.25">
      <c r="A1392" s="388"/>
      <c r="B1392" s="388"/>
    </row>
    <row r="1393" spans="1:2" x14ac:dyDescent="0.25">
      <c r="A1393" s="388"/>
      <c r="B1393" s="388"/>
    </row>
    <row r="1394" spans="1:2" x14ac:dyDescent="0.25">
      <c r="A1394" s="388"/>
      <c r="B1394" s="388"/>
    </row>
    <row r="1395" spans="1:2" x14ac:dyDescent="0.25">
      <c r="A1395" s="388"/>
      <c r="B1395" s="388"/>
    </row>
    <row r="1396" spans="1:2" x14ac:dyDescent="0.25">
      <c r="A1396" s="388"/>
      <c r="B1396" s="388"/>
    </row>
    <row r="1397" spans="1:2" x14ac:dyDescent="0.25">
      <c r="A1397" s="388"/>
      <c r="B1397" s="388"/>
    </row>
    <row r="1398" spans="1:2" x14ac:dyDescent="0.25">
      <c r="A1398" s="388"/>
      <c r="B1398" s="388"/>
    </row>
    <row r="1399" spans="1:2" x14ac:dyDescent="0.25">
      <c r="A1399" s="388"/>
      <c r="B1399" s="388"/>
    </row>
    <row r="1400" spans="1:2" x14ac:dyDescent="0.25">
      <c r="A1400" s="388"/>
      <c r="B1400" s="388"/>
    </row>
    <row r="1401" spans="1:2" x14ac:dyDescent="0.25">
      <c r="A1401" s="388"/>
      <c r="B1401" s="388"/>
    </row>
    <row r="1402" spans="1:2" x14ac:dyDescent="0.25">
      <c r="A1402" s="388"/>
      <c r="B1402" s="388"/>
    </row>
    <row r="1403" spans="1:2" x14ac:dyDescent="0.25">
      <c r="A1403" s="388"/>
      <c r="B1403" s="388"/>
    </row>
    <row r="1404" spans="1:2" x14ac:dyDescent="0.25">
      <c r="A1404" s="388"/>
      <c r="B1404" s="388"/>
    </row>
    <row r="1405" spans="1:2" x14ac:dyDescent="0.25">
      <c r="A1405" s="388"/>
      <c r="B1405" s="388"/>
    </row>
    <row r="1406" spans="1:2" x14ac:dyDescent="0.25">
      <c r="A1406" s="388"/>
      <c r="B1406" s="388"/>
    </row>
    <row r="1407" spans="1:2" x14ac:dyDescent="0.25">
      <c r="A1407" s="388"/>
      <c r="B1407" s="388"/>
    </row>
    <row r="1408" spans="1:2" x14ac:dyDescent="0.25">
      <c r="A1408" s="388"/>
      <c r="B1408" s="388"/>
    </row>
    <row r="1409" spans="1:2" x14ac:dyDescent="0.25">
      <c r="A1409" s="388"/>
      <c r="B1409" s="388"/>
    </row>
    <row r="1410" spans="1:2" x14ac:dyDescent="0.25">
      <c r="A1410" s="388"/>
      <c r="B1410" s="388"/>
    </row>
    <row r="1411" spans="1:2" x14ac:dyDescent="0.25">
      <c r="A1411" s="388"/>
      <c r="B1411" s="388"/>
    </row>
    <row r="1412" spans="1:2" x14ac:dyDescent="0.25">
      <c r="A1412" s="388"/>
      <c r="B1412" s="388"/>
    </row>
    <row r="1413" spans="1:2" x14ac:dyDescent="0.25">
      <c r="A1413" s="388"/>
      <c r="B1413" s="388"/>
    </row>
    <row r="1414" spans="1:2" x14ac:dyDescent="0.25">
      <c r="A1414" s="388"/>
      <c r="B1414" s="388"/>
    </row>
    <row r="1415" spans="1:2" x14ac:dyDescent="0.25">
      <c r="A1415" s="388"/>
      <c r="B1415" s="388"/>
    </row>
    <row r="1416" spans="1:2" x14ac:dyDescent="0.25">
      <c r="A1416" s="388"/>
      <c r="B1416" s="388"/>
    </row>
    <row r="1417" spans="1:2" x14ac:dyDescent="0.25">
      <c r="A1417" s="388"/>
      <c r="B1417" s="388"/>
    </row>
    <row r="1418" spans="1:2" x14ac:dyDescent="0.25">
      <c r="A1418" s="388"/>
      <c r="B1418" s="388"/>
    </row>
    <row r="1419" spans="1:2" x14ac:dyDescent="0.25">
      <c r="A1419" s="388"/>
      <c r="B1419" s="388"/>
    </row>
    <row r="1420" spans="1:2" x14ac:dyDescent="0.25">
      <c r="A1420" s="388"/>
      <c r="B1420" s="388"/>
    </row>
    <row r="1421" spans="1:2" x14ac:dyDescent="0.25">
      <c r="A1421" s="388"/>
      <c r="B1421" s="388"/>
    </row>
    <row r="1422" spans="1:2" x14ac:dyDescent="0.25">
      <c r="A1422" s="388"/>
      <c r="B1422" s="388"/>
    </row>
    <row r="1423" spans="1:2" x14ac:dyDescent="0.25">
      <c r="A1423" s="388"/>
      <c r="B1423" s="388"/>
    </row>
    <row r="1424" spans="1:2" x14ac:dyDescent="0.25">
      <c r="A1424" s="388"/>
      <c r="B1424" s="388"/>
    </row>
    <row r="1425" spans="1:2" x14ac:dyDescent="0.25">
      <c r="A1425" s="388"/>
      <c r="B1425" s="388"/>
    </row>
    <row r="1426" spans="1:2" x14ac:dyDescent="0.25">
      <c r="A1426" s="388"/>
      <c r="B1426" s="388"/>
    </row>
    <row r="1427" spans="1:2" x14ac:dyDescent="0.25">
      <c r="A1427" s="388"/>
      <c r="B1427" s="388"/>
    </row>
    <row r="1428" spans="1:2" x14ac:dyDescent="0.25">
      <c r="A1428" s="388"/>
      <c r="B1428" s="388"/>
    </row>
    <row r="1429" spans="1:2" x14ac:dyDescent="0.25">
      <c r="A1429" s="388"/>
      <c r="B1429" s="388"/>
    </row>
    <row r="1430" spans="1:2" x14ac:dyDescent="0.25">
      <c r="A1430" s="388"/>
      <c r="B1430" s="388"/>
    </row>
    <row r="1431" spans="1:2" x14ac:dyDescent="0.25">
      <c r="A1431" s="388"/>
      <c r="B1431" s="388"/>
    </row>
    <row r="1432" spans="1:2" x14ac:dyDescent="0.25">
      <c r="A1432" s="388"/>
      <c r="B1432" s="388"/>
    </row>
    <row r="1433" spans="1:2" x14ac:dyDescent="0.25">
      <c r="A1433" s="388"/>
      <c r="B1433" s="388"/>
    </row>
    <row r="1434" spans="1:2" x14ac:dyDescent="0.25">
      <c r="A1434" s="388"/>
      <c r="B1434" s="388"/>
    </row>
    <row r="1435" spans="1:2" x14ac:dyDescent="0.25">
      <c r="A1435" s="388"/>
      <c r="B1435" s="388"/>
    </row>
    <row r="1436" spans="1:2" x14ac:dyDescent="0.25">
      <c r="A1436" s="388"/>
      <c r="B1436" s="388"/>
    </row>
    <row r="1437" spans="1:2" x14ac:dyDescent="0.25">
      <c r="A1437" s="388"/>
      <c r="B1437" s="388"/>
    </row>
    <row r="1438" spans="1:2" x14ac:dyDescent="0.25">
      <c r="A1438" s="388"/>
      <c r="B1438" s="388"/>
    </row>
    <row r="1439" spans="1:2" x14ac:dyDescent="0.25">
      <c r="A1439" s="388"/>
      <c r="B1439" s="388"/>
    </row>
    <row r="1440" spans="1:2" x14ac:dyDescent="0.25">
      <c r="A1440" s="388"/>
      <c r="B1440" s="388"/>
    </row>
    <row r="1441" spans="1:2" x14ac:dyDescent="0.25">
      <c r="A1441" s="388"/>
      <c r="B1441" s="388"/>
    </row>
    <row r="1442" spans="1:2" x14ac:dyDescent="0.25">
      <c r="A1442" s="388"/>
      <c r="B1442" s="388"/>
    </row>
    <row r="1443" spans="1:2" x14ac:dyDescent="0.25">
      <c r="A1443" s="388"/>
      <c r="B1443" s="388"/>
    </row>
    <row r="1444" spans="1:2" x14ac:dyDescent="0.25">
      <c r="A1444" s="388"/>
      <c r="B1444" s="388"/>
    </row>
    <row r="1445" spans="1:2" x14ac:dyDescent="0.25">
      <c r="A1445" s="388"/>
      <c r="B1445" s="388"/>
    </row>
    <row r="1446" spans="1:2" x14ac:dyDescent="0.25">
      <c r="A1446" s="388"/>
      <c r="B1446" s="388"/>
    </row>
    <row r="1447" spans="1:2" x14ac:dyDescent="0.25">
      <c r="A1447" s="388"/>
      <c r="B1447" s="388"/>
    </row>
    <row r="1448" spans="1:2" x14ac:dyDescent="0.25">
      <c r="A1448" s="388"/>
      <c r="B1448" s="388"/>
    </row>
    <row r="1449" spans="1:2" x14ac:dyDescent="0.25">
      <c r="A1449" s="388"/>
      <c r="B1449" s="388"/>
    </row>
    <row r="1450" spans="1:2" x14ac:dyDescent="0.25">
      <c r="A1450" s="388"/>
      <c r="B1450" s="388"/>
    </row>
    <row r="1451" spans="1:2" x14ac:dyDescent="0.25">
      <c r="A1451" s="388"/>
      <c r="B1451" s="388"/>
    </row>
    <row r="1452" spans="1:2" x14ac:dyDescent="0.25">
      <c r="A1452" s="388"/>
      <c r="B1452" s="388"/>
    </row>
    <row r="1453" spans="1:2" x14ac:dyDescent="0.25">
      <c r="A1453" s="388"/>
      <c r="B1453" s="388"/>
    </row>
    <row r="1454" spans="1:2" x14ac:dyDescent="0.25">
      <c r="A1454" s="388"/>
      <c r="B1454" s="388"/>
    </row>
    <row r="1455" spans="1:2" x14ac:dyDescent="0.25">
      <c r="A1455" s="388"/>
      <c r="B1455" s="388"/>
    </row>
    <row r="1456" spans="1:2" x14ac:dyDescent="0.25">
      <c r="A1456" s="388"/>
      <c r="B1456" s="388"/>
    </row>
    <row r="1457" spans="1:2" x14ac:dyDescent="0.25">
      <c r="A1457" s="388"/>
      <c r="B1457" s="388"/>
    </row>
    <row r="1458" spans="1:2" x14ac:dyDescent="0.25">
      <c r="A1458" s="388"/>
      <c r="B1458" s="388"/>
    </row>
    <row r="1459" spans="1:2" x14ac:dyDescent="0.25">
      <c r="A1459" s="388"/>
      <c r="B1459" s="388"/>
    </row>
    <row r="1460" spans="1:2" x14ac:dyDescent="0.25">
      <c r="A1460" s="388"/>
      <c r="B1460" s="388"/>
    </row>
    <row r="1461" spans="1:2" x14ac:dyDescent="0.25">
      <c r="A1461" s="388"/>
      <c r="B1461" s="388"/>
    </row>
    <row r="1462" spans="1:2" x14ac:dyDescent="0.25">
      <c r="A1462" s="388"/>
      <c r="B1462" s="388"/>
    </row>
    <row r="1463" spans="1:2" x14ac:dyDescent="0.25">
      <c r="A1463" s="388"/>
      <c r="B1463" s="388"/>
    </row>
    <row r="1464" spans="1:2" x14ac:dyDescent="0.25">
      <c r="A1464" s="388"/>
      <c r="B1464" s="388"/>
    </row>
    <row r="1465" spans="1:2" x14ac:dyDescent="0.25">
      <c r="A1465" s="388"/>
      <c r="B1465" s="388"/>
    </row>
    <row r="1466" spans="1:2" x14ac:dyDescent="0.25">
      <c r="A1466" s="388"/>
      <c r="B1466" s="388"/>
    </row>
    <row r="1467" spans="1:2" x14ac:dyDescent="0.25">
      <c r="A1467" s="388"/>
      <c r="B1467" s="388"/>
    </row>
    <row r="1468" spans="1:2" x14ac:dyDescent="0.25">
      <c r="A1468" s="388"/>
      <c r="B1468" s="388"/>
    </row>
    <row r="1469" spans="1:2" x14ac:dyDescent="0.25">
      <c r="A1469" s="388"/>
      <c r="B1469" s="388"/>
    </row>
    <row r="1470" spans="1:2" x14ac:dyDescent="0.25">
      <c r="A1470" s="388"/>
      <c r="B1470" s="388"/>
    </row>
    <row r="1471" spans="1:2" x14ac:dyDescent="0.25">
      <c r="A1471" s="388"/>
      <c r="B1471" s="388"/>
    </row>
    <row r="1472" spans="1:2" x14ac:dyDescent="0.25">
      <c r="A1472" s="388"/>
      <c r="B1472" s="388"/>
    </row>
    <row r="1473" spans="1:2" x14ac:dyDescent="0.25">
      <c r="A1473" s="388"/>
      <c r="B1473" s="388"/>
    </row>
    <row r="1474" spans="1:2" x14ac:dyDescent="0.25">
      <c r="A1474" s="388"/>
      <c r="B1474" s="388"/>
    </row>
    <row r="1475" spans="1:2" x14ac:dyDescent="0.25">
      <c r="A1475" s="388"/>
      <c r="B1475" s="388"/>
    </row>
    <row r="1476" spans="1:2" x14ac:dyDescent="0.25">
      <c r="A1476" s="388"/>
      <c r="B1476" s="388"/>
    </row>
    <row r="1477" spans="1:2" x14ac:dyDescent="0.25">
      <c r="A1477" s="388"/>
      <c r="B1477" s="388"/>
    </row>
    <row r="1478" spans="1:2" x14ac:dyDescent="0.25">
      <c r="A1478" s="388"/>
      <c r="B1478" s="388"/>
    </row>
    <row r="1479" spans="1:2" x14ac:dyDescent="0.25">
      <c r="A1479" s="388"/>
      <c r="B1479" s="388"/>
    </row>
    <row r="1480" spans="1:2" x14ac:dyDescent="0.25">
      <c r="A1480" s="388"/>
      <c r="B1480" s="388"/>
    </row>
    <row r="1481" spans="1:2" x14ac:dyDescent="0.25">
      <c r="A1481" s="388"/>
      <c r="B1481" s="388"/>
    </row>
    <row r="1482" spans="1:2" x14ac:dyDescent="0.25">
      <c r="A1482" s="388"/>
      <c r="B1482" s="388"/>
    </row>
    <row r="1483" spans="1:2" x14ac:dyDescent="0.25">
      <c r="A1483" s="388"/>
      <c r="B1483" s="388"/>
    </row>
    <row r="1484" spans="1:2" x14ac:dyDescent="0.25">
      <c r="A1484" s="388"/>
      <c r="B1484" s="388"/>
    </row>
    <row r="1485" spans="1:2" x14ac:dyDescent="0.25">
      <c r="A1485" s="388"/>
      <c r="B1485" s="388"/>
    </row>
    <row r="1486" spans="1:2" x14ac:dyDescent="0.25">
      <c r="A1486" s="388"/>
      <c r="B1486" s="388"/>
    </row>
    <row r="1487" spans="1:2" x14ac:dyDescent="0.25">
      <c r="A1487" s="388"/>
      <c r="B1487" s="388"/>
    </row>
    <row r="1488" spans="1:2" x14ac:dyDescent="0.25">
      <c r="A1488" s="388"/>
      <c r="B1488" s="388"/>
    </row>
    <row r="1489" spans="1:2" x14ac:dyDescent="0.25">
      <c r="A1489" s="388"/>
      <c r="B1489" s="388"/>
    </row>
    <row r="1490" spans="1:2" x14ac:dyDescent="0.25">
      <c r="A1490" s="388"/>
      <c r="B1490" s="388"/>
    </row>
    <row r="1491" spans="1:2" x14ac:dyDescent="0.25">
      <c r="A1491" s="388"/>
      <c r="B1491" s="388"/>
    </row>
    <row r="1492" spans="1:2" x14ac:dyDescent="0.25">
      <c r="A1492" s="388"/>
      <c r="B1492" s="388"/>
    </row>
    <row r="1493" spans="1:2" x14ac:dyDescent="0.25">
      <c r="A1493" s="388"/>
      <c r="B1493" s="388"/>
    </row>
    <row r="1494" spans="1:2" x14ac:dyDescent="0.25">
      <c r="A1494" s="388"/>
      <c r="B1494" s="388"/>
    </row>
    <row r="1495" spans="1:2" x14ac:dyDescent="0.25">
      <c r="A1495" s="388"/>
      <c r="B1495" s="388"/>
    </row>
    <row r="1496" spans="1:2" x14ac:dyDescent="0.25">
      <c r="A1496" s="388"/>
      <c r="B1496" s="388"/>
    </row>
    <row r="1497" spans="1:2" x14ac:dyDescent="0.25">
      <c r="A1497" s="388"/>
      <c r="B1497" s="388"/>
    </row>
    <row r="1498" spans="1:2" x14ac:dyDescent="0.25">
      <c r="A1498" s="388"/>
      <c r="B1498" s="388"/>
    </row>
    <row r="1499" spans="1:2" x14ac:dyDescent="0.25">
      <c r="A1499" s="388"/>
      <c r="B1499" s="388"/>
    </row>
    <row r="1500" spans="1:2" x14ac:dyDescent="0.25">
      <c r="A1500" s="388"/>
      <c r="B1500" s="388"/>
    </row>
    <row r="1501" spans="1:2" x14ac:dyDescent="0.25">
      <c r="A1501" s="388"/>
      <c r="B1501" s="388"/>
    </row>
    <row r="1502" spans="1:2" x14ac:dyDescent="0.25">
      <c r="A1502" s="388"/>
      <c r="B1502" s="388"/>
    </row>
    <row r="1503" spans="1:2" x14ac:dyDescent="0.25">
      <c r="A1503" s="388"/>
      <c r="B1503" s="388"/>
    </row>
    <row r="1504" spans="1:2" x14ac:dyDescent="0.25">
      <c r="A1504" s="388"/>
      <c r="B1504" s="388"/>
    </row>
    <row r="1505" spans="1:2" x14ac:dyDescent="0.25">
      <c r="A1505" s="388"/>
      <c r="B1505" s="388"/>
    </row>
    <row r="1506" spans="1:2" x14ac:dyDescent="0.25">
      <c r="A1506" s="388"/>
      <c r="B1506" s="388"/>
    </row>
    <row r="1507" spans="1:2" x14ac:dyDescent="0.25">
      <c r="A1507" s="388"/>
      <c r="B1507" s="388"/>
    </row>
    <row r="1508" spans="1:2" x14ac:dyDescent="0.25">
      <c r="A1508" s="388"/>
      <c r="B1508" s="388"/>
    </row>
    <row r="1509" spans="1:2" x14ac:dyDescent="0.25">
      <c r="A1509" s="388"/>
      <c r="B1509" s="388"/>
    </row>
    <row r="1510" spans="1:2" x14ac:dyDescent="0.25">
      <c r="A1510" s="388"/>
      <c r="B1510" s="388"/>
    </row>
    <row r="1511" spans="1:2" x14ac:dyDescent="0.25">
      <c r="A1511" s="388"/>
      <c r="B1511" s="388"/>
    </row>
    <row r="1512" spans="1:2" x14ac:dyDescent="0.25">
      <c r="A1512" s="388"/>
      <c r="B1512" s="388"/>
    </row>
    <row r="1513" spans="1:2" x14ac:dyDescent="0.25">
      <c r="A1513" s="388"/>
      <c r="B1513" s="388"/>
    </row>
    <row r="1514" spans="1:2" x14ac:dyDescent="0.25">
      <c r="A1514" s="388"/>
      <c r="B1514" s="388"/>
    </row>
    <row r="1515" spans="1:2" x14ac:dyDescent="0.25">
      <c r="A1515" s="388"/>
      <c r="B1515" s="388"/>
    </row>
    <row r="1516" spans="1:2" x14ac:dyDescent="0.25">
      <c r="A1516" s="388"/>
      <c r="B1516" s="388"/>
    </row>
    <row r="1517" spans="1:2" x14ac:dyDescent="0.25">
      <c r="A1517" s="388"/>
      <c r="B1517" s="388"/>
    </row>
    <row r="1518" spans="1:2" x14ac:dyDescent="0.25">
      <c r="A1518" s="388"/>
      <c r="B1518" s="388"/>
    </row>
    <row r="1519" spans="1:2" x14ac:dyDescent="0.25">
      <c r="A1519" s="388"/>
      <c r="B1519" s="388"/>
    </row>
    <row r="1520" spans="1:2" x14ac:dyDescent="0.25">
      <c r="A1520" s="388"/>
      <c r="B1520" s="388"/>
    </row>
    <row r="1521" spans="1:2" x14ac:dyDescent="0.25">
      <c r="A1521" s="388"/>
      <c r="B1521" s="388"/>
    </row>
    <row r="1522" spans="1:2" x14ac:dyDescent="0.25">
      <c r="A1522" s="388"/>
      <c r="B1522" s="388"/>
    </row>
    <row r="1523" spans="1:2" x14ac:dyDescent="0.25">
      <c r="A1523" s="388"/>
      <c r="B1523" s="388"/>
    </row>
    <row r="1524" spans="1:2" x14ac:dyDescent="0.25">
      <c r="A1524" s="388"/>
      <c r="B1524" s="388"/>
    </row>
    <row r="1525" spans="1:2" x14ac:dyDescent="0.25">
      <c r="A1525" s="388"/>
      <c r="B1525" s="388"/>
    </row>
    <row r="1526" spans="1:2" x14ac:dyDescent="0.25">
      <c r="A1526" s="388"/>
      <c r="B1526" s="388"/>
    </row>
    <row r="1527" spans="1:2" x14ac:dyDescent="0.25">
      <c r="A1527" s="388"/>
      <c r="B1527" s="388"/>
    </row>
    <row r="1528" spans="1:2" x14ac:dyDescent="0.25">
      <c r="A1528" s="388"/>
      <c r="B1528" s="388"/>
    </row>
    <row r="1529" spans="1:2" x14ac:dyDescent="0.25">
      <c r="A1529" s="388"/>
      <c r="B1529" s="388"/>
    </row>
    <row r="1530" spans="1:2" x14ac:dyDescent="0.25">
      <c r="A1530" s="388"/>
      <c r="B1530" s="388"/>
    </row>
    <row r="1531" spans="1:2" x14ac:dyDescent="0.25">
      <c r="A1531" s="388"/>
      <c r="B1531" s="388"/>
    </row>
    <row r="1532" spans="1:2" x14ac:dyDescent="0.25">
      <c r="A1532" s="388"/>
      <c r="B1532" s="388"/>
    </row>
    <row r="1533" spans="1:2" x14ac:dyDescent="0.25">
      <c r="A1533" s="388"/>
      <c r="B1533" s="388"/>
    </row>
    <row r="1534" spans="1:2" x14ac:dyDescent="0.25">
      <c r="A1534" s="388"/>
      <c r="B1534" s="388"/>
    </row>
    <row r="1535" spans="1:2" x14ac:dyDescent="0.25">
      <c r="A1535" s="388"/>
      <c r="B1535" s="388"/>
    </row>
    <row r="1536" spans="1:2" x14ac:dyDescent="0.25">
      <c r="A1536" s="388"/>
      <c r="B1536" s="388"/>
    </row>
    <row r="1537" spans="1:2" x14ac:dyDescent="0.25">
      <c r="A1537" s="388"/>
      <c r="B1537" s="388"/>
    </row>
    <row r="1538" spans="1:2" x14ac:dyDescent="0.25">
      <c r="A1538" s="388"/>
      <c r="B1538" s="388"/>
    </row>
    <row r="1539" spans="1:2" x14ac:dyDescent="0.25">
      <c r="A1539" s="388"/>
      <c r="B1539" s="388"/>
    </row>
    <row r="1540" spans="1:2" x14ac:dyDescent="0.25">
      <c r="A1540" s="388"/>
      <c r="B1540" s="388"/>
    </row>
    <row r="1541" spans="1:2" x14ac:dyDescent="0.25">
      <c r="A1541" s="388"/>
      <c r="B1541" s="388"/>
    </row>
    <row r="1542" spans="1:2" x14ac:dyDescent="0.25">
      <c r="A1542" s="388"/>
      <c r="B1542" s="388"/>
    </row>
    <row r="1543" spans="1:2" x14ac:dyDescent="0.25">
      <c r="A1543" s="388"/>
      <c r="B1543" s="388"/>
    </row>
    <row r="1544" spans="1:2" x14ac:dyDescent="0.25">
      <c r="A1544" s="388"/>
      <c r="B1544" s="388"/>
    </row>
    <row r="1545" spans="1:2" x14ac:dyDescent="0.25">
      <c r="A1545" s="388"/>
      <c r="B1545" s="388"/>
    </row>
    <row r="1546" spans="1:2" x14ac:dyDescent="0.25">
      <c r="A1546" s="388"/>
      <c r="B1546" s="388"/>
    </row>
    <row r="1547" spans="1:2" x14ac:dyDescent="0.25">
      <c r="A1547" s="388"/>
      <c r="B1547" s="388"/>
    </row>
    <row r="1548" spans="1:2" x14ac:dyDescent="0.25">
      <c r="A1548" s="388"/>
      <c r="B1548" s="388"/>
    </row>
    <row r="1549" spans="1:2" x14ac:dyDescent="0.25">
      <c r="A1549" s="388"/>
      <c r="B1549" s="388"/>
    </row>
    <row r="1550" spans="1:2" x14ac:dyDescent="0.25">
      <c r="A1550" s="388"/>
      <c r="B1550" s="388"/>
    </row>
    <row r="1551" spans="1:2" x14ac:dyDescent="0.25">
      <c r="A1551" s="388"/>
      <c r="B1551" s="388"/>
    </row>
    <row r="1552" spans="1:2" x14ac:dyDescent="0.25">
      <c r="A1552" s="388"/>
      <c r="B1552" s="388"/>
    </row>
    <row r="1553" spans="1:2" x14ac:dyDescent="0.25">
      <c r="A1553" s="388"/>
      <c r="B1553" s="388"/>
    </row>
    <row r="1554" spans="1:2" x14ac:dyDescent="0.25">
      <c r="A1554" s="388"/>
      <c r="B1554" s="388"/>
    </row>
    <row r="1555" spans="1:2" x14ac:dyDescent="0.25">
      <c r="A1555" s="388"/>
      <c r="B1555" s="388"/>
    </row>
    <row r="1556" spans="1:2" x14ac:dyDescent="0.25">
      <c r="A1556" s="388"/>
      <c r="B1556" s="388"/>
    </row>
    <row r="1557" spans="1:2" x14ac:dyDescent="0.25">
      <c r="A1557" s="388"/>
      <c r="B1557" s="388"/>
    </row>
    <row r="1558" spans="1:2" x14ac:dyDescent="0.25">
      <c r="A1558" s="388"/>
      <c r="B1558" s="388"/>
    </row>
    <row r="1559" spans="1:2" x14ac:dyDescent="0.25">
      <c r="A1559" s="388"/>
      <c r="B1559" s="388"/>
    </row>
    <row r="1560" spans="1:2" x14ac:dyDescent="0.25">
      <c r="A1560" s="388"/>
      <c r="B1560" s="388"/>
    </row>
    <row r="1561" spans="1:2" x14ac:dyDescent="0.25">
      <c r="A1561" s="388"/>
      <c r="B1561" s="388"/>
    </row>
    <row r="1562" spans="1:2" x14ac:dyDescent="0.25">
      <c r="A1562" s="388"/>
      <c r="B1562" s="388"/>
    </row>
    <row r="1563" spans="1:2" x14ac:dyDescent="0.25">
      <c r="A1563" s="388"/>
      <c r="B1563" s="388"/>
    </row>
    <row r="1564" spans="1:2" x14ac:dyDescent="0.25">
      <c r="A1564" s="388"/>
      <c r="B1564" s="388"/>
    </row>
    <row r="1565" spans="1:2" x14ac:dyDescent="0.25">
      <c r="A1565" s="388"/>
      <c r="B1565" s="388"/>
    </row>
    <row r="1566" spans="1:2" x14ac:dyDescent="0.25">
      <c r="A1566" s="388"/>
      <c r="B1566" s="388"/>
    </row>
    <row r="1567" spans="1:2" x14ac:dyDescent="0.25">
      <c r="A1567" s="388"/>
      <c r="B1567" s="388"/>
    </row>
    <row r="1568" spans="1:2" x14ac:dyDescent="0.25">
      <c r="A1568" s="388"/>
      <c r="B1568" s="388"/>
    </row>
    <row r="1569" spans="1:2" x14ac:dyDescent="0.25">
      <c r="A1569" s="388"/>
      <c r="B1569" s="388"/>
    </row>
    <row r="1570" spans="1:2" x14ac:dyDescent="0.25">
      <c r="A1570" s="388"/>
      <c r="B1570" s="388"/>
    </row>
    <row r="1571" spans="1:2" x14ac:dyDescent="0.25">
      <c r="A1571" s="388"/>
      <c r="B1571" s="388"/>
    </row>
    <row r="1572" spans="1:2" x14ac:dyDescent="0.25">
      <c r="A1572" s="388"/>
      <c r="B1572" s="388"/>
    </row>
    <row r="1573" spans="1:2" x14ac:dyDescent="0.25">
      <c r="A1573" s="388"/>
      <c r="B1573" s="388"/>
    </row>
    <row r="1574" spans="1:2" x14ac:dyDescent="0.25">
      <c r="A1574" s="388"/>
      <c r="B1574" s="388"/>
    </row>
    <row r="1575" spans="1:2" x14ac:dyDescent="0.25">
      <c r="A1575" s="388"/>
      <c r="B1575" s="388"/>
    </row>
    <row r="1576" spans="1:2" x14ac:dyDescent="0.25">
      <c r="A1576" s="388"/>
      <c r="B1576" s="388"/>
    </row>
    <row r="1577" spans="1:2" x14ac:dyDescent="0.25">
      <c r="A1577" s="388"/>
      <c r="B1577" s="388"/>
    </row>
    <row r="1578" spans="1:2" x14ac:dyDescent="0.25">
      <c r="A1578" s="388"/>
      <c r="B1578" s="388"/>
    </row>
    <row r="1579" spans="1:2" x14ac:dyDescent="0.25">
      <c r="A1579" s="388"/>
      <c r="B1579" s="388"/>
    </row>
    <row r="1580" spans="1:2" x14ac:dyDescent="0.25">
      <c r="A1580" s="388"/>
      <c r="B1580" s="388"/>
    </row>
    <row r="1581" spans="1:2" x14ac:dyDescent="0.25">
      <c r="A1581" s="388"/>
      <c r="B1581" s="388"/>
    </row>
    <row r="1582" spans="1:2" x14ac:dyDescent="0.25">
      <c r="A1582" s="388"/>
      <c r="B1582" s="388"/>
    </row>
    <row r="1583" spans="1:2" x14ac:dyDescent="0.25">
      <c r="A1583" s="388"/>
      <c r="B1583" s="388"/>
    </row>
    <row r="1584" spans="1:2" x14ac:dyDescent="0.25">
      <c r="A1584" s="388"/>
      <c r="B1584" s="388"/>
    </row>
    <row r="1585" spans="1:2" x14ac:dyDescent="0.25">
      <c r="A1585" s="388"/>
      <c r="B1585" s="388"/>
    </row>
    <row r="1586" spans="1:2" x14ac:dyDescent="0.25">
      <c r="A1586" s="388"/>
      <c r="B1586" s="388"/>
    </row>
    <row r="1587" spans="1:2" x14ac:dyDescent="0.25">
      <c r="A1587" s="388"/>
      <c r="B1587" s="388"/>
    </row>
    <row r="1588" spans="1:2" x14ac:dyDescent="0.25">
      <c r="A1588" s="388"/>
      <c r="B1588" s="388"/>
    </row>
    <row r="1589" spans="1:2" x14ac:dyDescent="0.25">
      <c r="A1589" s="388"/>
      <c r="B1589" s="388"/>
    </row>
    <row r="1590" spans="1:2" x14ac:dyDescent="0.25">
      <c r="A1590" s="388"/>
      <c r="B1590" s="388"/>
    </row>
    <row r="1591" spans="1:2" x14ac:dyDescent="0.25">
      <c r="A1591" s="388"/>
      <c r="B1591" s="388"/>
    </row>
    <row r="1592" spans="1:2" x14ac:dyDescent="0.25">
      <c r="A1592" s="388"/>
      <c r="B1592" s="388"/>
    </row>
    <row r="1593" spans="1:2" x14ac:dyDescent="0.25">
      <c r="A1593" s="388"/>
      <c r="B1593" s="388"/>
    </row>
    <row r="1594" spans="1:2" x14ac:dyDescent="0.25">
      <c r="A1594" s="388"/>
      <c r="B1594" s="388"/>
    </row>
    <row r="1595" spans="1:2" x14ac:dyDescent="0.25">
      <c r="A1595" s="388"/>
      <c r="B1595" s="388"/>
    </row>
    <row r="1596" spans="1:2" x14ac:dyDescent="0.25">
      <c r="A1596" s="388"/>
      <c r="B1596" s="388"/>
    </row>
    <row r="1597" spans="1:2" x14ac:dyDescent="0.25">
      <c r="A1597" s="388"/>
      <c r="B1597" s="388"/>
    </row>
    <row r="1598" spans="1:2" x14ac:dyDescent="0.25">
      <c r="A1598" s="388"/>
      <c r="B1598" s="388"/>
    </row>
    <row r="1599" spans="1:2" x14ac:dyDescent="0.25">
      <c r="A1599" s="388"/>
      <c r="B1599" s="388"/>
    </row>
    <row r="1600" spans="1:2" x14ac:dyDescent="0.25">
      <c r="A1600" s="388"/>
      <c r="B1600" s="388"/>
    </row>
    <row r="1601" spans="1:2" x14ac:dyDescent="0.25">
      <c r="A1601" s="388"/>
      <c r="B1601" s="388"/>
    </row>
    <row r="1602" spans="1:2" x14ac:dyDescent="0.25">
      <c r="A1602" s="388"/>
      <c r="B1602" s="388"/>
    </row>
    <row r="1603" spans="1:2" x14ac:dyDescent="0.25">
      <c r="A1603" s="388"/>
      <c r="B1603" s="388"/>
    </row>
    <row r="1604" spans="1:2" x14ac:dyDescent="0.25">
      <c r="A1604" s="388"/>
      <c r="B1604" s="388"/>
    </row>
    <row r="1605" spans="1:2" x14ac:dyDescent="0.25">
      <c r="A1605" s="388"/>
      <c r="B1605" s="388"/>
    </row>
    <row r="1606" spans="1:2" x14ac:dyDescent="0.25">
      <c r="A1606" s="388"/>
      <c r="B1606" s="388"/>
    </row>
    <row r="1607" spans="1:2" x14ac:dyDescent="0.25">
      <c r="A1607" s="388"/>
      <c r="B1607" s="388"/>
    </row>
    <row r="1608" spans="1:2" x14ac:dyDescent="0.25">
      <c r="A1608" s="388"/>
      <c r="B1608" s="388"/>
    </row>
    <row r="1609" spans="1:2" x14ac:dyDescent="0.25">
      <c r="A1609" s="388"/>
      <c r="B1609" s="388"/>
    </row>
    <row r="1610" spans="1:2" x14ac:dyDescent="0.25">
      <c r="A1610" s="388"/>
      <c r="B1610" s="388"/>
    </row>
    <row r="1611" spans="1:2" x14ac:dyDescent="0.25">
      <c r="A1611" s="388"/>
      <c r="B1611" s="388"/>
    </row>
    <row r="1612" spans="1:2" x14ac:dyDescent="0.25">
      <c r="A1612" s="388"/>
      <c r="B1612" s="388"/>
    </row>
    <row r="1613" spans="1:2" x14ac:dyDescent="0.25">
      <c r="A1613" s="388"/>
      <c r="B1613" s="388"/>
    </row>
    <row r="1614" spans="1:2" x14ac:dyDescent="0.25">
      <c r="A1614" s="388"/>
      <c r="B1614" s="388"/>
    </row>
    <row r="1615" spans="1:2" x14ac:dyDescent="0.25">
      <c r="A1615" s="388"/>
      <c r="B1615" s="388"/>
    </row>
    <row r="1616" spans="1:2" x14ac:dyDescent="0.25">
      <c r="A1616" s="388"/>
      <c r="B1616" s="388"/>
    </row>
    <row r="1617" spans="1:2" x14ac:dyDescent="0.25">
      <c r="A1617" s="388"/>
      <c r="B1617" s="388"/>
    </row>
    <row r="1618" spans="1:2" x14ac:dyDescent="0.25">
      <c r="A1618" s="388"/>
      <c r="B1618" s="388"/>
    </row>
    <row r="1619" spans="1:2" x14ac:dyDescent="0.25">
      <c r="A1619" s="388"/>
      <c r="B1619" s="388"/>
    </row>
    <row r="1620" spans="1:2" x14ac:dyDescent="0.25">
      <c r="A1620" s="388"/>
      <c r="B1620" s="388"/>
    </row>
    <row r="1621" spans="1:2" x14ac:dyDescent="0.25">
      <c r="A1621" s="388"/>
      <c r="B1621" s="388"/>
    </row>
    <row r="1622" spans="1:2" x14ac:dyDescent="0.25">
      <c r="A1622" s="388"/>
      <c r="B1622" s="388"/>
    </row>
    <row r="1623" spans="1:2" x14ac:dyDescent="0.25">
      <c r="A1623" s="388"/>
      <c r="B1623" s="388"/>
    </row>
    <row r="1624" spans="1:2" x14ac:dyDescent="0.25">
      <c r="A1624" s="388"/>
      <c r="B1624" s="388"/>
    </row>
    <row r="1625" spans="1:2" x14ac:dyDescent="0.25">
      <c r="A1625" s="388"/>
      <c r="B1625" s="388"/>
    </row>
    <row r="1626" spans="1:2" x14ac:dyDescent="0.25">
      <c r="A1626" s="388"/>
      <c r="B1626" s="388"/>
    </row>
    <row r="1627" spans="1:2" x14ac:dyDescent="0.25">
      <c r="A1627" s="388"/>
      <c r="B1627" s="388"/>
    </row>
    <row r="1628" spans="1:2" x14ac:dyDescent="0.25">
      <c r="A1628" s="388"/>
      <c r="B1628" s="388"/>
    </row>
    <row r="1629" spans="1:2" x14ac:dyDescent="0.25">
      <c r="A1629" s="388"/>
      <c r="B1629" s="388"/>
    </row>
    <row r="1630" spans="1:2" x14ac:dyDescent="0.25">
      <c r="A1630" s="388"/>
      <c r="B1630" s="388"/>
    </row>
    <row r="1631" spans="1:2" x14ac:dyDescent="0.25">
      <c r="A1631" s="388"/>
      <c r="B1631" s="388"/>
    </row>
    <row r="1632" spans="1:2" x14ac:dyDescent="0.25">
      <c r="A1632" s="388"/>
      <c r="B1632" s="388"/>
    </row>
    <row r="1633" spans="1:2" x14ac:dyDescent="0.25">
      <c r="A1633" s="388"/>
      <c r="B1633" s="388"/>
    </row>
    <row r="1634" spans="1:2" x14ac:dyDescent="0.25">
      <c r="A1634" s="388"/>
      <c r="B1634" s="388"/>
    </row>
    <row r="1635" spans="1:2" x14ac:dyDescent="0.25">
      <c r="A1635" s="388"/>
      <c r="B1635" s="388"/>
    </row>
    <row r="1636" spans="1:2" x14ac:dyDescent="0.25">
      <c r="A1636" s="388"/>
      <c r="B1636" s="388"/>
    </row>
    <row r="1637" spans="1:2" x14ac:dyDescent="0.25">
      <c r="A1637" s="388"/>
      <c r="B1637" s="388"/>
    </row>
    <row r="1638" spans="1:2" x14ac:dyDescent="0.25">
      <c r="A1638" s="388"/>
      <c r="B1638" s="388"/>
    </row>
    <row r="1639" spans="1:2" x14ac:dyDescent="0.25">
      <c r="A1639" s="388"/>
      <c r="B1639" s="388"/>
    </row>
    <row r="1640" spans="1:2" x14ac:dyDescent="0.25">
      <c r="A1640" s="388"/>
      <c r="B1640" s="388"/>
    </row>
    <row r="1641" spans="1:2" x14ac:dyDescent="0.25">
      <c r="A1641" s="388"/>
      <c r="B1641" s="388"/>
    </row>
    <row r="1642" spans="1:2" x14ac:dyDescent="0.25">
      <c r="A1642" s="388"/>
      <c r="B1642" s="388"/>
    </row>
    <row r="1643" spans="1:2" x14ac:dyDescent="0.25">
      <c r="A1643" s="388"/>
      <c r="B1643" s="388"/>
    </row>
    <row r="1644" spans="1:2" x14ac:dyDescent="0.25">
      <c r="A1644" s="388"/>
      <c r="B1644" s="388"/>
    </row>
    <row r="1645" spans="1:2" x14ac:dyDescent="0.25">
      <c r="A1645" s="388"/>
      <c r="B1645" s="388"/>
    </row>
    <row r="1646" spans="1:2" x14ac:dyDescent="0.25">
      <c r="A1646" s="388"/>
      <c r="B1646" s="388"/>
    </row>
    <row r="1647" spans="1:2" x14ac:dyDescent="0.25">
      <c r="A1647" s="388"/>
      <c r="B1647" s="388"/>
    </row>
    <row r="1648" spans="1:2" x14ac:dyDescent="0.25">
      <c r="A1648" s="388"/>
      <c r="B1648" s="388"/>
    </row>
    <row r="1649" spans="1:2" x14ac:dyDescent="0.25">
      <c r="A1649" s="388"/>
      <c r="B1649" s="388"/>
    </row>
    <row r="1650" spans="1:2" x14ac:dyDescent="0.25">
      <c r="A1650" s="388"/>
      <c r="B1650" s="388"/>
    </row>
    <row r="1651" spans="1:2" x14ac:dyDescent="0.25">
      <c r="A1651" s="388"/>
      <c r="B1651" s="388"/>
    </row>
    <row r="1652" spans="1:2" x14ac:dyDescent="0.25">
      <c r="A1652" s="388"/>
      <c r="B1652" s="388"/>
    </row>
    <row r="1653" spans="1:2" x14ac:dyDescent="0.25">
      <c r="A1653" s="388"/>
      <c r="B1653" s="388"/>
    </row>
    <row r="1654" spans="1:2" x14ac:dyDescent="0.25">
      <c r="A1654" s="388"/>
      <c r="B1654" s="388"/>
    </row>
    <row r="1655" spans="1:2" x14ac:dyDescent="0.25">
      <c r="A1655" s="388"/>
      <c r="B1655" s="388"/>
    </row>
    <row r="1656" spans="1:2" x14ac:dyDescent="0.25">
      <c r="A1656" s="388"/>
      <c r="B1656" s="388"/>
    </row>
    <row r="1657" spans="1:2" x14ac:dyDescent="0.25">
      <c r="A1657" s="388"/>
      <c r="B1657" s="388"/>
    </row>
    <row r="1658" spans="1:2" x14ac:dyDescent="0.25">
      <c r="A1658" s="388"/>
      <c r="B1658" s="388"/>
    </row>
    <row r="1659" spans="1:2" x14ac:dyDescent="0.25">
      <c r="A1659" s="388"/>
      <c r="B1659" s="388"/>
    </row>
    <row r="1660" spans="1:2" x14ac:dyDescent="0.25">
      <c r="A1660" s="388"/>
      <c r="B1660" s="388"/>
    </row>
    <row r="1661" spans="1:2" x14ac:dyDescent="0.25">
      <c r="A1661" s="388"/>
      <c r="B1661" s="388"/>
    </row>
    <row r="1662" spans="1:2" x14ac:dyDescent="0.25">
      <c r="A1662" s="388"/>
      <c r="B1662" s="388"/>
    </row>
    <row r="1663" spans="1:2" x14ac:dyDescent="0.25">
      <c r="A1663" s="388"/>
      <c r="B1663" s="388"/>
    </row>
    <row r="1664" spans="1:2" x14ac:dyDescent="0.25">
      <c r="A1664" s="388"/>
      <c r="B1664" s="388"/>
    </row>
    <row r="1665" spans="1:2" x14ac:dyDescent="0.25">
      <c r="A1665" s="388"/>
      <c r="B1665" s="388"/>
    </row>
    <row r="1666" spans="1:2" x14ac:dyDescent="0.25">
      <c r="A1666" s="388"/>
      <c r="B1666" s="388"/>
    </row>
    <row r="1667" spans="1:2" x14ac:dyDescent="0.25">
      <c r="A1667" s="388"/>
      <c r="B1667" s="388"/>
    </row>
    <row r="1668" spans="1:2" x14ac:dyDescent="0.25">
      <c r="A1668" s="388"/>
      <c r="B1668" s="388"/>
    </row>
    <row r="1669" spans="1:2" x14ac:dyDescent="0.25">
      <c r="A1669" s="388"/>
      <c r="B1669" s="388"/>
    </row>
    <row r="1670" spans="1:2" x14ac:dyDescent="0.25">
      <c r="A1670" s="388"/>
      <c r="B1670" s="388"/>
    </row>
    <row r="1671" spans="1:2" x14ac:dyDescent="0.25">
      <c r="A1671" s="388"/>
      <c r="B1671" s="388"/>
    </row>
    <row r="1672" spans="1:2" x14ac:dyDescent="0.25">
      <c r="A1672" s="388"/>
      <c r="B1672" s="388"/>
    </row>
    <row r="1673" spans="1:2" x14ac:dyDescent="0.25">
      <c r="A1673" s="388"/>
      <c r="B1673" s="388"/>
    </row>
    <row r="1674" spans="1:2" x14ac:dyDescent="0.25">
      <c r="A1674" s="388"/>
      <c r="B1674" s="388"/>
    </row>
    <row r="1675" spans="1:2" x14ac:dyDescent="0.25">
      <c r="A1675" s="388"/>
      <c r="B1675" s="388"/>
    </row>
    <row r="1676" spans="1:2" x14ac:dyDescent="0.25">
      <c r="A1676" s="388"/>
      <c r="B1676" s="388"/>
    </row>
    <row r="1677" spans="1:2" x14ac:dyDescent="0.25">
      <c r="A1677" s="388"/>
      <c r="B1677" s="388"/>
    </row>
    <row r="1678" spans="1:2" x14ac:dyDescent="0.25">
      <c r="A1678" s="388"/>
      <c r="B1678" s="388"/>
    </row>
    <row r="1679" spans="1:2" x14ac:dyDescent="0.25">
      <c r="A1679" s="388"/>
      <c r="B1679" s="388"/>
    </row>
    <row r="1680" spans="1:2" x14ac:dyDescent="0.25">
      <c r="A1680" s="388"/>
      <c r="B1680" s="388"/>
    </row>
    <row r="1681" spans="1:2" x14ac:dyDescent="0.25">
      <c r="A1681" s="388"/>
      <c r="B1681" s="388"/>
    </row>
    <row r="1682" spans="1:2" x14ac:dyDescent="0.25">
      <c r="A1682" s="388"/>
      <c r="B1682" s="388"/>
    </row>
    <row r="1683" spans="1:2" x14ac:dyDescent="0.25">
      <c r="A1683" s="388"/>
      <c r="B1683" s="388"/>
    </row>
    <row r="1684" spans="1:2" x14ac:dyDescent="0.25">
      <c r="A1684" s="388"/>
      <c r="B1684" s="388"/>
    </row>
    <row r="1685" spans="1:2" x14ac:dyDescent="0.25">
      <c r="A1685" s="388"/>
      <c r="B1685" s="388"/>
    </row>
    <row r="1686" spans="1:2" x14ac:dyDescent="0.25">
      <c r="A1686" s="388"/>
      <c r="B1686" s="388"/>
    </row>
    <row r="1687" spans="1:2" x14ac:dyDescent="0.25">
      <c r="A1687" s="388"/>
      <c r="B1687" s="388"/>
    </row>
    <row r="1688" spans="1:2" x14ac:dyDescent="0.25">
      <c r="A1688" s="388"/>
      <c r="B1688" s="388"/>
    </row>
    <row r="1689" spans="1:2" x14ac:dyDescent="0.25">
      <c r="A1689" s="388"/>
      <c r="B1689" s="388"/>
    </row>
    <row r="1690" spans="1:2" x14ac:dyDescent="0.25">
      <c r="A1690" s="388"/>
      <c r="B1690" s="388"/>
    </row>
    <row r="1691" spans="1:2" x14ac:dyDescent="0.25">
      <c r="A1691" s="388"/>
      <c r="B1691" s="388"/>
    </row>
    <row r="1692" spans="1:2" x14ac:dyDescent="0.25">
      <c r="A1692" s="388"/>
      <c r="B1692" s="388"/>
    </row>
    <row r="1693" spans="1:2" x14ac:dyDescent="0.25">
      <c r="A1693" s="388"/>
      <c r="B1693" s="388"/>
    </row>
    <row r="1694" spans="1:2" x14ac:dyDescent="0.25">
      <c r="A1694" s="388"/>
      <c r="B1694" s="388"/>
    </row>
    <row r="1695" spans="1:2" x14ac:dyDescent="0.25">
      <c r="A1695" s="388"/>
      <c r="B1695" s="388"/>
    </row>
    <row r="1696" spans="1:2" x14ac:dyDescent="0.25">
      <c r="A1696" s="388"/>
      <c r="B1696" s="388"/>
    </row>
    <row r="1697" spans="1:2" x14ac:dyDescent="0.25">
      <c r="A1697" s="388"/>
      <c r="B1697" s="388"/>
    </row>
    <row r="1698" spans="1:2" x14ac:dyDescent="0.25">
      <c r="A1698" s="388"/>
      <c r="B1698" s="388"/>
    </row>
    <row r="1699" spans="1:2" x14ac:dyDescent="0.25">
      <c r="A1699" s="388"/>
      <c r="B1699" s="388"/>
    </row>
    <row r="1700" spans="1:2" x14ac:dyDescent="0.25">
      <c r="A1700" s="388"/>
      <c r="B1700" s="388"/>
    </row>
    <row r="1701" spans="1:2" x14ac:dyDescent="0.25">
      <c r="A1701" s="388"/>
      <c r="B1701" s="388"/>
    </row>
    <row r="1702" spans="1:2" x14ac:dyDescent="0.25">
      <c r="A1702" s="388"/>
      <c r="B1702" s="388"/>
    </row>
    <row r="1703" spans="1:2" x14ac:dyDescent="0.25">
      <c r="A1703" s="388"/>
      <c r="B1703" s="388"/>
    </row>
    <row r="1704" spans="1:2" x14ac:dyDescent="0.25">
      <c r="A1704" s="388"/>
      <c r="B1704" s="388"/>
    </row>
    <row r="1705" spans="1:2" x14ac:dyDescent="0.25">
      <c r="A1705" s="388"/>
      <c r="B1705" s="388"/>
    </row>
    <row r="1706" spans="1:2" x14ac:dyDescent="0.25">
      <c r="A1706" s="388"/>
      <c r="B1706" s="388"/>
    </row>
    <row r="1707" spans="1:2" x14ac:dyDescent="0.25">
      <c r="A1707" s="388"/>
      <c r="B1707" s="388"/>
    </row>
    <row r="1708" spans="1:2" x14ac:dyDescent="0.25">
      <c r="A1708" s="388"/>
      <c r="B1708" s="388"/>
    </row>
    <row r="1709" spans="1:2" x14ac:dyDescent="0.25">
      <c r="A1709" s="388"/>
      <c r="B1709" s="388"/>
    </row>
    <row r="1710" spans="1:2" x14ac:dyDescent="0.25">
      <c r="A1710" s="388"/>
      <c r="B1710" s="388"/>
    </row>
    <row r="1711" spans="1:2" x14ac:dyDescent="0.25">
      <c r="A1711" s="388"/>
      <c r="B1711" s="388"/>
    </row>
    <row r="1712" spans="1:2" x14ac:dyDescent="0.25">
      <c r="A1712" s="388"/>
      <c r="B1712" s="388"/>
    </row>
    <row r="1713" spans="1:2" x14ac:dyDescent="0.25">
      <c r="A1713" s="388"/>
      <c r="B1713" s="388"/>
    </row>
    <row r="1714" spans="1:2" x14ac:dyDescent="0.25">
      <c r="A1714" s="388"/>
      <c r="B1714" s="388"/>
    </row>
    <row r="1715" spans="1:2" x14ac:dyDescent="0.25">
      <c r="A1715" s="388"/>
      <c r="B1715" s="388"/>
    </row>
    <row r="1716" spans="1:2" x14ac:dyDescent="0.25">
      <c r="A1716" s="388"/>
      <c r="B1716" s="388"/>
    </row>
    <row r="1717" spans="1:2" x14ac:dyDescent="0.25">
      <c r="A1717" s="388"/>
      <c r="B1717" s="388"/>
    </row>
    <row r="1718" spans="1:2" x14ac:dyDescent="0.25">
      <c r="A1718" s="388"/>
      <c r="B1718" s="388"/>
    </row>
    <row r="1719" spans="1:2" x14ac:dyDescent="0.25">
      <c r="A1719" s="388"/>
      <c r="B1719" s="388"/>
    </row>
    <row r="1720" spans="1:2" x14ac:dyDescent="0.25">
      <c r="A1720" s="388"/>
      <c r="B1720" s="388"/>
    </row>
    <row r="1721" spans="1:2" x14ac:dyDescent="0.25">
      <c r="A1721" s="388"/>
      <c r="B1721" s="388"/>
    </row>
    <row r="1722" spans="1:2" x14ac:dyDescent="0.25">
      <c r="A1722" s="388"/>
      <c r="B1722" s="388"/>
    </row>
    <row r="1723" spans="1:2" x14ac:dyDescent="0.25">
      <c r="A1723" s="388"/>
      <c r="B1723" s="388"/>
    </row>
    <row r="1724" spans="1:2" x14ac:dyDescent="0.25">
      <c r="A1724" s="388"/>
      <c r="B1724" s="388"/>
    </row>
    <row r="1725" spans="1:2" x14ac:dyDescent="0.25">
      <c r="A1725" s="388"/>
      <c r="B1725" s="388"/>
    </row>
    <row r="1726" spans="1:2" x14ac:dyDescent="0.25">
      <c r="A1726" s="388"/>
      <c r="B1726" s="388"/>
    </row>
    <row r="1727" spans="1:2" x14ac:dyDescent="0.25">
      <c r="A1727" s="388"/>
      <c r="B1727" s="388"/>
    </row>
    <row r="1728" spans="1:2" x14ac:dyDescent="0.25">
      <c r="A1728" s="388"/>
      <c r="B1728" s="388"/>
    </row>
    <row r="1729" spans="1:2" x14ac:dyDescent="0.25">
      <c r="A1729" s="388"/>
      <c r="B1729" s="388"/>
    </row>
    <row r="1730" spans="1:2" x14ac:dyDescent="0.25">
      <c r="A1730" s="388"/>
      <c r="B1730" s="388"/>
    </row>
    <row r="1731" spans="1:2" x14ac:dyDescent="0.25">
      <c r="A1731" s="388"/>
      <c r="B1731" s="388"/>
    </row>
    <row r="1732" spans="1:2" x14ac:dyDescent="0.25">
      <c r="A1732" s="388"/>
      <c r="B1732" s="388"/>
    </row>
    <row r="1733" spans="1:2" x14ac:dyDescent="0.25">
      <c r="A1733" s="388"/>
      <c r="B1733" s="388"/>
    </row>
    <row r="1734" spans="1:2" x14ac:dyDescent="0.25">
      <c r="A1734" s="388"/>
      <c r="B1734" s="388"/>
    </row>
    <row r="1735" spans="1:2" x14ac:dyDescent="0.25">
      <c r="A1735" s="388"/>
      <c r="B1735" s="388"/>
    </row>
    <row r="1736" spans="1:2" x14ac:dyDescent="0.25">
      <c r="A1736" s="388"/>
      <c r="B1736" s="388"/>
    </row>
    <row r="1737" spans="1:2" x14ac:dyDescent="0.25">
      <c r="A1737" s="388"/>
      <c r="B1737" s="388"/>
    </row>
    <row r="1738" spans="1:2" x14ac:dyDescent="0.25">
      <c r="A1738" s="388"/>
      <c r="B1738" s="388"/>
    </row>
    <row r="1739" spans="1:2" x14ac:dyDescent="0.25">
      <c r="A1739" s="388"/>
      <c r="B1739" s="388"/>
    </row>
    <row r="1740" spans="1:2" x14ac:dyDescent="0.25">
      <c r="A1740" s="388"/>
      <c r="B1740" s="388"/>
    </row>
    <row r="1741" spans="1:2" x14ac:dyDescent="0.25">
      <c r="A1741" s="388"/>
      <c r="B1741" s="388"/>
    </row>
    <row r="1742" spans="1:2" x14ac:dyDescent="0.25">
      <c r="A1742" s="388"/>
      <c r="B1742" s="388"/>
    </row>
    <row r="1743" spans="1:2" x14ac:dyDescent="0.25">
      <c r="A1743" s="388"/>
      <c r="B1743" s="388"/>
    </row>
    <row r="1744" spans="1:2" x14ac:dyDescent="0.25">
      <c r="A1744" s="388"/>
      <c r="B1744" s="388"/>
    </row>
    <row r="1745" spans="1:2" x14ac:dyDescent="0.25">
      <c r="A1745" s="388"/>
      <c r="B1745" s="388"/>
    </row>
    <row r="1746" spans="1:2" x14ac:dyDescent="0.25">
      <c r="A1746" s="388"/>
      <c r="B1746" s="388"/>
    </row>
    <row r="1747" spans="1:2" x14ac:dyDescent="0.25">
      <c r="A1747" s="388"/>
      <c r="B1747" s="388"/>
    </row>
    <row r="1748" spans="1:2" x14ac:dyDescent="0.25">
      <c r="A1748" s="388"/>
      <c r="B1748" s="388"/>
    </row>
    <row r="1749" spans="1:2" x14ac:dyDescent="0.25">
      <c r="A1749" s="388"/>
      <c r="B1749" s="388"/>
    </row>
    <row r="1750" spans="1:2" x14ac:dyDescent="0.25">
      <c r="A1750" s="388"/>
      <c r="B1750" s="388"/>
    </row>
    <row r="1751" spans="1:2" x14ac:dyDescent="0.25">
      <c r="A1751" s="388"/>
      <c r="B1751" s="388"/>
    </row>
    <row r="1752" spans="1:2" x14ac:dyDescent="0.25">
      <c r="A1752" s="388"/>
      <c r="B1752" s="388"/>
    </row>
    <row r="1753" spans="1:2" x14ac:dyDescent="0.25">
      <c r="A1753" s="388"/>
      <c r="B1753" s="388"/>
    </row>
    <row r="1754" spans="1:2" x14ac:dyDescent="0.25">
      <c r="A1754" s="388"/>
      <c r="B1754" s="388"/>
    </row>
    <row r="1755" spans="1:2" x14ac:dyDescent="0.25">
      <c r="A1755" s="388"/>
      <c r="B1755" s="388"/>
    </row>
    <row r="1756" spans="1:2" x14ac:dyDescent="0.25">
      <c r="A1756" s="388"/>
      <c r="B1756" s="388"/>
    </row>
    <row r="1757" spans="1:2" x14ac:dyDescent="0.25">
      <c r="A1757" s="388"/>
      <c r="B1757" s="388"/>
    </row>
    <row r="1758" spans="1:2" x14ac:dyDescent="0.25">
      <c r="A1758" s="388"/>
      <c r="B1758" s="388"/>
    </row>
    <row r="1759" spans="1:2" x14ac:dyDescent="0.25">
      <c r="A1759" s="388"/>
      <c r="B1759" s="388"/>
    </row>
    <row r="1760" spans="1:2" x14ac:dyDescent="0.25">
      <c r="A1760" s="388"/>
      <c r="B1760" s="388"/>
    </row>
    <row r="1761" spans="1:2" x14ac:dyDescent="0.25">
      <c r="A1761" s="388"/>
      <c r="B1761" s="388"/>
    </row>
    <row r="1762" spans="1:2" x14ac:dyDescent="0.25">
      <c r="A1762" s="388"/>
      <c r="B1762" s="388"/>
    </row>
    <row r="1763" spans="1:2" x14ac:dyDescent="0.25">
      <c r="A1763" s="388"/>
      <c r="B1763" s="388"/>
    </row>
    <row r="1764" spans="1:2" x14ac:dyDescent="0.25">
      <c r="A1764" s="388"/>
      <c r="B1764" s="388"/>
    </row>
    <row r="1765" spans="1:2" x14ac:dyDescent="0.25">
      <c r="A1765" s="388"/>
      <c r="B1765" s="388"/>
    </row>
    <row r="1766" spans="1:2" x14ac:dyDescent="0.25">
      <c r="A1766" s="388"/>
      <c r="B1766" s="388"/>
    </row>
    <row r="1767" spans="1:2" x14ac:dyDescent="0.25">
      <c r="A1767" s="388"/>
      <c r="B1767" s="388"/>
    </row>
    <row r="1768" spans="1:2" x14ac:dyDescent="0.25">
      <c r="A1768" s="388"/>
      <c r="B1768" s="388"/>
    </row>
    <row r="1769" spans="1:2" x14ac:dyDescent="0.25">
      <c r="A1769" s="388"/>
      <c r="B1769" s="388"/>
    </row>
    <row r="1770" spans="1:2" x14ac:dyDescent="0.25">
      <c r="A1770" s="388"/>
      <c r="B1770" s="388"/>
    </row>
    <row r="1771" spans="1:2" x14ac:dyDescent="0.25">
      <c r="A1771" s="388"/>
      <c r="B1771" s="388"/>
    </row>
    <row r="1772" spans="1:2" x14ac:dyDescent="0.25">
      <c r="A1772" s="388"/>
      <c r="B1772" s="388"/>
    </row>
    <row r="1773" spans="1:2" x14ac:dyDescent="0.25">
      <c r="A1773" s="388"/>
      <c r="B1773" s="388"/>
    </row>
    <row r="1774" spans="1:2" x14ac:dyDescent="0.25">
      <c r="A1774" s="388"/>
      <c r="B1774" s="388"/>
    </row>
    <row r="1775" spans="1:2" x14ac:dyDescent="0.25">
      <c r="A1775" s="388"/>
      <c r="B1775" s="388"/>
    </row>
    <row r="1776" spans="1:2" x14ac:dyDescent="0.25">
      <c r="A1776" s="388"/>
      <c r="B1776" s="388"/>
    </row>
    <row r="1777" spans="1:2" x14ac:dyDescent="0.25">
      <c r="A1777" s="388"/>
      <c r="B1777" s="388"/>
    </row>
    <row r="1778" spans="1:2" x14ac:dyDescent="0.25">
      <c r="A1778" s="388"/>
      <c r="B1778" s="388"/>
    </row>
    <row r="1779" spans="1:2" x14ac:dyDescent="0.25">
      <c r="A1779" s="388"/>
      <c r="B1779" s="388"/>
    </row>
    <row r="1780" spans="1:2" x14ac:dyDescent="0.25">
      <c r="A1780" s="388"/>
      <c r="B1780" s="388"/>
    </row>
    <row r="1781" spans="1:2" x14ac:dyDescent="0.25">
      <c r="A1781" s="388"/>
      <c r="B1781" s="388"/>
    </row>
    <row r="1782" spans="1:2" x14ac:dyDescent="0.25">
      <c r="A1782" s="388"/>
      <c r="B1782" s="388"/>
    </row>
    <row r="1783" spans="1:2" x14ac:dyDescent="0.25">
      <c r="A1783" s="388"/>
      <c r="B1783" s="388"/>
    </row>
    <row r="1784" spans="1:2" x14ac:dyDescent="0.25">
      <c r="A1784" s="388"/>
      <c r="B1784" s="388"/>
    </row>
    <row r="1785" spans="1:2" x14ac:dyDescent="0.25">
      <c r="A1785" s="388"/>
      <c r="B1785" s="388"/>
    </row>
    <row r="1786" spans="1:2" x14ac:dyDescent="0.25">
      <c r="A1786" s="388"/>
      <c r="B1786" s="388"/>
    </row>
    <row r="1787" spans="1:2" x14ac:dyDescent="0.25">
      <c r="A1787" s="388"/>
      <c r="B1787" s="388"/>
    </row>
    <row r="1788" spans="1:2" x14ac:dyDescent="0.25">
      <c r="A1788" s="388"/>
      <c r="B1788" s="388"/>
    </row>
    <row r="1789" spans="1:2" x14ac:dyDescent="0.25">
      <c r="A1789" s="388"/>
      <c r="B1789" s="388"/>
    </row>
    <row r="1790" spans="1:2" x14ac:dyDescent="0.25">
      <c r="A1790" s="388"/>
      <c r="B1790" s="388"/>
    </row>
    <row r="1791" spans="1:2" x14ac:dyDescent="0.25">
      <c r="A1791" s="388"/>
      <c r="B1791" s="388"/>
    </row>
    <row r="1792" spans="1:2" x14ac:dyDescent="0.25">
      <c r="A1792" s="388"/>
      <c r="B1792" s="388"/>
    </row>
    <row r="1793" spans="1:2" x14ac:dyDescent="0.25">
      <c r="A1793" s="388"/>
      <c r="B1793" s="388"/>
    </row>
    <row r="1794" spans="1:2" x14ac:dyDescent="0.25">
      <c r="A1794" s="388"/>
      <c r="B1794" s="388"/>
    </row>
    <row r="1795" spans="1:2" x14ac:dyDescent="0.25">
      <c r="A1795" s="388"/>
      <c r="B1795" s="388"/>
    </row>
    <row r="1796" spans="1:2" x14ac:dyDescent="0.25">
      <c r="A1796" s="388"/>
      <c r="B1796" s="388"/>
    </row>
    <row r="1797" spans="1:2" x14ac:dyDescent="0.25">
      <c r="A1797" s="388"/>
      <c r="B1797" s="388"/>
    </row>
    <row r="1798" spans="1:2" x14ac:dyDescent="0.25">
      <c r="A1798" s="388"/>
      <c r="B1798" s="388"/>
    </row>
    <row r="1799" spans="1:2" x14ac:dyDescent="0.25">
      <c r="A1799" s="388"/>
      <c r="B1799" s="388"/>
    </row>
    <row r="1800" spans="1:2" x14ac:dyDescent="0.25">
      <c r="A1800" s="388"/>
      <c r="B1800" s="388"/>
    </row>
    <row r="1801" spans="1:2" x14ac:dyDescent="0.25">
      <c r="A1801" s="388"/>
      <c r="B1801" s="388"/>
    </row>
    <row r="1802" spans="1:2" x14ac:dyDescent="0.25">
      <c r="A1802" s="388"/>
      <c r="B1802" s="388"/>
    </row>
    <row r="1803" spans="1:2" x14ac:dyDescent="0.25">
      <c r="A1803" s="388"/>
      <c r="B1803" s="388"/>
    </row>
    <row r="1804" spans="1:2" x14ac:dyDescent="0.25">
      <c r="A1804" s="388"/>
      <c r="B1804" s="388"/>
    </row>
    <row r="1805" spans="1:2" x14ac:dyDescent="0.25">
      <c r="A1805" s="388"/>
      <c r="B1805" s="388"/>
    </row>
    <row r="1806" spans="1:2" x14ac:dyDescent="0.25">
      <c r="A1806" s="388"/>
      <c r="B1806" s="388"/>
    </row>
    <row r="1807" spans="1:2" x14ac:dyDescent="0.25">
      <c r="A1807" s="388"/>
      <c r="B1807" s="388"/>
    </row>
    <row r="1808" spans="1:2" x14ac:dyDescent="0.25">
      <c r="A1808" s="388"/>
      <c r="B1808" s="388"/>
    </row>
    <row r="1809" spans="1:2" x14ac:dyDescent="0.25">
      <c r="A1809" s="388"/>
      <c r="B1809" s="388"/>
    </row>
    <row r="1810" spans="1:2" x14ac:dyDescent="0.25">
      <c r="A1810" s="388"/>
      <c r="B1810" s="388"/>
    </row>
    <row r="1811" spans="1:2" x14ac:dyDescent="0.25">
      <c r="A1811" s="388"/>
      <c r="B1811" s="388"/>
    </row>
    <row r="1812" spans="1:2" x14ac:dyDescent="0.25">
      <c r="A1812" s="388"/>
      <c r="B1812" s="388"/>
    </row>
    <row r="1813" spans="1:2" x14ac:dyDescent="0.25">
      <c r="A1813" s="388"/>
      <c r="B1813" s="388"/>
    </row>
    <row r="1814" spans="1:2" x14ac:dyDescent="0.25">
      <c r="A1814" s="388"/>
      <c r="B1814" s="388"/>
    </row>
    <row r="1815" spans="1:2" x14ac:dyDescent="0.25">
      <c r="A1815" s="388"/>
      <c r="B1815" s="388"/>
    </row>
    <row r="1816" spans="1:2" x14ac:dyDescent="0.25">
      <c r="A1816" s="388"/>
      <c r="B1816" s="388"/>
    </row>
    <row r="1817" spans="1:2" x14ac:dyDescent="0.25">
      <c r="A1817" s="388"/>
      <c r="B1817" s="388"/>
    </row>
    <row r="1818" spans="1:2" x14ac:dyDescent="0.25">
      <c r="A1818" s="388"/>
      <c r="B1818" s="388"/>
    </row>
    <row r="1819" spans="1:2" x14ac:dyDescent="0.25">
      <c r="A1819" s="388"/>
      <c r="B1819" s="388"/>
    </row>
    <row r="1820" spans="1:2" x14ac:dyDescent="0.25">
      <c r="A1820" s="388"/>
      <c r="B1820" s="388"/>
    </row>
    <row r="1821" spans="1:2" x14ac:dyDescent="0.25">
      <c r="A1821" s="388"/>
      <c r="B1821" s="388"/>
    </row>
    <row r="1822" spans="1:2" x14ac:dyDescent="0.25">
      <c r="A1822" s="388"/>
      <c r="B1822" s="388"/>
    </row>
    <row r="1823" spans="1:2" x14ac:dyDescent="0.25">
      <c r="A1823" s="388"/>
      <c r="B1823" s="388"/>
    </row>
    <row r="1824" spans="1:2" x14ac:dyDescent="0.25">
      <c r="A1824" s="388"/>
      <c r="B1824" s="388"/>
    </row>
    <row r="1825" spans="1:2" x14ac:dyDescent="0.25">
      <c r="A1825" s="388"/>
      <c r="B1825" s="388"/>
    </row>
    <row r="1826" spans="1:2" x14ac:dyDescent="0.25">
      <c r="A1826" s="388"/>
      <c r="B1826" s="388"/>
    </row>
    <row r="1827" spans="1:2" x14ac:dyDescent="0.25">
      <c r="A1827" s="388"/>
      <c r="B1827" s="388"/>
    </row>
    <row r="1828" spans="1:2" x14ac:dyDescent="0.25">
      <c r="A1828" s="388"/>
      <c r="B1828" s="388"/>
    </row>
    <row r="1829" spans="1:2" x14ac:dyDescent="0.25">
      <c r="A1829" s="388"/>
      <c r="B1829" s="388"/>
    </row>
    <row r="1830" spans="1:2" x14ac:dyDescent="0.25">
      <c r="A1830" s="388"/>
      <c r="B1830" s="388"/>
    </row>
    <row r="1831" spans="1:2" x14ac:dyDescent="0.25">
      <c r="A1831" s="388"/>
      <c r="B1831" s="388"/>
    </row>
    <row r="1832" spans="1:2" x14ac:dyDescent="0.25">
      <c r="A1832" s="388"/>
      <c r="B1832" s="388"/>
    </row>
    <row r="1833" spans="1:2" x14ac:dyDescent="0.25">
      <c r="A1833" s="388"/>
      <c r="B1833" s="388"/>
    </row>
    <row r="1834" spans="1:2" x14ac:dyDescent="0.25">
      <c r="A1834" s="388"/>
      <c r="B1834" s="388"/>
    </row>
    <row r="1835" spans="1:2" x14ac:dyDescent="0.25">
      <c r="A1835" s="388"/>
      <c r="B1835" s="388"/>
    </row>
    <row r="1836" spans="1:2" x14ac:dyDescent="0.25">
      <c r="A1836" s="388"/>
      <c r="B1836" s="388"/>
    </row>
    <row r="1837" spans="1:2" x14ac:dyDescent="0.25">
      <c r="A1837" s="388"/>
      <c r="B1837" s="388"/>
    </row>
    <row r="1838" spans="1:2" x14ac:dyDescent="0.25">
      <c r="A1838" s="388"/>
      <c r="B1838" s="388"/>
    </row>
    <row r="1839" spans="1:2" x14ac:dyDescent="0.25">
      <c r="A1839" s="388"/>
      <c r="B1839" s="388"/>
    </row>
    <row r="1840" spans="1:2" x14ac:dyDescent="0.25">
      <c r="A1840" s="388"/>
      <c r="B1840" s="388"/>
    </row>
    <row r="1841" spans="1:2" x14ac:dyDescent="0.25">
      <c r="A1841" s="388"/>
      <c r="B1841" s="388"/>
    </row>
    <row r="1842" spans="1:2" x14ac:dyDescent="0.25">
      <c r="A1842" s="388"/>
      <c r="B1842" s="388"/>
    </row>
    <row r="1843" spans="1:2" x14ac:dyDescent="0.25">
      <c r="A1843" s="388"/>
      <c r="B1843" s="388"/>
    </row>
    <row r="1844" spans="1:2" x14ac:dyDescent="0.25">
      <c r="A1844" s="388"/>
      <c r="B1844" s="388"/>
    </row>
    <row r="1845" spans="1:2" x14ac:dyDescent="0.25">
      <c r="A1845" s="388"/>
      <c r="B1845" s="388"/>
    </row>
    <row r="1846" spans="1:2" x14ac:dyDescent="0.25">
      <c r="A1846" s="388"/>
      <c r="B1846" s="388"/>
    </row>
    <row r="1847" spans="1:2" x14ac:dyDescent="0.25">
      <c r="A1847" s="388"/>
      <c r="B1847" s="388"/>
    </row>
    <row r="1848" spans="1:2" x14ac:dyDescent="0.25">
      <c r="A1848" s="388"/>
      <c r="B1848" s="388"/>
    </row>
    <row r="1849" spans="1:2" x14ac:dyDescent="0.25">
      <c r="A1849" s="388"/>
      <c r="B1849" s="388"/>
    </row>
    <row r="1850" spans="1:2" x14ac:dyDescent="0.25">
      <c r="A1850" s="388"/>
      <c r="B1850" s="388"/>
    </row>
    <row r="1851" spans="1:2" x14ac:dyDescent="0.25">
      <c r="A1851" s="388"/>
      <c r="B1851" s="388"/>
    </row>
    <row r="1852" spans="1:2" x14ac:dyDescent="0.25">
      <c r="A1852" s="388"/>
      <c r="B1852" s="388"/>
    </row>
    <row r="1853" spans="1:2" x14ac:dyDescent="0.25">
      <c r="A1853" s="388"/>
      <c r="B1853" s="388"/>
    </row>
    <row r="1854" spans="1:2" x14ac:dyDescent="0.25">
      <c r="A1854" s="388"/>
      <c r="B1854" s="388"/>
    </row>
    <row r="1855" spans="1:2" x14ac:dyDescent="0.25">
      <c r="A1855" s="388"/>
      <c r="B1855" s="388"/>
    </row>
    <row r="1856" spans="1:2" x14ac:dyDescent="0.25">
      <c r="A1856" s="388"/>
      <c r="B1856" s="388"/>
    </row>
    <row r="1857" spans="1:2" x14ac:dyDescent="0.25">
      <c r="A1857" s="388"/>
      <c r="B1857" s="388"/>
    </row>
    <row r="1858" spans="1:2" x14ac:dyDescent="0.25">
      <c r="A1858" s="388"/>
      <c r="B1858" s="388"/>
    </row>
    <row r="1859" spans="1:2" x14ac:dyDescent="0.25">
      <c r="A1859" s="388"/>
      <c r="B1859" s="388"/>
    </row>
    <row r="1860" spans="1:2" x14ac:dyDescent="0.25">
      <c r="A1860" s="388"/>
      <c r="B1860" s="388"/>
    </row>
    <row r="1861" spans="1:2" x14ac:dyDescent="0.25">
      <c r="A1861" s="388"/>
      <c r="B1861" s="388"/>
    </row>
    <row r="1862" spans="1:2" x14ac:dyDescent="0.25">
      <c r="A1862" s="388"/>
      <c r="B1862" s="388"/>
    </row>
    <row r="1863" spans="1:2" x14ac:dyDescent="0.25">
      <c r="A1863" s="388"/>
      <c r="B1863" s="388"/>
    </row>
    <row r="1864" spans="1:2" x14ac:dyDescent="0.25">
      <c r="A1864" s="388"/>
      <c r="B1864" s="388"/>
    </row>
    <row r="1865" spans="1:2" x14ac:dyDescent="0.25">
      <c r="A1865" s="388"/>
      <c r="B1865" s="388"/>
    </row>
    <row r="1866" spans="1:2" x14ac:dyDescent="0.25">
      <c r="A1866" s="388"/>
      <c r="B1866" s="388"/>
    </row>
    <row r="1867" spans="1:2" x14ac:dyDescent="0.25">
      <c r="A1867" s="388"/>
      <c r="B1867" s="388"/>
    </row>
    <row r="1868" spans="1:2" x14ac:dyDescent="0.25">
      <c r="A1868" s="388"/>
      <c r="B1868" s="388"/>
    </row>
    <row r="1869" spans="1:2" x14ac:dyDescent="0.25">
      <c r="A1869" s="388"/>
      <c r="B1869" s="388"/>
    </row>
    <row r="1870" spans="1:2" x14ac:dyDescent="0.25">
      <c r="A1870" s="388"/>
      <c r="B1870" s="388"/>
    </row>
    <row r="1871" spans="1:2" x14ac:dyDescent="0.25">
      <c r="A1871" s="388"/>
      <c r="B1871" s="388"/>
    </row>
    <row r="1872" spans="1:2" x14ac:dyDescent="0.25">
      <c r="A1872" s="388"/>
      <c r="B1872" s="388"/>
    </row>
    <row r="1873" spans="1:2" x14ac:dyDescent="0.25">
      <c r="A1873" s="388"/>
      <c r="B1873" s="388"/>
    </row>
    <row r="1874" spans="1:2" x14ac:dyDescent="0.25">
      <c r="A1874" s="388"/>
      <c r="B1874" s="388"/>
    </row>
    <row r="1875" spans="1:2" x14ac:dyDescent="0.25">
      <c r="A1875" s="388"/>
      <c r="B1875" s="388"/>
    </row>
    <row r="1876" spans="1:2" x14ac:dyDescent="0.25">
      <c r="A1876" s="388"/>
      <c r="B1876" s="388"/>
    </row>
    <row r="1877" spans="1:2" x14ac:dyDescent="0.25">
      <c r="A1877" s="388"/>
      <c r="B1877" s="388"/>
    </row>
    <row r="1878" spans="1:2" x14ac:dyDescent="0.25">
      <c r="A1878" s="388"/>
      <c r="B1878" s="388"/>
    </row>
    <row r="1879" spans="1:2" x14ac:dyDescent="0.25">
      <c r="A1879" s="388"/>
      <c r="B1879" s="388"/>
    </row>
    <row r="1880" spans="1:2" x14ac:dyDescent="0.25">
      <c r="A1880" s="388"/>
      <c r="B1880" s="388"/>
    </row>
    <row r="1881" spans="1:2" x14ac:dyDescent="0.25">
      <c r="A1881" s="388"/>
      <c r="B1881" s="388"/>
    </row>
    <row r="1882" spans="1:2" x14ac:dyDescent="0.25">
      <c r="A1882" s="388"/>
      <c r="B1882" s="388"/>
    </row>
    <row r="1883" spans="1:2" x14ac:dyDescent="0.25">
      <c r="A1883" s="388"/>
      <c r="B1883" s="388"/>
    </row>
    <row r="1884" spans="1:2" x14ac:dyDescent="0.25">
      <c r="A1884" s="388"/>
      <c r="B1884" s="388"/>
    </row>
    <row r="1885" spans="1:2" x14ac:dyDescent="0.25">
      <c r="A1885" s="388"/>
      <c r="B1885" s="388"/>
    </row>
    <row r="1886" spans="1:2" x14ac:dyDescent="0.25">
      <c r="A1886" s="388"/>
      <c r="B1886" s="388"/>
    </row>
    <row r="1887" spans="1:2" x14ac:dyDescent="0.25">
      <c r="A1887" s="388"/>
      <c r="B1887" s="388"/>
    </row>
    <row r="1888" spans="1:2" x14ac:dyDescent="0.25">
      <c r="A1888" s="388"/>
      <c r="B1888" s="388"/>
    </row>
    <row r="1889" spans="1:2" x14ac:dyDescent="0.25">
      <c r="A1889" s="388"/>
      <c r="B1889" s="388"/>
    </row>
    <row r="1890" spans="1:2" x14ac:dyDescent="0.25">
      <c r="A1890" s="388"/>
      <c r="B1890" s="388"/>
    </row>
    <row r="1891" spans="1:2" x14ac:dyDescent="0.25">
      <c r="A1891" s="388"/>
      <c r="B1891" s="388"/>
    </row>
    <row r="1892" spans="1:2" x14ac:dyDescent="0.25">
      <c r="A1892" s="388"/>
      <c r="B1892" s="388"/>
    </row>
    <row r="1893" spans="1:2" x14ac:dyDescent="0.25">
      <c r="A1893" s="388"/>
      <c r="B1893" s="388"/>
    </row>
    <row r="1894" spans="1:2" x14ac:dyDescent="0.25">
      <c r="A1894" s="388"/>
      <c r="B1894" s="388"/>
    </row>
    <row r="1895" spans="1:2" x14ac:dyDescent="0.25">
      <c r="A1895" s="388"/>
      <c r="B1895" s="388"/>
    </row>
    <row r="1896" spans="1:2" x14ac:dyDescent="0.25">
      <c r="A1896" s="388"/>
      <c r="B1896" s="388"/>
    </row>
    <row r="1897" spans="1:2" x14ac:dyDescent="0.25">
      <c r="A1897" s="388"/>
      <c r="B1897" s="388"/>
    </row>
    <row r="1898" spans="1:2" x14ac:dyDescent="0.25">
      <c r="A1898" s="388"/>
      <c r="B1898" s="388"/>
    </row>
    <row r="1899" spans="1:2" x14ac:dyDescent="0.25">
      <c r="A1899" s="388"/>
      <c r="B1899" s="388"/>
    </row>
    <row r="1900" spans="1:2" x14ac:dyDescent="0.25">
      <c r="A1900" s="388"/>
      <c r="B1900" s="388"/>
    </row>
    <row r="1901" spans="1:2" x14ac:dyDescent="0.25">
      <c r="A1901" s="388"/>
      <c r="B1901" s="388"/>
    </row>
    <row r="1902" spans="1:2" x14ac:dyDescent="0.25">
      <c r="A1902" s="388"/>
      <c r="B1902" s="388"/>
    </row>
    <row r="1903" spans="1:2" x14ac:dyDescent="0.25">
      <c r="A1903" s="388"/>
      <c r="B1903" s="388"/>
    </row>
    <row r="1904" spans="1:2" x14ac:dyDescent="0.25">
      <c r="A1904" s="388"/>
      <c r="B1904" s="388"/>
    </row>
    <row r="1905" spans="1:2" x14ac:dyDescent="0.25">
      <c r="A1905" s="388"/>
      <c r="B1905" s="388"/>
    </row>
    <row r="1906" spans="1:2" x14ac:dyDescent="0.25">
      <c r="A1906" s="388"/>
      <c r="B1906" s="388"/>
    </row>
    <row r="1907" spans="1:2" x14ac:dyDescent="0.25">
      <c r="A1907" s="388"/>
      <c r="B1907" s="388"/>
    </row>
    <row r="1908" spans="1:2" x14ac:dyDescent="0.25">
      <c r="A1908" s="388"/>
      <c r="B1908" s="388"/>
    </row>
    <row r="1909" spans="1:2" x14ac:dyDescent="0.25">
      <c r="A1909" s="388"/>
      <c r="B1909" s="388"/>
    </row>
    <row r="1910" spans="1:2" x14ac:dyDescent="0.25">
      <c r="A1910" s="388"/>
      <c r="B1910" s="388"/>
    </row>
    <row r="1911" spans="1:2" x14ac:dyDescent="0.25">
      <c r="A1911" s="388"/>
      <c r="B1911" s="388"/>
    </row>
    <row r="1912" spans="1:2" x14ac:dyDescent="0.25">
      <c r="A1912" s="388"/>
      <c r="B1912" s="388"/>
    </row>
    <row r="1913" spans="1:2" x14ac:dyDescent="0.25">
      <c r="A1913" s="388"/>
      <c r="B1913" s="388"/>
    </row>
    <row r="1914" spans="1:2" x14ac:dyDescent="0.25">
      <c r="A1914" s="388"/>
      <c r="B1914" s="388"/>
    </row>
    <row r="1915" spans="1:2" x14ac:dyDescent="0.25">
      <c r="A1915" s="388"/>
      <c r="B1915" s="388"/>
    </row>
    <row r="1916" spans="1:2" x14ac:dyDescent="0.25">
      <c r="A1916" s="388"/>
      <c r="B1916" s="388"/>
    </row>
    <row r="1917" spans="1:2" x14ac:dyDescent="0.25">
      <c r="A1917" s="388"/>
      <c r="B1917" s="388"/>
    </row>
    <row r="1918" spans="1:2" x14ac:dyDescent="0.25">
      <c r="A1918" s="388"/>
      <c r="B1918" s="388"/>
    </row>
    <row r="1919" spans="1:2" x14ac:dyDescent="0.25">
      <c r="A1919" s="388"/>
      <c r="B1919" s="388"/>
    </row>
    <row r="1920" spans="1:2" x14ac:dyDescent="0.25">
      <c r="A1920" s="388"/>
      <c r="B1920" s="388"/>
    </row>
    <row r="1921" spans="1:2" x14ac:dyDescent="0.25">
      <c r="A1921" s="388"/>
      <c r="B1921" s="388"/>
    </row>
    <row r="1922" spans="1:2" x14ac:dyDescent="0.25">
      <c r="A1922" s="388"/>
      <c r="B1922" s="388"/>
    </row>
    <row r="1923" spans="1:2" x14ac:dyDescent="0.25">
      <c r="A1923" s="388"/>
      <c r="B1923" s="388"/>
    </row>
    <row r="1924" spans="1:2" x14ac:dyDescent="0.25">
      <c r="A1924" s="388"/>
      <c r="B1924" s="388"/>
    </row>
    <row r="1925" spans="1:2" x14ac:dyDescent="0.25">
      <c r="A1925" s="388"/>
      <c r="B1925" s="388"/>
    </row>
    <row r="1926" spans="1:2" x14ac:dyDescent="0.25">
      <c r="A1926" s="388"/>
      <c r="B1926" s="388"/>
    </row>
    <row r="1927" spans="1:2" x14ac:dyDescent="0.25">
      <c r="A1927" s="388"/>
      <c r="B1927" s="388"/>
    </row>
    <row r="1928" spans="1:2" x14ac:dyDescent="0.25">
      <c r="A1928" s="388"/>
      <c r="B1928" s="388"/>
    </row>
    <row r="1929" spans="1:2" x14ac:dyDescent="0.25">
      <c r="A1929" s="388"/>
      <c r="B1929" s="388"/>
    </row>
    <row r="1930" spans="1:2" x14ac:dyDescent="0.25">
      <c r="A1930" s="388"/>
      <c r="B1930" s="388"/>
    </row>
    <row r="1931" spans="1:2" x14ac:dyDescent="0.25">
      <c r="A1931" s="388"/>
      <c r="B1931" s="388"/>
    </row>
    <row r="1932" spans="1:2" x14ac:dyDescent="0.25">
      <c r="A1932" s="388"/>
      <c r="B1932" s="388"/>
    </row>
    <row r="1933" spans="1:2" x14ac:dyDescent="0.25">
      <c r="A1933" s="388"/>
      <c r="B1933" s="388"/>
    </row>
    <row r="1934" spans="1:2" x14ac:dyDescent="0.25">
      <c r="A1934" s="388"/>
      <c r="B1934" s="388"/>
    </row>
    <row r="1935" spans="1:2" x14ac:dyDescent="0.25">
      <c r="A1935" s="388"/>
      <c r="B1935" s="388"/>
    </row>
    <row r="1936" spans="1:2" x14ac:dyDescent="0.25">
      <c r="A1936" s="388"/>
      <c r="B1936" s="388"/>
    </row>
    <row r="1937" spans="1:2" x14ac:dyDescent="0.25">
      <c r="A1937" s="388"/>
      <c r="B1937" s="388"/>
    </row>
    <row r="1938" spans="1:2" x14ac:dyDescent="0.25">
      <c r="A1938" s="388"/>
      <c r="B1938" s="388"/>
    </row>
    <row r="1939" spans="1:2" x14ac:dyDescent="0.25">
      <c r="A1939" s="388"/>
      <c r="B1939" s="388"/>
    </row>
    <row r="1940" spans="1:2" x14ac:dyDescent="0.25">
      <c r="A1940" s="388"/>
      <c r="B1940" s="388"/>
    </row>
    <row r="1941" spans="1:2" x14ac:dyDescent="0.25">
      <c r="A1941" s="388"/>
      <c r="B1941" s="388"/>
    </row>
    <row r="1942" spans="1:2" x14ac:dyDescent="0.25">
      <c r="A1942" s="388"/>
      <c r="B1942" s="388"/>
    </row>
    <row r="1943" spans="1:2" x14ac:dyDescent="0.25">
      <c r="A1943" s="388"/>
      <c r="B1943" s="388"/>
    </row>
    <row r="1944" spans="1:2" x14ac:dyDescent="0.25">
      <c r="A1944" s="388"/>
      <c r="B1944" s="388"/>
    </row>
    <row r="1945" spans="1:2" x14ac:dyDescent="0.25">
      <c r="A1945" s="388"/>
      <c r="B1945" s="388"/>
    </row>
    <row r="1946" spans="1:2" x14ac:dyDescent="0.25">
      <c r="A1946" s="388"/>
      <c r="B1946" s="388"/>
    </row>
    <row r="1947" spans="1:2" x14ac:dyDescent="0.25">
      <c r="A1947" s="388"/>
      <c r="B1947" s="388"/>
    </row>
    <row r="1948" spans="1:2" x14ac:dyDescent="0.25">
      <c r="A1948" s="388"/>
      <c r="B1948" s="388"/>
    </row>
    <row r="1949" spans="1:2" x14ac:dyDescent="0.25">
      <c r="A1949" s="388"/>
      <c r="B1949" s="388"/>
    </row>
    <row r="1950" spans="1:2" x14ac:dyDescent="0.25">
      <c r="A1950" s="388"/>
      <c r="B1950" s="388"/>
    </row>
    <row r="1951" spans="1:2" x14ac:dyDescent="0.25">
      <c r="A1951" s="388"/>
      <c r="B1951" s="388"/>
    </row>
    <row r="1952" spans="1:2" x14ac:dyDescent="0.25">
      <c r="A1952" s="388"/>
      <c r="B1952" s="388"/>
    </row>
    <row r="1953" spans="1:2" x14ac:dyDescent="0.25">
      <c r="A1953" s="388"/>
      <c r="B1953" s="388"/>
    </row>
    <row r="1954" spans="1:2" x14ac:dyDescent="0.25">
      <c r="A1954" s="388"/>
      <c r="B1954" s="388"/>
    </row>
    <row r="1955" spans="1:2" x14ac:dyDescent="0.25">
      <c r="A1955" s="388"/>
      <c r="B1955" s="388"/>
    </row>
    <row r="1956" spans="1:2" x14ac:dyDescent="0.25">
      <c r="A1956" s="388"/>
      <c r="B1956" s="388"/>
    </row>
    <row r="1957" spans="1:2" x14ac:dyDescent="0.25">
      <c r="A1957" s="388"/>
      <c r="B1957" s="388"/>
    </row>
    <row r="1958" spans="1:2" x14ac:dyDescent="0.25">
      <c r="A1958" s="388"/>
      <c r="B1958" s="388"/>
    </row>
    <row r="1959" spans="1:2" x14ac:dyDescent="0.25">
      <c r="A1959" s="388"/>
      <c r="B1959" s="388"/>
    </row>
    <row r="1960" spans="1:2" x14ac:dyDescent="0.25">
      <c r="A1960" s="388"/>
      <c r="B1960" s="388"/>
    </row>
    <row r="1961" spans="1:2" x14ac:dyDescent="0.25">
      <c r="A1961" s="388"/>
      <c r="B1961" s="388"/>
    </row>
    <row r="1962" spans="1:2" x14ac:dyDescent="0.25">
      <c r="A1962" s="388"/>
      <c r="B1962" s="388"/>
    </row>
    <row r="1963" spans="1:2" x14ac:dyDescent="0.25">
      <c r="A1963" s="388"/>
      <c r="B1963" s="388"/>
    </row>
    <row r="1964" spans="1:2" x14ac:dyDescent="0.25">
      <c r="A1964" s="388"/>
      <c r="B1964" s="388"/>
    </row>
    <row r="1965" spans="1:2" x14ac:dyDescent="0.25">
      <c r="A1965" s="388"/>
      <c r="B1965" s="388"/>
    </row>
    <row r="1966" spans="1:2" x14ac:dyDescent="0.25">
      <c r="A1966" s="388"/>
      <c r="B1966" s="388"/>
    </row>
    <row r="1967" spans="1:2" x14ac:dyDescent="0.25">
      <c r="A1967" s="388"/>
      <c r="B1967" s="388"/>
    </row>
    <row r="1968" spans="1:2" x14ac:dyDescent="0.25">
      <c r="A1968" s="388"/>
      <c r="B1968" s="388"/>
    </row>
    <row r="1969" spans="1:2" x14ac:dyDescent="0.25">
      <c r="A1969" s="388"/>
      <c r="B1969" s="388"/>
    </row>
    <row r="1970" spans="1:2" x14ac:dyDescent="0.25">
      <c r="A1970" s="388"/>
      <c r="B1970" s="388"/>
    </row>
    <row r="1971" spans="1:2" x14ac:dyDescent="0.25">
      <c r="A1971" s="388"/>
      <c r="B1971" s="388"/>
    </row>
    <row r="1972" spans="1:2" x14ac:dyDescent="0.25">
      <c r="A1972" s="388"/>
      <c r="B1972" s="388"/>
    </row>
    <row r="1973" spans="1:2" x14ac:dyDescent="0.25">
      <c r="A1973" s="388"/>
      <c r="B1973" s="388"/>
    </row>
    <row r="1974" spans="1:2" x14ac:dyDescent="0.25">
      <c r="A1974" s="388"/>
      <c r="B1974" s="388"/>
    </row>
    <row r="1975" spans="1:2" x14ac:dyDescent="0.25">
      <c r="A1975" s="388"/>
      <c r="B1975" s="388"/>
    </row>
    <row r="1976" spans="1:2" x14ac:dyDescent="0.25">
      <c r="A1976" s="388"/>
      <c r="B1976" s="388"/>
    </row>
    <row r="1977" spans="1:2" x14ac:dyDescent="0.25">
      <c r="A1977" s="388"/>
      <c r="B1977" s="388"/>
    </row>
    <row r="1978" spans="1:2" x14ac:dyDescent="0.25">
      <c r="A1978" s="388"/>
      <c r="B1978" s="388"/>
    </row>
    <row r="1979" spans="1:2" x14ac:dyDescent="0.25">
      <c r="A1979" s="388"/>
      <c r="B1979" s="388"/>
    </row>
    <row r="1980" spans="1:2" x14ac:dyDescent="0.25">
      <c r="A1980" s="388"/>
      <c r="B1980" s="388"/>
    </row>
    <row r="1981" spans="1:2" x14ac:dyDescent="0.25">
      <c r="A1981" s="388"/>
      <c r="B1981" s="388"/>
    </row>
    <row r="1982" spans="1:2" x14ac:dyDescent="0.25">
      <c r="A1982" s="388"/>
      <c r="B1982" s="388"/>
    </row>
    <row r="1983" spans="1:2" x14ac:dyDescent="0.25">
      <c r="A1983" s="388"/>
      <c r="B1983" s="388"/>
    </row>
    <row r="1984" spans="1:2" x14ac:dyDescent="0.25">
      <c r="A1984" s="388"/>
      <c r="B1984" s="388"/>
    </row>
    <row r="1985" spans="1:2" x14ac:dyDescent="0.25">
      <c r="A1985" s="388"/>
      <c r="B1985" s="388"/>
    </row>
    <row r="1986" spans="1:2" x14ac:dyDescent="0.25">
      <c r="A1986" s="388"/>
      <c r="B1986" s="388"/>
    </row>
    <row r="1987" spans="1:2" x14ac:dyDescent="0.25">
      <c r="A1987" s="388"/>
      <c r="B1987" s="388"/>
    </row>
    <row r="1988" spans="1:2" x14ac:dyDescent="0.25">
      <c r="A1988" s="388"/>
      <c r="B1988" s="388"/>
    </row>
    <row r="1989" spans="1:2" x14ac:dyDescent="0.25">
      <c r="A1989" s="388"/>
      <c r="B1989" s="388"/>
    </row>
    <row r="1990" spans="1:2" x14ac:dyDescent="0.25">
      <c r="A1990" s="388"/>
      <c r="B1990" s="388"/>
    </row>
    <row r="1991" spans="1:2" x14ac:dyDescent="0.25">
      <c r="A1991" s="388"/>
      <c r="B1991" s="388"/>
    </row>
    <row r="1992" spans="1:2" x14ac:dyDescent="0.25">
      <c r="A1992" s="388"/>
      <c r="B1992" s="388"/>
    </row>
    <row r="1993" spans="1:2" x14ac:dyDescent="0.25">
      <c r="A1993" s="388"/>
      <c r="B1993" s="388"/>
    </row>
    <row r="1994" spans="1:2" x14ac:dyDescent="0.25">
      <c r="A1994" s="388"/>
      <c r="B1994" s="388"/>
    </row>
    <row r="1995" spans="1:2" x14ac:dyDescent="0.25">
      <c r="A1995" s="388"/>
      <c r="B1995" s="388"/>
    </row>
    <row r="1996" spans="1:2" x14ac:dyDescent="0.25">
      <c r="A1996" s="388"/>
      <c r="B1996" s="388"/>
    </row>
    <row r="1997" spans="1:2" x14ac:dyDescent="0.25">
      <c r="A1997" s="388"/>
      <c r="B1997" s="388"/>
    </row>
    <row r="1998" spans="1:2" x14ac:dyDescent="0.25">
      <c r="A1998" s="388"/>
      <c r="B1998" s="388"/>
    </row>
    <row r="1999" spans="1:2" x14ac:dyDescent="0.25">
      <c r="A1999" s="388"/>
      <c r="B1999" s="388"/>
    </row>
    <row r="2000" spans="1:2" x14ac:dyDescent="0.25">
      <c r="A2000" s="388"/>
      <c r="B2000" s="388"/>
    </row>
    <row r="2001" spans="1:2" x14ac:dyDescent="0.25">
      <c r="A2001" s="388"/>
      <c r="B2001" s="388"/>
    </row>
    <row r="2002" spans="1:2" x14ac:dyDescent="0.25">
      <c r="A2002" s="388"/>
      <c r="B2002" s="388"/>
    </row>
    <row r="2003" spans="1:2" x14ac:dyDescent="0.25">
      <c r="A2003" s="388"/>
      <c r="B2003" s="388"/>
    </row>
    <row r="2004" spans="1:2" x14ac:dyDescent="0.25">
      <c r="A2004" s="388"/>
      <c r="B2004" s="388"/>
    </row>
    <row r="2005" spans="1:2" x14ac:dyDescent="0.25">
      <c r="A2005" s="388"/>
      <c r="B2005" s="388"/>
    </row>
    <row r="2006" spans="1:2" x14ac:dyDescent="0.25">
      <c r="A2006" s="388"/>
      <c r="B2006" s="388"/>
    </row>
    <row r="2007" spans="1:2" x14ac:dyDescent="0.25">
      <c r="A2007" s="388"/>
      <c r="B2007" s="388"/>
    </row>
    <row r="2008" spans="1:2" x14ac:dyDescent="0.25">
      <c r="A2008" s="388"/>
      <c r="B2008" s="388"/>
    </row>
    <row r="2009" spans="1:2" x14ac:dyDescent="0.25">
      <c r="A2009" s="388"/>
      <c r="B2009" s="388"/>
    </row>
    <row r="2010" spans="1:2" x14ac:dyDescent="0.25">
      <c r="A2010" s="388"/>
      <c r="B2010" s="388"/>
    </row>
    <row r="2011" spans="1:2" x14ac:dyDescent="0.25">
      <c r="A2011" s="388"/>
      <c r="B2011" s="388"/>
    </row>
    <row r="2012" spans="1:2" x14ac:dyDescent="0.25">
      <c r="A2012" s="388"/>
      <c r="B2012" s="388"/>
    </row>
    <row r="2013" spans="1:2" x14ac:dyDescent="0.25">
      <c r="A2013" s="388"/>
      <c r="B2013" s="388"/>
    </row>
    <row r="2014" spans="1:2" x14ac:dyDescent="0.25">
      <c r="A2014" s="388"/>
      <c r="B2014" s="388"/>
    </row>
    <row r="2015" spans="1:2" x14ac:dyDescent="0.25">
      <c r="A2015" s="388"/>
      <c r="B2015" s="388"/>
    </row>
    <row r="2016" spans="1:2" x14ac:dyDescent="0.25">
      <c r="A2016" s="388"/>
      <c r="B2016" s="388"/>
    </row>
    <row r="2017" spans="1:2" x14ac:dyDescent="0.25">
      <c r="A2017" s="388"/>
      <c r="B2017" s="388"/>
    </row>
    <row r="2018" spans="1:2" x14ac:dyDescent="0.25">
      <c r="A2018" s="388"/>
      <c r="B2018" s="388"/>
    </row>
    <row r="2019" spans="1:2" x14ac:dyDescent="0.25">
      <c r="A2019" s="388"/>
      <c r="B2019" s="388"/>
    </row>
    <row r="2020" spans="1:2" x14ac:dyDescent="0.25">
      <c r="A2020" s="388"/>
      <c r="B2020" s="388"/>
    </row>
    <row r="2021" spans="1:2" x14ac:dyDescent="0.25">
      <c r="A2021" s="388"/>
      <c r="B2021" s="388"/>
    </row>
    <row r="2022" spans="1:2" x14ac:dyDescent="0.25">
      <c r="A2022" s="388"/>
      <c r="B2022" s="388"/>
    </row>
    <row r="2023" spans="1:2" x14ac:dyDescent="0.25">
      <c r="A2023" s="388"/>
      <c r="B2023" s="388"/>
    </row>
    <row r="2024" spans="1:2" x14ac:dyDescent="0.25">
      <c r="A2024" s="388"/>
      <c r="B2024" s="388"/>
    </row>
    <row r="2025" spans="1:2" x14ac:dyDescent="0.25">
      <c r="A2025" s="388"/>
      <c r="B2025" s="388"/>
    </row>
    <row r="2026" spans="1:2" x14ac:dyDescent="0.25">
      <c r="A2026" s="388"/>
      <c r="B2026" s="388"/>
    </row>
    <row r="2027" spans="1:2" x14ac:dyDescent="0.25">
      <c r="A2027" s="388"/>
      <c r="B2027" s="388"/>
    </row>
    <row r="2028" spans="1:2" x14ac:dyDescent="0.25">
      <c r="A2028" s="388"/>
      <c r="B2028" s="388"/>
    </row>
    <row r="2029" spans="1:2" x14ac:dyDescent="0.25">
      <c r="A2029" s="388"/>
      <c r="B2029" s="388"/>
    </row>
    <row r="2030" spans="1:2" x14ac:dyDescent="0.25">
      <c r="A2030" s="388"/>
      <c r="B2030" s="388"/>
    </row>
    <row r="2031" spans="1:2" x14ac:dyDescent="0.25">
      <c r="A2031" s="388"/>
      <c r="B2031" s="388"/>
    </row>
    <row r="2032" spans="1:2" x14ac:dyDescent="0.25">
      <c r="A2032" s="388"/>
      <c r="B2032" s="388"/>
    </row>
    <row r="2033" spans="1:2" x14ac:dyDescent="0.25">
      <c r="A2033" s="388"/>
      <c r="B2033" s="388"/>
    </row>
    <row r="2034" spans="1:2" x14ac:dyDescent="0.25">
      <c r="A2034" s="388"/>
      <c r="B2034" s="388"/>
    </row>
    <row r="2035" spans="1:2" x14ac:dyDescent="0.25">
      <c r="A2035" s="388"/>
      <c r="B2035" s="388"/>
    </row>
    <row r="2036" spans="1:2" x14ac:dyDescent="0.25">
      <c r="A2036" s="388"/>
      <c r="B2036" s="388"/>
    </row>
    <row r="2037" spans="1:2" x14ac:dyDescent="0.25">
      <c r="A2037" s="388"/>
      <c r="B2037" s="388"/>
    </row>
    <row r="2038" spans="1:2" x14ac:dyDescent="0.25">
      <c r="A2038" s="388"/>
      <c r="B2038" s="388"/>
    </row>
    <row r="2039" spans="1:2" x14ac:dyDescent="0.25">
      <c r="A2039" s="388"/>
      <c r="B2039" s="388"/>
    </row>
    <row r="2040" spans="1:2" x14ac:dyDescent="0.25">
      <c r="A2040" s="388"/>
      <c r="B2040" s="388"/>
    </row>
    <row r="2041" spans="1:2" x14ac:dyDescent="0.25">
      <c r="A2041" s="388"/>
      <c r="B2041" s="388"/>
    </row>
    <row r="2042" spans="1:2" x14ac:dyDescent="0.25">
      <c r="A2042" s="388"/>
      <c r="B2042" s="388"/>
    </row>
    <row r="2043" spans="1:2" x14ac:dyDescent="0.25">
      <c r="A2043" s="388"/>
      <c r="B2043" s="388"/>
    </row>
    <row r="2044" spans="1:2" x14ac:dyDescent="0.25">
      <c r="A2044" s="388"/>
      <c r="B2044" s="388"/>
    </row>
    <row r="2045" spans="1:2" x14ac:dyDescent="0.25">
      <c r="A2045" s="388"/>
      <c r="B2045" s="388"/>
    </row>
    <row r="2046" spans="1:2" x14ac:dyDescent="0.25">
      <c r="A2046" s="388"/>
      <c r="B2046" s="388"/>
    </row>
    <row r="2047" spans="1:2" x14ac:dyDescent="0.25">
      <c r="A2047" s="388"/>
      <c r="B2047" s="388"/>
    </row>
    <row r="2048" spans="1:2" x14ac:dyDescent="0.25">
      <c r="A2048" s="388"/>
      <c r="B2048" s="388"/>
    </row>
    <row r="2049" spans="1:2" x14ac:dyDescent="0.25">
      <c r="A2049" s="388"/>
      <c r="B2049" s="388"/>
    </row>
    <row r="2050" spans="1:2" x14ac:dyDescent="0.25">
      <c r="A2050" s="388"/>
      <c r="B2050" s="388"/>
    </row>
    <row r="2051" spans="1:2" x14ac:dyDescent="0.25">
      <c r="A2051" s="388"/>
      <c r="B2051" s="388"/>
    </row>
    <row r="2052" spans="1:2" x14ac:dyDescent="0.25">
      <c r="A2052" s="388"/>
      <c r="B2052" s="388"/>
    </row>
    <row r="2053" spans="1:2" x14ac:dyDescent="0.25">
      <c r="A2053" s="388"/>
      <c r="B2053" s="388"/>
    </row>
    <row r="2054" spans="1:2" x14ac:dyDescent="0.25">
      <c r="A2054" s="388"/>
      <c r="B2054" s="388"/>
    </row>
    <row r="2055" spans="1:2" x14ac:dyDescent="0.25">
      <c r="A2055" s="388"/>
      <c r="B2055" s="388"/>
    </row>
    <row r="2056" spans="1:2" x14ac:dyDescent="0.25">
      <c r="A2056" s="388"/>
      <c r="B2056" s="388"/>
    </row>
    <row r="2057" spans="1:2" x14ac:dyDescent="0.25">
      <c r="A2057" s="388"/>
      <c r="B2057" s="388"/>
    </row>
    <row r="2058" spans="1:2" x14ac:dyDescent="0.25">
      <c r="A2058" s="388"/>
      <c r="B2058" s="388"/>
    </row>
    <row r="2059" spans="1:2" x14ac:dyDescent="0.25">
      <c r="A2059" s="388"/>
      <c r="B2059" s="388"/>
    </row>
    <row r="2060" spans="1:2" x14ac:dyDescent="0.25">
      <c r="A2060" s="388"/>
      <c r="B2060" s="388"/>
    </row>
    <row r="2061" spans="1:2" x14ac:dyDescent="0.25">
      <c r="A2061" s="388"/>
      <c r="B2061" s="388"/>
    </row>
    <row r="2062" spans="1:2" x14ac:dyDescent="0.25">
      <c r="A2062" s="388"/>
      <c r="B2062" s="388"/>
    </row>
    <row r="2063" spans="1:2" x14ac:dyDescent="0.25">
      <c r="A2063" s="388"/>
      <c r="B2063" s="388"/>
    </row>
    <row r="2064" spans="1:2" x14ac:dyDescent="0.25">
      <c r="A2064" s="388"/>
      <c r="B2064" s="388"/>
    </row>
    <row r="2065" spans="1:2" x14ac:dyDescent="0.25">
      <c r="A2065" s="388"/>
      <c r="B2065" s="388"/>
    </row>
    <row r="2066" spans="1:2" x14ac:dyDescent="0.25">
      <c r="A2066" s="388"/>
      <c r="B2066" s="388"/>
    </row>
    <row r="2067" spans="1:2" x14ac:dyDescent="0.25">
      <c r="A2067" s="388"/>
      <c r="B2067" s="388"/>
    </row>
    <row r="2068" spans="1:2" x14ac:dyDescent="0.25">
      <c r="A2068" s="388"/>
      <c r="B2068" s="388"/>
    </row>
    <row r="2069" spans="1:2" x14ac:dyDescent="0.25">
      <c r="A2069" s="388"/>
      <c r="B2069" s="388"/>
    </row>
    <row r="2070" spans="1:2" x14ac:dyDescent="0.25">
      <c r="A2070" s="388"/>
      <c r="B2070" s="388"/>
    </row>
    <row r="2071" spans="1:2" x14ac:dyDescent="0.25">
      <c r="A2071" s="388"/>
      <c r="B2071" s="388"/>
    </row>
    <row r="2072" spans="1:2" x14ac:dyDescent="0.25">
      <c r="A2072" s="388"/>
      <c r="B2072" s="388"/>
    </row>
    <row r="2073" spans="1:2" x14ac:dyDescent="0.25">
      <c r="A2073" s="388"/>
      <c r="B2073" s="388"/>
    </row>
    <row r="2074" spans="1:2" x14ac:dyDescent="0.25">
      <c r="A2074" s="388"/>
      <c r="B2074" s="388"/>
    </row>
    <row r="2075" spans="1:2" x14ac:dyDescent="0.25">
      <c r="A2075" s="388"/>
      <c r="B2075" s="388"/>
    </row>
    <row r="2076" spans="1:2" x14ac:dyDescent="0.25">
      <c r="A2076" s="388"/>
      <c r="B2076" s="388"/>
    </row>
    <row r="2077" spans="1:2" x14ac:dyDescent="0.25">
      <c r="A2077" s="388"/>
      <c r="B2077" s="388"/>
    </row>
    <row r="2078" spans="1:2" x14ac:dyDescent="0.25">
      <c r="A2078" s="388"/>
      <c r="B2078" s="388"/>
    </row>
    <row r="2079" spans="1:2" x14ac:dyDescent="0.25">
      <c r="A2079" s="388"/>
      <c r="B2079" s="388"/>
    </row>
    <row r="2080" spans="1:2" x14ac:dyDescent="0.25">
      <c r="A2080" s="388"/>
      <c r="B2080" s="388"/>
    </row>
    <row r="2081" spans="1:2" x14ac:dyDescent="0.25">
      <c r="A2081" s="388"/>
      <c r="B2081" s="388"/>
    </row>
    <row r="2082" spans="1:2" x14ac:dyDescent="0.25">
      <c r="A2082" s="388"/>
      <c r="B2082" s="388"/>
    </row>
    <row r="2083" spans="1:2" x14ac:dyDescent="0.25">
      <c r="A2083" s="388"/>
      <c r="B2083" s="388"/>
    </row>
    <row r="2084" spans="1:2" x14ac:dyDescent="0.25">
      <c r="A2084" s="388"/>
      <c r="B2084" s="388"/>
    </row>
    <row r="2085" spans="1:2" x14ac:dyDescent="0.25">
      <c r="A2085" s="388"/>
      <c r="B2085" s="388"/>
    </row>
    <row r="2086" spans="1:2" x14ac:dyDescent="0.25">
      <c r="A2086" s="388"/>
      <c r="B2086" s="388"/>
    </row>
    <row r="2087" spans="1:2" x14ac:dyDescent="0.25">
      <c r="A2087" s="388"/>
      <c r="B2087" s="388"/>
    </row>
    <row r="2088" spans="1:2" x14ac:dyDescent="0.25">
      <c r="A2088" s="388"/>
      <c r="B2088" s="388"/>
    </row>
    <row r="2089" spans="1:2" x14ac:dyDescent="0.25">
      <c r="A2089" s="388"/>
      <c r="B2089" s="388"/>
    </row>
    <row r="2090" spans="1:2" x14ac:dyDescent="0.25">
      <c r="A2090" s="388"/>
      <c r="B2090" s="388"/>
    </row>
    <row r="2091" spans="1:2" x14ac:dyDescent="0.25">
      <c r="A2091" s="388"/>
      <c r="B2091" s="388"/>
    </row>
    <row r="2092" spans="1:2" x14ac:dyDescent="0.25">
      <c r="A2092" s="388"/>
      <c r="B2092" s="388"/>
    </row>
    <row r="2093" spans="1:2" x14ac:dyDescent="0.25">
      <c r="A2093" s="388"/>
      <c r="B2093" s="388"/>
    </row>
    <row r="2094" spans="1:2" x14ac:dyDescent="0.25">
      <c r="A2094" s="388"/>
      <c r="B2094" s="388"/>
    </row>
    <row r="2095" spans="1:2" x14ac:dyDescent="0.25">
      <c r="A2095" s="388"/>
      <c r="B2095" s="388"/>
    </row>
    <row r="2096" spans="1:2" x14ac:dyDescent="0.25">
      <c r="A2096" s="388"/>
      <c r="B2096" s="388"/>
    </row>
    <row r="2097" spans="1:2" x14ac:dyDescent="0.25">
      <c r="A2097" s="388"/>
      <c r="B2097" s="388"/>
    </row>
    <row r="2098" spans="1:2" x14ac:dyDescent="0.25">
      <c r="A2098" s="388"/>
      <c r="B2098" s="388"/>
    </row>
    <row r="2099" spans="1:2" x14ac:dyDescent="0.25">
      <c r="A2099" s="388"/>
      <c r="B2099" s="388"/>
    </row>
    <row r="2100" spans="1:2" x14ac:dyDescent="0.25">
      <c r="A2100" s="388"/>
      <c r="B2100" s="388"/>
    </row>
    <row r="2101" spans="1:2" x14ac:dyDescent="0.25">
      <c r="A2101" s="388"/>
      <c r="B2101" s="388"/>
    </row>
    <row r="2102" spans="1:2" x14ac:dyDescent="0.25">
      <c r="A2102" s="388"/>
      <c r="B2102" s="388"/>
    </row>
    <row r="2103" spans="1:2" x14ac:dyDescent="0.25">
      <c r="A2103" s="388"/>
      <c r="B2103" s="388"/>
    </row>
    <row r="2104" spans="1:2" x14ac:dyDescent="0.25">
      <c r="A2104" s="388"/>
      <c r="B2104" s="388"/>
    </row>
    <row r="2105" spans="1:2" x14ac:dyDescent="0.25">
      <c r="A2105" s="388"/>
      <c r="B2105" s="388"/>
    </row>
    <row r="2106" spans="1:2" x14ac:dyDescent="0.25">
      <c r="A2106" s="388"/>
      <c r="B2106" s="388"/>
    </row>
    <row r="2107" spans="1:2" x14ac:dyDescent="0.25">
      <c r="A2107" s="388"/>
      <c r="B2107" s="388"/>
    </row>
    <row r="2108" spans="1:2" x14ac:dyDescent="0.25">
      <c r="A2108" s="388"/>
      <c r="B2108" s="388"/>
    </row>
    <row r="2109" spans="1:2" x14ac:dyDescent="0.25">
      <c r="A2109" s="388"/>
      <c r="B2109" s="388"/>
    </row>
    <row r="2110" spans="1:2" x14ac:dyDescent="0.25">
      <c r="A2110" s="388"/>
      <c r="B2110" s="388"/>
    </row>
    <row r="2111" spans="1:2" x14ac:dyDescent="0.25">
      <c r="A2111" s="388"/>
      <c r="B2111" s="388"/>
    </row>
    <row r="2112" spans="1:2" x14ac:dyDescent="0.25">
      <c r="A2112" s="388"/>
      <c r="B2112" s="388"/>
    </row>
    <row r="2113" spans="1:2" x14ac:dyDescent="0.25">
      <c r="A2113" s="388"/>
      <c r="B2113" s="388"/>
    </row>
    <row r="2114" spans="1:2" x14ac:dyDescent="0.25">
      <c r="A2114" s="388"/>
      <c r="B2114" s="388"/>
    </row>
    <row r="2115" spans="1:2" x14ac:dyDescent="0.25">
      <c r="A2115" s="388"/>
      <c r="B2115" s="388"/>
    </row>
    <row r="2116" spans="1:2" x14ac:dyDescent="0.25">
      <c r="A2116" s="388"/>
      <c r="B2116" s="388"/>
    </row>
    <row r="2117" spans="1:2" x14ac:dyDescent="0.25">
      <c r="A2117" s="388"/>
      <c r="B2117" s="388"/>
    </row>
    <row r="2118" spans="1:2" x14ac:dyDescent="0.25">
      <c r="A2118" s="388"/>
      <c r="B2118" s="388"/>
    </row>
    <row r="2119" spans="1:2" x14ac:dyDescent="0.25">
      <c r="A2119" s="388"/>
      <c r="B2119" s="388"/>
    </row>
    <row r="2120" spans="1:2" x14ac:dyDescent="0.25">
      <c r="A2120" s="388"/>
      <c r="B2120" s="388"/>
    </row>
    <row r="2121" spans="1:2" x14ac:dyDescent="0.25">
      <c r="A2121" s="388"/>
      <c r="B2121" s="388"/>
    </row>
    <row r="2122" spans="1:2" x14ac:dyDescent="0.25">
      <c r="A2122" s="388"/>
      <c r="B2122" s="388"/>
    </row>
    <row r="2123" spans="1:2" x14ac:dyDescent="0.25">
      <c r="A2123" s="388"/>
      <c r="B2123" s="388"/>
    </row>
    <row r="2124" spans="1:2" x14ac:dyDescent="0.25">
      <c r="A2124" s="388"/>
      <c r="B2124" s="388"/>
    </row>
    <row r="2125" spans="1:2" x14ac:dyDescent="0.25">
      <c r="A2125" s="388"/>
      <c r="B2125" s="388"/>
    </row>
    <row r="2126" spans="1:2" x14ac:dyDescent="0.25">
      <c r="A2126" s="388"/>
      <c r="B2126" s="388"/>
    </row>
    <row r="2127" spans="1:2" x14ac:dyDescent="0.25">
      <c r="A2127" s="388"/>
      <c r="B2127" s="388"/>
    </row>
    <row r="2128" spans="1:2" x14ac:dyDescent="0.25">
      <c r="A2128" s="388"/>
      <c r="B2128" s="388"/>
    </row>
    <row r="2129" spans="1:2" x14ac:dyDescent="0.25">
      <c r="A2129" s="388"/>
      <c r="B2129" s="388"/>
    </row>
    <row r="2130" spans="1:2" x14ac:dyDescent="0.25">
      <c r="A2130" s="388"/>
      <c r="B2130" s="388"/>
    </row>
    <row r="2131" spans="1:2" x14ac:dyDescent="0.25">
      <c r="A2131" s="388"/>
      <c r="B2131" s="388"/>
    </row>
    <row r="2132" spans="1:2" x14ac:dyDescent="0.25">
      <c r="A2132" s="388"/>
      <c r="B2132" s="388"/>
    </row>
    <row r="2133" spans="1:2" x14ac:dyDescent="0.25">
      <c r="A2133" s="388"/>
      <c r="B2133" s="388"/>
    </row>
    <row r="2134" spans="1:2" x14ac:dyDescent="0.25">
      <c r="A2134" s="388"/>
      <c r="B2134" s="388"/>
    </row>
    <row r="2135" spans="1:2" x14ac:dyDescent="0.25">
      <c r="A2135" s="388"/>
      <c r="B2135" s="388"/>
    </row>
    <row r="2136" spans="1:2" x14ac:dyDescent="0.25">
      <c r="A2136" s="388"/>
      <c r="B2136" s="388"/>
    </row>
    <row r="2137" spans="1:2" x14ac:dyDescent="0.25">
      <c r="A2137" s="388"/>
      <c r="B2137" s="388"/>
    </row>
    <row r="2138" spans="1:2" x14ac:dyDescent="0.25">
      <c r="A2138" s="388"/>
      <c r="B2138" s="388"/>
    </row>
    <row r="2139" spans="1:2" x14ac:dyDescent="0.25">
      <c r="A2139" s="388"/>
      <c r="B2139" s="388"/>
    </row>
    <row r="2140" spans="1:2" x14ac:dyDescent="0.25">
      <c r="A2140" s="388"/>
      <c r="B2140" s="388"/>
    </row>
    <row r="2141" spans="1:2" x14ac:dyDescent="0.25">
      <c r="A2141" s="388"/>
      <c r="B2141" s="388"/>
    </row>
    <row r="2142" spans="1:2" x14ac:dyDescent="0.25">
      <c r="A2142" s="388"/>
      <c r="B2142" s="388"/>
    </row>
    <row r="2143" spans="1:2" x14ac:dyDescent="0.25">
      <c r="A2143" s="388"/>
      <c r="B2143" s="388"/>
    </row>
    <row r="2144" spans="1:2" x14ac:dyDescent="0.25">
      <c r="A2144" s="388"/>
      <c r="B2144" s="388"/>
    </row>
    <row r="2145" spans="1:2" x14ac:dyDescent="0.25">
      <c r="A2145" s="388"/>
      <c r="B2145" s="388"/>
    </row>
    <row r="2146" spans="1:2" x14ac:dyDescent="0.25">
      <c r="A2146" s="388"/>
      <c r="B2146" s="388"/>
    </row>
    <row r="2147" spans="1:2" x14ac:dyDescent="0.25">
      <c r="A2147" s="388"/>
      <c r="B2147" s="388"/>
    </row>
    <row r="2148" spans="1:2" x14ac:dyDescent="0.25">
      <c r="A2148" s="388"/>
      <c r="B2148" s="388"/>
    </row>
    <row r="2149" spans="1:2" x14ac:dyDescent="0.25">
      <c r="A2149" s="388"/>
      <c r="B2149" s="388"/>
    </row>
    <row r="2150" spans="1:2" x14ac:dyDescent="0.25">
      <c r="A2150" s="388"/>
      <c r="B2150" s="388"/>
    </row>
    <row r="2151" spans="1:2" x14ac:dyDescent="0.25">
      <c r="A2151" s="388"/>
      <c r="B2151" s="388"/>
    </row>
    <row r="2152" spans="1:2" x14ac:dyDescent="0.25">
      <c r="A2152" s="388"/>
      <c r="B2152" s="388"/>
    </row>
    <row r="2153" spans="1:2" x14ac:dyDescent="0.25">
      <c r="A2153" s="388"/>
      <c r="B2153" s="388"/>
    </row>
    <row r="2154" spans="1:2" x14ac:dyDescent="0.25">
      <c r="A2154" s="388"/>
      <c r="B2154" s="388"/>
    </row>
    <row r="2155" spans="1:2" x14ac:dyDescent="0.25">
      <c r="A2155" s="388"/>
      <c r="B2155" s="388"/>
    </row>
    <row r="2156" spans="1:2" x14ac:dyDescent="0.25">
      <c r="A2156" s="388"/>
      <c r="B2156" s="388"/>
    </row>
    <row r="2157" spans="1:2" x14ac:dyDescent="0.25">
      <c r="A2157" s="388"/>
      <c r="B2157" s="388"/>
    </row>
    <row r="2158" spans="1:2" x14ac:dyDescent="0.25">
      <c r="A2158" s="388"/>
      <c r="B2158" s="388"/>
    </row>
    <row r="2159" spans="1:2" x14ac:dyDescent="0.25">
      <c r="A2159" s="388"/>
      <c r="B2159" s="388"/>
    </row>
    <row r="2160" spans="1:2" x14ac:dyDescent="0.25">
      <c r="A2160" s="388"/>
      <c r="B2160" s="388"/>
    </row>
    <row r="2161" spans="1:2" x14ac:dyDescent="0.25">
      <c r="A2161" s="388"/>
      <c r="B2161" s="388"/>
    </row>
    <row r="2162" spans="1:2" x14ac:dyDescent="0.25">
      <c r="A2162" s="388"/>
      <c r="B2162" s="388"/>
    </row>
    <row r="2163" spans="1:2" x14ac:dyDescent="0.25">
      <c r="A2163" s="388"/>
      <c r="B2163" s="388"/>
    </row>
    <row r="2164" spans="1:2" x14ac:dyDescent="0.25">
      <c r="A2164" s="388"/>
      <c r="B2164" s="388"/>
    </row>
    <row r="2165" spans="1:2" x14ac:dyDescent="0.25">
      <c r="A2165" s="388"/>
      <c r="B2165" s="388"/>
    </row>
    <row r="2166" spans="1:2" x14ac:dyDescent="0.25">
      <c r="A2166" s="388"/>
      <c r="B2166" s="388"/>
    </row>
    <row r="2167" spans="1:2" x14ac:dyDescent="0.25">
      <c r="A2167" s="388"/>
      <c r="B2167" s="388"/>
    </row>
    <row r="2168" spans="1:2" x14ac:dyDescent="0.25">
      <c r="A2168" s="388"/>
      <c r="B2168" s="388"/>
    </row>
    <row r="2169" spans="1:2" x14ac:dyDescent="0.25">
      <c r="A2169" s="388"/>
      <c r="B2169" s="388"/>
    </row>
    <row r="2170" spans="1:2" x14ac:dyDescent="0.25">
      <c r="A2170" s="388"/>
      <c r="B2170" s="388"/>
    </row>
    <row r="2171" spans="1:2" x14ac:dyDescent="0.25">
      <c r="A2171" s="388"/>
      <c r="B2171" s="388"/>
    </row>
    <row r="2172" spans="1:2" x14ac:dyDescent="0.25">
      <c r="A2172" s="388"/>
      <c r="B2172" s="388"/>
    </row>
    <row r="2173" spans="1:2" x14ac:dyDescent="0.25">
      <c r="A2173" s="388"/>
      <c r="B2173" s="388"/>
    </row>
    <row r="2174" spans="1:2" x14ac:dyDescent="0.25">
      <c r="A2174" s="388"/>
      <c r="B2174" s="388"/>
    </row>
    <row r="2175" spans="1:2" x14ac:dyDescent="0.25">
      <c r="A2175" s="388"/>
      <c r="B2175" s="388"/>
    </row>
    <row r="2176" spans="1:2" x14ac:dyDescent="0.25">
      <c r="A2176" s="388"/>
      <c r="B2176" s="388"/>
    </row>
    <row r="2177" spans="1:2" x14ac:dyDescent="0.25">
      <c r="A2177" s="388"/>
      <c r="B2177" s="388"/>
    </row>
    <row r="2178" spans="1:2" x14ac:dyDescent="0.25">
      <c r="A2178" s="388"/>
      <c r="B2178" s="388"/>
    </row>
    <row r="2179" spans="1:2" x14ac:dyDescent="0.25">
      <c r="A2179" s="388"/>
      <c r="B2179" s="388"/>
    </row>
    <row r="2180" spans="1:2" x14ac:dyDescent="0.25">
      <c r="A2180" s="388"/>
      <c r="B2180" s="388"/>
    </row>
    <row r="2181" spans="1:2" x14ac:dyDescent="0.25">
      <c r="A2181" s="388"/>
      <c r="B2181" s="388"/>
    </row>
    <row r="2182" spans="1:2" x14ac:dyDescent="0.25">
      <c r="A2182" s="388"/>
      <c r="B2182" s="388"/>
    </row>
    <row r="2183" spans="1:2" x14ac:dyDescent="0.25">
      <c r="A2183" s="388"/>
      <c r="B2183" s="388"/>
    </row>
    <row r="2184" spans="1:2" x14ac:dyDescent="0.25">
      <c r="A2184" s="388"/>
      <c r="B2184" s="388"/>
    </row>
    <row r="2185" spans="1:2" x14ac:dyDescent="0.25">
      <c r="A2185" s="388"/>
      <c r="B2185" s="388"/>
    </row>
    <row r="2186" spans="1:2" x14ac:dyDescent="0.25">
      <c r="A2186" s="388"/>
      <c r="B2186" s="388"/>
    </row>
    <row r="2187" spans="1:2" x14ac:dyDescent="0.25">
      <c r="A2187" s="388"/>
      <c r="B2187" s="388"/>
    </row>
    <row r="2188" spans="1:2" x14ac:dyDescent="0.25">
      <c r="A2188" s="388"/>
      <c r="B2188" s="388"/>
    </row>
    <row r="2189" spans="1:2" x14ac:dyDescent="0.25">
      <c r="A2189" s="388"/>
      <c r="B2189" s="388"/>
    </row>
    <row r="2190" spans="1:2" x14ac:dyDescent="0.25">
      <c r="A2190" s="388"/>
      <c r="B2190" s="388"/>
    </row>
    <row r="2191" spans="1:2" x14ac:dyDescent="0.25">
      <c r="A2191" s="388"/>
      <c r="B2191" s="388"/>
    </row>
    <row r="2192" spans="1:2" x14ac:dyDescent="0.25">
      <c r="A2192" s="388"/>
      <c r="B2192" s="388"/>
    </row>
    <row r="2193" spans="1:2" x14ac:dyDescent="0.25">
      <c r="A2193" s="388"/>
      <c r="B2193" s="388"/>
    </row>
    <row r="2194" spans="1:2" x14ac:dyDescent="0.25">
      <c r="A2194" s="388"/>
      <c r="B2194" s="388"/>
    </row>
    <row r="2195" spans="1:2" x14ac:dyDescent="0.25">
      <c r="A2195" s="388"/>
      <c r="B2195" s="388"/>
    </row>
    <row r="2196" spans="1:2" x14ac:dyDescent="0.25">
      <c r="A2196" s="388"/>
      <c r="B2196" s="388"/>
    </row>
    <row r="2197" spans="1:2" x14ac:dyDescent="0.25">
      <c r="A2197" s="388"/>
      <c r="B2197" s="388"/>
    </row>
    <row r="2198" spans="1:2" x14ac:dyDescent="0.25">
      <c r="A2198" s="388"/>
      <c r="B2198" s="388"/>
    </row>
    <row r="2199" spans="1:2" x14ac:dyDescent="0.25">
      <c r="A2199" s="388"/>
      <c r="B2199" s="388"/>
    </row>
    <row r="2200" spans="1:2" x14ac:dyDescent="0.25">
      <c r="A2200" s="388"/>
      <c r="B2200" s="388"/>
    </row>
    <row r="2201" spans="1:2" x14ac:dyDescent="0.25">
      <c r="A2201" s="388"/>
      <c r="B2201" s="388"/>
    </row>
    <row r="2202" spans="1:2" x14ac:dyDescent="0.25">
      <c r="A2202" s="388"/>
      <c r="B2202" s="388"/>
    </row>
    <row r="2203" spans="1:2" x14ac:dyDescent="0.25">
      <c r="A2203" s="388"/>
      <c r="B2203" s="388"/>
    </row>
    <row r="2204" spans="1:2" x14ac:dyDescent="0.25">
      <c r="A2204" s="388"/>
      <c r="B2204" s="388"/>
    </row>
    <row r="2205" spans="1:2" x14ac:dyDescent="0.25">
      <c r="A2205" s="388"/>
      <c r="B2205" s="388"/>
    </row>
    <row r="2206" spans="1:2" x14ac:dyDescent="0.25">
      <c r="A2206" s="388"/>
      <c r="B2206" s="388"/>
    </row>
    <row r="2207" spans="1:2" x14ac:dyDescent="0.25">
      <c r="A2207" s="388"/>
      <c r="B2207" s="388"/>
    </row>
    <row r="2208" spans="1:2" x14ac:dyDescent="0.25">
      <c r="A2208" s="388"/>
      <c r="B2208" s="388"/>
    </row>
    <row r="2209" spans="1:2" x14ac:dyDescent="0.25">
      <c r="A2209" s="388"/>
      <c r="B2209" s="388"/>
    </row>
    <row r="2210" spans="1:2" x14ac:dyDescent="0.25">
      <c r="A2210" s="388"/>
      <c r="B2210" s="388"/>
    </row>
    <row r="2211" spans="1:2" x14ac:dyDescent="0.25">
      <c r="A2211" s="388"/>
      <c r="B2211" s="388"/>
    </row>
    <row r="2212" spans="1:2" x14ac:dyDescent="0.25">
      <c r="A2212" s="388"/>
      <c r="B2212" s="388"/>
    </row>
    <row r="2213" spans="1:2" x14ac:dyDescent="0.25">
      <c r="A2213" s="388"/>
      <c r="B2213" s="388"/>
    </row>
    <row r="2214" spans="1:2" x14ac:dyDescent="0.25">
      <c r="A2214" s="388"/>
      <c r="B2214" s="388"/>
    </row>
    <row r="2215" spans="1:2" x14ac:dyDescent="0.25">
      <c r="A2215" s="388"/>
      <c r="B2215" s="388"/>
    </row>
    <row r="2216" spans="1:2" x14ac:dyDescent="0.25">
      <c r="A2216" s="388"/>
      <c r="B2216" s="388"/>
    </row>
    <row r="2217" spans="1:2" x14ac:dyDescent="0.25">
      <c r="A2217" s="388"/>
      <c r="B2217" s="388"/>
    </row>
    <row r="2218" spans="1:2" x14ac:dyDescent="0.25">
      <c r="A2218" s="388"/>
      <c r="B2218" s="388"/>
    </row>
    <row r="2219" spans="1:2" x14ac:dyDescent="0.25">
      <c r="A2219" s="388"/>
      <c r="B2219" s="388"/>
    </row>
    <row r="2220" spans="1:2" x14ac:dyDescent="0.25">
      <c r="A2220" s="388"/>
      <c r="B2220" s="388"/>
    </row>
    <row r="2221" spans="1:2" x14ac:dyDescent="0.25">
      <c r="A2221" s="388"/>
      <c r="B2221" s="388"/>
    </row>
    <row r="2222" spans="1:2" x14ac:dyDescent="0.25">
      <c r="A2222" s="388"/>
      <c r="B2222" s="388"/>
    </row>
    <row r="2223" spans="1:2" x14ac:dyDescent="0.25">
      <c r="A2223" s="388"/>
      <c r="B2223" s="388"/>
    </row>
    <row r="2224" spans="1:2" x14ac:dyDescent="0.25">
      <c r="A2224" s="388"/>
      <c r="B2224" s="388"/>
    </row>
    <row r="2225" spans="1:2" x14ac:dyDescent="0.25">
      <c r="A2225" s="388"/>
      <c r="B2225" s="388"/>
    </row>
    <row r="2226" spans="1:2" x14ac:dyDescent="0.25">
      <c r="A2226" s="388"/>
      <c r="B2226" s="388"/>
    </row>
    <row r="2227" spans="1:2" x14ac:dyDescent="0.25">
      <c r="A2227" s="388"/>
      <c r="B2227" s="388"/>
    </row>
    <row r="2228" spans="1:2" x14ac:dyDescent="0.25">
      <c r="A2228" s="388"/>
      <c r="B2228" s="388"/>
    </row>
    <row r="2229" spans="1:2" x14ac:dyDescent="0.25">
      <c r="A2229" s="388"/>
      <c r="B2229" s="388"/>
    </row>
    <row r="2230" spans="1:2" x14ac:dyDescent="0.25">
      <c r="A2230" s="388"/>
      <c r="B2230" s="388"/>
    </row>
    <row r="2231" spans="1:2" x14ac:dyDescent="0.25">
      <c r="A2231" s="388"/>
      <c r="B2231" s="388"/>
    </row>
    <row r="2232" spans="1:2" x14ac:dyDescent="0.25">
      <c r="A2232" s="388"/>
      <c r="B2232" s="388"/>
    </row>
    <row r="2233" spans="1:2" x14ac:dyDescent="0.25">
      <c r="A2233" s="388"/>
      <c r="B2233" s="388"/>
    </row>
    <row r="2234" spans="1:2" x14ac:dyDescent="0.25">
      <c r="A2234" s="388"/>
      <c r="B2234" s="388"/>
    </row>
    <row r="2235" spans="1:2" x14ac:dyDescent="0.25">
      <c r="A2235" s="388"/>
      <c r="B2235" s="388"/>
    </row>
    <row r="2236" spans="1:2" x14ac:dyDescent="0.25">
      <c r="A2236" s="388"/>
      <c r="B2236" s="388"/>
    </row>
    <row r="2237" spans="1:2" x14ac:dyDescent="0.25">
      <c r="A2237" s="388"/>
      <c r="B2237" s="388"/>
    </row>
    <row r="2238" spans="1:2" x14ac:dyDescent="0.25">
      <c r="A2238" s="388"/>
      <c r="B2238" s="388"/>
    </row>
    <row r="2239" spans="1:2" x14ac:dyDescent="0.25">
      <c r="A2239" s="388"/>
      <c r="B2239" s="388"/>
    </row>
    <row r="2240" spans="1:2" x14ac:dyDescent="0.25">
      <c r="A2240" s="388"/>
      <c r="B2240" s="388"/>
    </row>
    <row r="2241" spans="1:2" x14ac:dyDescent="0.25">
      <c r="A2241" s="388"/>
      <c r="B2241" s="388"/>
    </row>
    <row r="2242" spans="1:2" x14ac:dyDescent="0.25">
      <c r="A2242" s="388"/>
      <c r="B2242" s="388"/>
    </row>
    <row r="2243" spans="1:2" x14ac:dyDescent="0.25">
      <c r="A2243" s="388"/>
      <c r="B2243" s="388"/>
    </row>
    <row r="2244" spans="1:2" x14ac:dyDescent="0.25">
      <c r="A2244" s="388"/>
      <c r="B2244" s="388"/>
    </row>
    <row r="2245" spans="1:2" x14ac:dyDescent="0.25">
      <c r="A2245" s="388"/>
      <c r="B2245" s="388"/>
    </row>
    <row r="2246" spans="1:2" x14ac:dyDescent="0.25">
      <c r="A2246" s="388"/>
      <c r="B2246" s="388"/>
    </row>
    <row r="2247" spans="1:2" x14ac:dyDescent="0.25">
      <c r="A2247" s="388"/>
      <c r="B2247" s="388"/>
    </row>
    <row r="2248" spans="1:2" x14ac:dyDescent="0.25">
      <c r="A2248" s="388"/>
      <c r="B2248" s="388"/>
    </row>
    <row r="2249" spans="1:2" x14ac:dyDescent="0.25">
      <c r="A2249" s="388"/>
      <c r="B2249" s="388"/>
    </row>
    <row r="2250" spans="1:2" x14ac:dyDescent="0.25">
      <c r="A2250" s="388"/>
      <c r="B2250" s="388"/>
    </row>
    <row r="2251" spans="1:2" x14ac:dyDescent="0.25">
      <c r="A2251" s="388"/>
      <c r="B2251" s="388"/>
    </row>
    <row r="2252" spans="1:2" x14ac:dyDescent="0.25">
      <c r="A2252" s="388"/>
      <c r="B2252" s="388"/>
    </row>
    <row r="2253" spans="1:2" x14ac:dyDescent="0.25">
      <c r="A2253" s="388"/>
      <c r="B2253" s="388"/>
    </row>
    <row r="2254" spans="1:2" x14ac:dyDescent="0.25">
      <c r="A2254" s="388"/>
      <c r="B2254" s="388"/>
    </row>
    <row r="2255" spans="1:2" x14ac:dyDescent="0.25">
      <c r="A2255" s="388"/>
      <c r="B2255" s="388"/>
    </row>
    <row r="2256" spans="1:2" x14ac:dyDescent="0.25">
      <c r="A2256" s="388"/>
      <c r="B2256" s="388"/>
    </row>
    <row r="2257" spans="1:2" x14ac:dyDescent="0.25">
      <c r="A2257" s="388"/>
      <c r="B2257" s="388"/>
    </row>
    <row r="2258" spans="1:2" x14ac:dyDescent="0.25">
      <c r="A2258" s="388"/>
      <c r="B2258" s="388"/>
    </row>
    <row r="2259" spans="1:2" x14ac:dyDescent="0.25">
      <c r="A2259" s="388"/>
      <c r="B2259" s="388"/>
    </row>
    <row r="2260" spans="1:2" x14ac:dyDescent="0.25">
      <c r="A2260" s="388"/>
      <c r="B2260" s="388"/>
    </row>
    <row r="2261" spans="1:2" x14ac:dyDescent="0.25">
      <c r="A2261" s="388"/>
      <c r="B2261" s="388"/>
    </row>
    <row r="2262" spans="1:2" x14ac:dyDescent="0.25">
      <c r="A2262" s="388"/>
      <c r="B2262" s="388"/>
    </row>
    <row r="2263" spans="1:2" x14ac:dyDescent="0.25">
      <c r="A2263" s="388"/>
      <c r="B2263" s="388"/>
    </row>
    <row r="2264" spans="1:2" x14ac:dyDescent="0.25">
      <c r="A2264" s="388"/>
      <c r="B2264" s="388"/>
    </row>
    <row r="2265" spans="1:2" x14ac:dyDescent="0.25">
      <c r="A2265" s="388"/>
      <c r="B2265" s="388"/>
    </row>
    <row r="2266" spans="1:2" x14ac:dyDescent="0.25">
      <c r="A2266" s="388"/>
      <c r="B2266" s="388"/>
    </row>
    <row r="2267" spans="1:2" x14ac:dyDescent="0.25">
      <c r="A2267" s="388"/>
      <c r="B2267" s="388"/>
    </row>
    <row r="2268" spans="1:2" x14ac:dyDescent="0.25">
      <c r="A2268" s="388"/>
      <c r="B2268" s="388"/>
    </row>
    <row r="2269" spans="1:2" x14ac:dyDescent="0.25">
      <c r="A2269" s="388"/>
      <c r="B2269" s="388"/>
    </row>
    <row r="2270" spans="1:2" x14ac:dyDescent="0.25">
      <c r="A2270" s="388"/>
      <c r="B2270" s="388"/>
    </row>
    <row r="2271" spans="1:2" x14ac:dyDescent="0.25">
      <c r="A2271" s="388"/>
      <c r="B2271" s="388"/>
    </row>
    <row r="2272" spans="1:2" x14ac:dyDescent="0.25">
      <c r="A2272" s="388"/>
      <c r="B2272" s="388"/>
    </row>
    <row r="2273" spans="1:2" x14ac:dyDescent="0.25">
      <c r="A2273" s="388"/>
      <c r="B2273" s="388"/>
    </row>
    <row r="2274" spans="1:2" x14ac:dyDescent="0.25">
      <c r="A2274" s="388"/>
      <c r="B2274" s="388"/>
    </row>
    <row r="2275" spans="1:2" x14ac:dyDescent="0.25">
      <c r="A2275" s="388"/>
      <c r="B2275" s="388"/>
    </row>
    <row r="2276" spans="1:2" x14ac:dyDescent="0.25">
      <c r="A2276" s="388"/>
      <c r="B2276" s="388"/>
    </row>
    <row r="2277" spans="1:2" x14ac:dyDescent="0.25">
      <c r="A2277" s="388"/>
      <c r="B2277" s="388"/>
    </row>
    <row r="2278" spans="1:2" x14ac:dyDescent="0.25">
      <c r="A2278" s="388"/>
      <c r="B2278" s="388"/>
    </row>
    <row r="2279" spans="1:2" x14ac:dyDescent="0.25">
      <c r="A2279" s="388"/>
      <c r="B2279" s="388"/>
    </row>
    <row r="2280" spans="1:2" x14ac:dyDescent="0.25">
      <c r="A2280" s="388"/>
      <c r="B2280" s="388"/>
    </row>
    <row r="2281" spans="1:2" x14ac:dyDescent="0.25">
      <c r="A2281" s="388"/>
      <c r="B2281" s="388"/>
    </row>
    <row r="2282" spans="1:2" x14ac:dyDescent="0.25">
      <c r="A2282" s="388"/>
      <c r="B2282" s="388"/>
    </row>
    <row r="2283" spans="1:2" x14ac:dyDescent="0.25">
      <c r="A2283" s="388"/>
      <c r="B2283" s="388"/>
    </row>
    <row r="2284" spans="1:2" x14ac:dyDescent="0.25">
      <c r="A2284" s="388"/>
      <c r="B2284" s="388"/>
    </row>
    <row r="2285" spans="1:2" x14ac:dyDescent="0.25">
      <c r="A2285" s="388"/>
      <c r="B2285" s="388"/>
    </row>
    <row r="2286" spans="1:2" x14ac:dyDescent="0.25">
      <c r="A2286" s="388"/>
      <c r="B2286" s="388"/>
    </row>
    <row r="2287" spans="1:2" x14ac:dyDescent="0.25">
      <c r="A2287" s="388"/>
      <c r="B2287" s="388"/>
    </row>
    <row r="2288" spans="1:2" x14ac:dyDescent="0.25">
      <c r="A2288" s="388"/>
      <c r="B2288" s="388"/>
    </row>
    <row r="2289" spans="1:2" x14ac:dyDescent="0.25">
      <c r="A2289" s="388"/>
      <c r="B2289" s="388"/>
    </row>
    <row r="2290" spans="1:2" x14ac:dyDescent="0.25">
      <c r="A2290" s="388"/>
      <c r="B2290" s="388"/>
    </row>
    <row r="2291" spans="1:2" x14ac:dyDescent="0.25">
      <c r="A2291" s="388"/>
      <c r="B2291" s="388"/>
    </row>
    <row r="2292" spans="1:2" x14ac:dyDescent="0.25">
      <c r="A2292" s="388"/>
      <c r="B2292" s="388"/>
    </row>
    <row r="2293" spans="1:2" x14ac:dyDescent="0.25">
      <c r="A2293" s="388"/>
      <c r="B2293" s="388"/>
    </row>
    <row r="2294" spans="1:2" x14ac:dyDescent="0.25">
      <c r="A2294" s="388"/>
      <c r="B2294" s="388"/>
    </row>
    <row r="2295" spans="1:2" x14ac:dyDescent="0.25">
      <c r="A2295" s="388"/>
      <c r="B2295" s="388"/>
    </row>
    <row r="2296" spans="1:2" x14ac:dyDescent="0.25">
      <c r="A2296" s="388"/>
      <c r="B2296" s="388"/>
    </row>
    <row r="2297" spans="1:2" x14ac:dyDescent="0.25">
      <c r="A2297" s="388"/>
      <c r="B2297" s="388"/>
    </row>
    <row r="2298" spans="1:2" x14ac:dyDescent="0.25">
      <c r="A2298" s="388"/>
      <c r="B2298" s="388"/>
    </row>
    <row r="2299" spans="1:2" x14ac:dyDescent="0.25">
      <c r="A2299" s="388"/>
      <c r="B2299" s="388"/>
    </row>
    <row r="2300" spans="1:2" x14ac:dyDescent="0.25">
      <c r="A2300" s="388"/>
      <c r="B2300" s="388"/>
    </row>
    <row r="2301" spans="1:2" x14ac:dyDescent="0.25">
      <c r="A2301" s="388"/>
      <c r="B2301" s="388"/>
    </row>
    <row r="2302" spans="1:2" x14ac:dyDescent="0.25">
      <c r="A2302" s="388"/>
      <c r="B2302" s="388"/>
    </row>
    <row r="2303" spans="1:2" x14ac:dyDescent="0.25">
      <c r="A2303" s="388"/>
      <c r="B2303" s="388"/>
    </row>
    <row r="2304" spans="1:2" x14ac:dyDescent="0.25">
      <c r="A2304" s="388"/>
      <c r="B2304" s="388"/>
    </row>
    <row r="2305" spans="1:2" x14ac:dyDescent="0.25">
      <c r="A2305" s="388"/>
      <c r="B2305" s="388"/>
    </row>
    <row r="2306" spans="1:2" x14ac:dyDescent="0.25">
      <c r="A2306" s="388"/>
      <c r="B2306" s="388"/>
    </row>
    <row r="2307" spans="1:2" x14ac:dyDescent="0.25">
      <c r="A2307" s="388"/>
      <c r="B2307" s="388"/>
    </row>
    <row r="2308" spans="1:2" x14ac:dyDescent="0.25">
      <c r="A2308" s="388"/>
      <c r="B2308" s="388"/>
    </row>
    <row r="2309" spans="1:2" x14ac:dyDescent="0.25">
      <c r="A2309" s="388"/>
      <c r="B2309" s="388"/>
    </row>
    <row r="2310" spans="1:2" x14ac:dyDescent="0.25">
      <c r="A2310" s="388"/>
      <c r="B2310" s="388"/>
    </row>
    <row r="2311" spans="1:2" x14ac:dyDescent="0.25">
      <c r="A2311" s="388"/>
      <c r="B2311" s="388"/>
    </row>
    <row r="2312" spans="1:2" x14ac:dyDescent="0.25">
      <c r="A2312" s="388"/>
      <c r="B2312" s="388"/>
    </row>
    <row r="2313" spans="1:2" x14ac:dyDescent="0.25">
      <c r="A2313" s="388"/>
      <c r="B2313" s="388"/>
    </row>
    <row r="2314" spans="1:2" x14ac:dyDescent="0.25">
      <c r="A2314" s="388"/>
      <c r="B2314" s="388"/>
    </row>
    <row r="2315" spans="1:2" x14ac:dyDescent="0.25">
      <c r="A2315" s="388"/>
      <c r="B2315" s="388"/>
    </row>
    <row r="2316" spans="1:2" x14ac:dyDescent="0.25">
      <c r="A2316" s="388"/>
      <c r="B2316" s="388"/>
    </row>
    <row r="2317" spans="1:2" x14ac:dyDescent="0.25">
      <c r="A2317" s="388"/>
      <c r="B2317" s="388"/>
    </row>
    <row r="2318" spans="1:2" x14ac:dyDescent="0.25">
      <c r="A2318" s="388"/>
      <c r="B2318" s="388"/>
    </row>
    <row r="2319" spans="1:2" x14ac:dyDescent="0.25">
      <c r="A2319" s="388"/>
      <c r="B2319" s="388"/>
    </row>
    <row r="2320" spans="1:2" x14ac:dyDescent="0.25">
      <c r="A2320" s="388"/>
      <c r="B2320" s="388"/>
    </row>
    <row r="2321" spans="1:2" x14ac:dyDescent="0.25">
      <c r="A2321" s="388"/>
      <c r="B2321" s="388"/>
    </row>
    <row r="2322" spans="1:2" x14ac:dyDescent="0.25">
      <c r="A2322" s="388"/>
      <c r="B2322" s="388"/>
    </row>
    <row r="2323" spans="1:2" x14ac:dyDescent="0.25">
      <c r="A2323" s="388"/>
      <c r="B2323" s="388"/>
    </row>
    <row r="2324" spans="1:2" x14ac:dyDescent="0.25">
      <c r="A2324" s="388"/>
      <c r="B2324" s="388"/>
    </row>
    <row r="2325" spans="1:2" x14ac:dyDescent="0.25">
      <c r="A2325" s="388"/>
      <c r="B2325" s="388"/>
    </row>
    <row r="2326" spans="1:2" x14ac:dyDescent="0.25">
      <c r="A2326" s="388"/>
      <c r="B2326" s="388"/>
    </row>
    <row r="2327" spans="1:2" x14ac:dyDescent="0.25">
      <c r="A2327" s="388"/>
      <c r="B2327" s="388"/>
    </row>
    <row r="2328" spans="1:2" x14ac:dyDescent="0.25">
      <c r="A2328" s="388"/>
      <c r="B2328" s="388"/>
    </row>
    <row r="2329" spans="1:2" x14ac:dyDescent="0.25">
      <c r="A2329" s="388"/>
      <c r="B2329" s="388"/>
    </row>
    <row r="2330" spans="1:2" x14ac:dyDescent="0.25">
      <c r="A2330" s="388"/>
      <c r="B2330" s="388"/>
    </row>
    <row r="2331" spans="1:2" x14ac:dyDescent="0.25">
      <c r="A2331" s="388"/>
      <c r="B2331" s="388"/>
    </row>
    <row r="2332" spans="1:2" x14ac:dyDescent="0.25">
      <c r="A2332" s="388"/>
      <c r="B2332" s="388"/>
    </row>
    <row r="2333" spans="1:2" x14ac:dyDescent="0.25">
      <c r="A2333" s="388"/>
      <c r="B2333" s="388"/>
    </row>
    <row r="2334" spans="1:2" x14ac:dyDescent="0.25">
      <c r="A2334" s="388"/>
      <c r="B2334" s="388"/>
    </row>
    <row r="2335" spans="1:2" x14ac:dyDescent="0.25">
      <c r="A2335" s="388"/>
      <c r="B2335" s="388"/>
    </row>
    <row r="2336" spans="1:2" x14ac:dyDescent="0.25">
      <c r="A2336" s="388"/>
      <c r="B2336" s="388"/>
    </row>
    <row r="2337" spans="1:2" x14ac:dyDescent="0.25">
      <c r="A2337" s="388"/>
      <c r="B2337" s="388"/>
    </row>
    <row r="2338" spans="1:2" x14ac:dyDescent="0.25">
      <c r="A2338" s="388"/>
      <c r="B2338" s="388"/>
    </row>
    <row r="2339" spans="1:2" x14ac:dyDescent="0.25">
      <c r="A2339" s="388"/>
      <c r="B2339" s="388"/>
    </row>
    <row r="2340" spans="1:2" x14ac:dyDescent="0.25">
      <c r="A2340" s="388"/>
      <c r="B2340" s="388"/>
    </row>
    <row r="2341" spans="1:2" x14ac:dyDescent="0.25">
      <c r="A2341" s="388"/>
      <c r="B2341" s="388"/>
    </row>
    <row r="2342" spans="1:2" x14ac:dyDescent="0.25">
      <c r="A2342" s="388"/>
      <c r="B2342" s="388"/>
    </row>
    <row r="2343" spans="1:2" x14ac:dyDescent="0.25">
      <c r="A2343" s="388"/>
      <c r="B2343" s="388"/>
    </row>
    <row r="2344" spans="1:2" x14ac:dyDescent="0.25">
      <c r="A2344" s="388"/>
      <c r="B2344" s="388"/>
    </row>
    <row r="2345" spans="1:2" x14ac:dyDescent="0.25">
      <c r="A2345" s="388"/>
      <c r="B2345" s="388"/>
    </row>
    <row r="2346" spans="1:2" x14ac:dyDescent="0.25">
      <c r="A2346" s="388"/>
      <c r="B2346" s="388"/>
    </row>
    <row r="2347" spans="1:2" x14ac:dyDescent="0.25">
      <c r="A2347" s="388"/>
      <c r="B2347" s="388"/>
    </row>
    <row r="2348" spans="1:2" x14ac:dyDescent="0.25">
      <c r="A2348" s="388"/>
      <c r="B2348" s="388"/>
    </row>
    <row r="2349" spans="1:2" x14ac:dyDescent="0.25">
      <c r="A2349" s="388"/>
      <c r="B2349" s="388"/>
    </row>
    <row r="2350" spans="1:2" x14ac:dyDescent="0.25">
      <c r="A2350" s="388"/>
      <c r="B2350" s="388"/>
    </row>
    <row r="2351" spans="1:2" x14ac:dyDescent="0.25">
      <c r="A2351" s="388"/>
      <c r="B2351" s="388"/>
    </row>
    <row r="2352" spans="1:2" x14ac:dyDescent="0.25">
      <c r="A2352" s="388"/>
      <c r="B2352" s="388"/>
    </row>
    <row r="2353" spans="1:2" x14ac:dyDescent="0.25">
      <c r="A2353" s="388"/>
      <c r="B2353" s="388"/>
    </row>
    <row r="2354" spans="1:2" x14ac:dyDescent="0.25">
      <c r="A2354" s="388"/>
      <c r="B2354" s="388"/>
    </row>
    <row r="2355" spans="1:2" x14ac:dyDescent="0.25">
      <c r="A2355" s="388"/>
      <c r="B2355" s="388"/>
    </row>
    <row r="2356" spans="1:2" x14ac:dyDescent="0.25">
      <c r="A2356" s="388"/>
      <c r="B2356" s="388"/>
    </row>
    <row r="2357" spans="1:2" x14ac:dyDescent="0.25">
      <c r="A2357" s="388"/>
      <c r="B2357" s="388"/>
    </row>
    <row r="2358" spans="1:2" x14ac:dyDescent="0.25">
      <c r="A2358" s="388"/>
      <c r="B2358" s="388"/>
    </row>
    <row r="2359" spans="1:2" x14ac:dyDescent="0.25">
      <c r="A2359" s="388"/>
      <c r="B2359" s="388"/>
    </row>
    <row r="2360" spans="1:2" x14ac:dyDescent="0.25">
      <c r="A2360" s="388"/>
      <c r="B2360" s="388"/>
    </row>
    <row r="2361" spans="1:2" x14ac:dyDescent="0.25">
      <c r="A2361" s="388"/>
      <c r="B2361" s="388"/>
    </row>
    <row r="2362" spans="1:2" x14ac:dyDescent="0.25">
      <c r="A2362" s="388"/>
      <c r="B2362" s="388"/>
    </row>
    <row r="2363" spans="1:2" x14ac:dyDescent="0.25">
      <c r="A2363" s="388"/>
      <c r="B2363" s="388"/>
    </row>
    <row r="2364" spans="1:2" x14ac:dyDescent="0.25">
      <c r="A2364" s="388"/>
      <c r="B2364" s="388"/>
    </row>
    <row r="2365" spans="1:2" x14ac:dyDescent="0.25">
      <c r="A2365" s="388"/>
      <c r="B2365" s="388"/>
    </row>
    <row r="2366" spans="1:2" x14ac:dyDescent="0.25">
      <c r="A2366" s="388"/>
      <c r="B2366" s="388"/>
    </row>
    <row r="2367" spans="1:2" x14ac:dyDescent="0.25">
      <c r="A2367" s="388"/>
      <c r="B2367" s="388"/>
    </row>
    <row r="2368" spans="1:2" x14ac:dyDescent="0.25">
      <c r="A2368" s="388"/>
      <c r="B2368" s="388"/>
    </row>
    <row r="2369" spans="1:2" x14ac:dyDescent="0.25">
      <c r="A2369" s="388"/>
      <c r="B2369" s="388"/>
    </row>
    <row r="2370" spans="1:2" x14ac:dyDescent="0.25">
      <c r="A2370" s="388"/>
      <c r="B2370" s="388"/>
    </row>
    <row r="2371" spans="1:2" x14ac:dyDescent="0.25">
      <c r="A2371" s="388"/>
      <c r="B2371" s="388"/>
    </row>
    <row r="2372" spans="1:2" x14ac:dyDescent="0.25">
      <c r="A2372" s="388"/>
      <c r="B2372" s="388"/>
    </row>
    <row r="2373" spans="1:2" x14ac:dyDescent="0.25">
      <c r="A2373" s="388"/>
      <c r="B2373" s="388"/>
    </row>
    <row r="2374" spans="1:2" x14ac:dyDescent="0.25">
      <c r="A2374" s="388"/>
      <c r="B2374" s="388"/>
    </row>
    <row r="2375" spans="1:2" x14ac:dyDescent="0.25">
      <c r="A2375" s="388"/>
      <c r="B2375" s="388"/>
    </row>
    <row r="2376" spans="1:2" x14ac:dyDescent="0.25">
      <c r="A2376" s="388"/>
      <c r="B2376" s="388"/>
    </row>
    <row r="2377" spans="1:2" x14ac:dyDescent="0.25">
      <c r="A2377" s="388"/>
      <c r="B2377" s="388"/>
    </row>
    <row r="2378" spans="1:2" x14ac:dyDescent="0.25">
      <c r="A2378" s="388"/>
      <c r="B2378" s="388"/>
    </row>
    <row r="2379" spans="1:2" x14ac:dyDescent="0.25">
      <c r="A2379" s="388"/>
      <c r="B2379" s="388"/>
    </row>
    <row r="2380" spans="1:2" x14ac:dyDescent="0.25">
      <c r="A2380" s="388"/>
      <c r="B2380" s="388"/>
    </row>
    <row r="2381" spans="1:2" x14ac:dyDescent="0.25">
      <c r="A2381" s="388"/>
      <c r="B2381" s="388"/>
    </row>
    <row r="2382" spans="1:2" x14ac:dyDescent="0.25">
      <c r="A2382" s="388"/>
      <c r="B2382" s="388"/>
    </row>
    <row r="2383" spans="1:2" x14ac:dyDescent="0.25">
      <c r="A2383" s="388"/>
      <c r="B2383" s="388"/>
    </row>
    <row r="2384" spans="1:2" x14ac:dyDescent="0.25">
      <c r="A2384" s="388"/>
      <c r="B2384" s="388"/>
    </row>
    <row r="2385" spans="1:2" x14ac:dyDescent="0.25">
      <c r="A2385" s="388"/>
      <c r="B2385" s="388"/>
    </row>
    <row r="2386" spans="1:2" x14ac:dyDescent="0.25">
      <c r="A2386" s="388"/>
      <c r="B2386" s="388"/>
    </row>
    <row r="2387" spans="1:2" x14ac:dyDescent="0.25">
      <c r="A2387" s="388"/>
      <c r="B2387" s="388"/>
    </row>
    <row r="2388" spans="1:2" x14ac:dyDescent="0.25">
      <c r="A2388" s="388"/>
      <c r="B2388" s="388"/>
    </row>
    <row r="2389" spans="1:2" x14ac:dyDescent="0.25">
      <c r="A2389" s="388"/>
      <c r="B2389" s="388"/>
    </row>
    <row r="2390" spans="1:2" x14ac:dyDescent="0.25">
      <c r="A2390" s="388"/>
      <c r="B2390" s="388"/>
    </row>
    <row r="2391" spans="1:2" x14ac:dyDescent="0.25">
      <c r="A2391" s="388"/>
      <c r="B2391" s="388"/>
    </row>
    <row r="2392" spans="1:2" x14ac:dyDescent="0.25">
      <c r="A2392" s="388"/>
      <c r="B2392" s="388"/>
    </row>
    <row r="2393" spans="1:2" x14ac:dyDescent="0.25">
      <c r="A2393" s="388"/>
      <c r="B2393" s="388"/>
    </row>
    <row r="2394" spans="1:2" x14ac:dyDescent="0.25">
      <c r="A2394" s="388"/>
      <c r="B2394" s="388"/>
    </row>
    <row r="2395" spans="1:2" x14ac:dyDescent="0.25">
      <c r="A2395" s="388"/>
      <c r="B2395" s="388"/>
    </row>
    <row r="2396" spans="1:2" x14ac:dyDescent="0.25">
      <c r="A2396" s="388"/>
      <c r="B2396" s="388"/>
    </row>
    <row r="2397" spans="1:2" x14ac:dyDescent="0.25">
      <c r="A2397" s="388"/>
      <c r="B2397" s="388"/>
    </row>
    <row r="2398" spans="1:2" x14ac:dyDescent="0.25">
      <c r="A2398" s="388"/>
      <c r="B2398" s="388"/>
    </row>
    <row r="2399" spans="1:2" x14ac:dyDescent="0.25">
      <c r="A2399" s="388"/>
      <c r="B2399" s="388"/>
    </row>
    <row r="2400" spans="1:2" x14ac:dyDescent="0.25">
      <c r="A2400" s="388"/>
      <c r="B2400" s="388"/>
    </row>
    <row r="2401" spans="1:2" x14ac:dyDescent="0.25">
      <c r="A2401" s="388"/>
      <c r="B2401" s="388"/>
    </row>
    <row r="2402" spans="1:2" x14ac:dyDescent="0.25">
      <c r="A2402" s="388"/>
      <c r="B2402" s="388"/>
    </row>
    <row r="2403" spans="1:2" x14ac:dyDescent="0.25">
      <c r="A2403" s="388"/>
      <c r="B2403" s="388"/>
    </row>
    <row r="2404" spans="1:2" x14ac:dyDescent="0.25">
      <c r="A2404" s="388"/>
      <c r="B2404" s="388"/>
    </row>
    <row r="2405" spans="1:2" x14ac:dyDescent="0.25">
      <c r="A2405" s="388"/>
      <c r="B2405" s="388"/>
    </row>
    <row r="2406" spans="1:2" x14ac:dyDescent="0.25">
      <c r="A2406" s="388"/>
      <c r="B2406" s="388"/>
    </row>
    <row r="2407" spans="1:2" x14ac:dyDescent="0.25">
      <c r="A2407" s="388"/>
      <c r="B2407" s="388"/>
    </row>
    <row r="2408" spans="1:2" x14ac:dyDescent="0.25">
      <c r="A2408" s="388"/>
      <c r="B2408" s="388"/>
    </row>
    <row r="2409" spans="1:2" x14ac:dyDescent="0.25">
      <c r="A2409" s="388"/>
      <c r="B2409" s="388"/>
    </row>
    <row r="2410" spans="1:2" x14ac:dyDescent="0.25">
      <c r="A2410" s="388"/>
      <c r="B2410" s="388"/>
    </row>
    <row r="2411" spans="1:2" x14ac:dyDescent="0.25">
      <c r="A2411" s="388"/>
      <c r="B2411" s="388"/>
    </row>
    <row r="2412" spans="1:2" x14ac:dyDescent="0.25">
      <c r="A2412" s="388"/>
      <c r="B2412" s="388"/>
    </row>
    <row r="2413" spans="1:2" x14ac:dyDescent="0.25">
      <c r="A2413" s="388"/>
      <c r="B2413" s="388"/>
    </row>
    <row r="2414" spans="1:2" x14ac:dyDescent="0.25">
      <c r="A2414" s="388"/>
      <c r="B2414" s="388"/>
    </row>
    <row r="2415" spans="1:2" x14ac:dyDescent="0.25">
      <c r="A2415" s="388"/>
      <c r="B2415" s="388"/>
    </row>
    <row r="2416" spans="1:2" x14ac:dyDescent="0.25">
      <c r="A2416" s="388"/>
      <c r="B2416" s="388"/>
    </row>
    <row r="2417" spans="1:2" x14ac:dyDescent="0.25">
      <c r="A2417" s="388"/>
      <c r="B2417" s="388"/>
    </row>
    <row r="2418" spans="1:2" x14ac:dyDescent="0.25">
      <c r="A2418" s="388"/>
      <c r="B2418" s="388"/>
    </row>
    <row r="2419" spans="1:2" x14ac:dyDescent="0.25">
      <c r="A2419" s="388"/>
      <c r="B2419" s="388"/>
    </row>
    <row r="2420" spans="1:2" x14ac:dyDescent="0.25">
      <c r="A2420" s="388"/>
      <c r="B2420" s="388"/>
    </row>
    <row r="2421" spans="1:2" x14ac:dyDescent="0.25">
      <c r="A2421" s="388"/>
      <c r="B2421" s="388"/>
    </row>
    <row r="2422" spans="1:2" x14ac:dyDescent="0.25">
      <c r="A2422" s="388"/>
      <c r="B2422" s="388"/>
    </row>
    <row r="2423" spans="1:2" x14ac:dyDescent="0.25">
      <c r="A2423" s="388"/>
      <c r="B2423" s="388"/>
    </row>
    <row r="2424" spans="1:2" x14ac:dyDescent="0.25">
      <c r="A2424" s="388"/>
      <c r="B2424" s="388"/>
    </row>
    <row r="2425" spans="1:2" x14ac:dyDescent="0.25">
      <c r="A2425" s="388"/>
      <c r="B2425" s="388"/>
    </row>
    <row r="2426" spans="1:2" x14ac:dyDescent="0.25">
      <c r="A2426" s="388"/>
      <c r="B2426" s="388"/>
    </row>
    <row r="2427" spans="1:2" x14ac:dyDescent="0.25">
      <c r="A2427" s="388"/>
      <c r="B2427" s="388"/>
    </row>
    <row r="2428" spans="1:2" x14ac:dyDescent="0.25">
      <c r="A2428" s="388"/>
      <c r="B2428" s="388"/>
    </row>
    <row r="2429" spans="1:2" x14ac:dyDescent="0.25">
      <c r="A2429" s="388"/>
      <c r="B2429" s="388"/>
    </row>
    <row r="2430" spans="1:2" x14ac:dyDescent="0.25">
      <c r="A2430" s="388"/>
      <c r="B2430" s="388"/>
    </row>
    <row r="2431" spans="1:2" x14ac:dyDescent="0.25">
      <c r="A2431" s="388"/>
      <c r="B2431" s="388"/>
    </row>
    <row r="2432" spans="1:2" x14ac:dyDescent="0.25">
      <c r="A2432" s="388"/>
      <c r="B2432" s="388"/>
    </row>
    <row r="2433" spans="1:2" x14ac:dyDescent="0.25">
      <c r="A2433" s="388"/>
      <c r="B2433" s="388"/>
    </row>
    <row r="2434" spans="1:2" x14ac:dyDescent="0.25">
      <c r="A2434" s="388"/>
      <c r="B2434" s="388"/>
    </row>
    <row r="2435" spans="1:2" x14ac:dyDescent="0.25">
      <c r="A2435" s="388"/>
      <c r="B2435" s="388"/>
    </row>
    <row r="2436" spans="1:2" x14ac:dyDescent="0.25">
      <c r="A2436" s="388"/>
      <c r="B2436" s="388"/>
    </row>
    <row r="2437" spans="1:2" x14ac:dyDescent="0.25">
      <c r="A2437" s="388"/>
      <c r="B2437" s="388"/>
    </row>
    <row r="2438" spans="1:2" x14ac:dyDescent="0.25">
      <c r="A2438" s="388"/>
      <c r="B2438" s="388"/>
    </row>
    <row r="2439" spans="1:2" x14ac:dyDescent="0.25">
      <c r="A2439" s="388"/>
      <c r="B2439" s="388"/>
    </row>
    <row r="2440" spans="1:2" x14ac:dyDescent="0.25">
      <c r="A2440" s="388"/>
      <c r="B2440" s="388"/>
    </row>
    <row r="2441" spans="1:2" x14ac:dyDescent="0.25">
      <c r="A2441" s="388"/>
      <c r="B2441" s="388"/>
    </row>
    <row r="2442" spans="1:2" x14ac:dyDescent="0.25">
      <c r="A2442" s="388"/>
      <c r="B2442" s="388"/>
    </row>
    <row r="2443" spans="1:2" x14ac:dyDescent="0.25">
      <c r="A2443" s="388"/>
      <c r="B2443" s="388"/>
    </row>
    <row r="2444" spans="1:2" x14ac:dyDescent="0.25">
      <c r="A2444" s="388"/>
      <c r="B2444" s="388"/>
    </row>
    <row r="2445" spans="1:2" x14ac:dyDescent="0.25">
      <c r="A2445" s="388"/>
      <c r="B2445" s="388"/>
    </row>
    <row r="2446" spans="1:2" x14ac:dyDescent="0.25">
      <c r="A2446" s="388"/>
      <c r="B2446" s="388"/>
    </row>
    <row r="2447" spans="1:2" x14ac:dyDescent="0.25">
      <c r="A2447" s="388"/>
      <c r="B2447" s="388"/>
    </row>
    <row r="2448" spans="1:2" x14ac:dyDescent="0.25">
      <c r="A2448" s="388"/>
      <c r="B2448" s="388"/>
    </row>
    <row r="2449" spans="1:2" x14ac:dyDescent="0.25">
      <c r="A2449" s="388"/>
      <c r="B2449" s="388"/>
    </row>
    <row r="2450" spans="1:2" x14ac:dyDescent="0.25">
      <c r="A2450" s="388"/>
      <c r="B2450" s="388"/>
    </row>
    <row r="2451" spans="1:2" x14ac:dyDescent="0.25">
      <c r="A2451" s="388"/>
      <c r="B2451" s="388"/>
    </row>
    <row r="2452" spans="1:2" x14ac:dyDescent="0.25">
      <c r="A2452" s="388"/>
      <c r="B2452" s="388"/>
    </row>
    <row r="2453" spans="1:2" x14ac:dyDescent="0.25">
      <c r="A2453" s="388"/>
      <c r="B2453" s="388"/>
    </row>
    <row r="2454" spans="1:2" x14ac:dyDescent="0.25">
      <c r="A2454" s="388"/>
      <c r="B2454" s="388"/>
    </row>
    <row r="2455" spans="1:2" x14ac:dyDescent="0.25">
      <c r="A2455" s="388"/>
      <c r="B2455" s="388"/>
    </row>
    <row r="2456" spans="1:2" x14ac:dyDescent="0.25">
      <c r="A2456" s="388"/>
      <c r="B2456" s="388"/>
    </row>
    <row r="2457" spans="1:2" x14ac:dyDescent="0.25">
      <c r="A2457" s="388"/>
      <c r="B2457" s="388"/>
    </row>
    <row r="2458" spans="1:2" x14ac:dyDescent="0.25">
      <c r="A2458" s="388"/>
      <c r="B2458" s="388"/>
    </row>
    <row r="2459" spans="1:2" x14ac:dyDescent="0.25">
      <c r="A2459" s="388"/>
      <c r="B2459" s="388"/>
    </row>
    <row r="2460" spans="1:2" x14ac:dyDescent="0.25">
      <c r="A2460" s="388"/>
      <c r="B2460" s="388"/>
    </row>
    <row r="2461" spans="1:2" x14ac:dyDescent="0.25">
      <c r="A2461" s="388"/>
      <c r="B2461" s="388"/>
    </row>
    <row r="2462" spans="1:2" x14ac:dyDescent="0.25">
      <c r="A2462" s="388"/>
      <c r="B2462" s="388"/>
    </row>
    <row r="2463" spans="1:2" x14ac:dyDescent="0.25">
      <c r="A2463" s="388"/>
      <c r="B2463" s="388"/>
    </row>
    <row r="2464" spans="1:2" x14ac:dyDescent="0.25">
      <c r="A2464" s="388"/>
      <c r="B2464" s="388"/>
    </row>
    <row r="2465" spans="1:2" x14ac:dyDescent="0.25">
      <c r="A2465" s="388"/>
      <c r="B2465" s="388"/>
    </row>
    <row r="2466" spans="1:2" x14ac:dyDescent="0.25">
      <c r="A2466" s="388"/>
      <c r="B2466" s="388"/>
    </row>
    <row r="2467" spans="1:2" x14ac:dyDescent="0.25">
      <c r="A2467" s="388"/>
      <c r="B2467" s="388"/>
    </row>
    <row r="2468" spans="1:2" x14ac:dyDescent="0.25">
      <c r="A2468" s="388"/>
      <c r="B2468" s="388"/>
    </row>
    <row r="2469" spans="1:2" x14ac:dyDescent="0.25">
      <c r="A2469" s="388"/>
      <c r="B2469" s="388"/>
    </row>
    <row r="2470" spans="1:2" x14ac:dyDescent="0.25">
      <c r="A2470" s="388"/>
      <c r="B2470" s="388"/>
    </row>
    <row r="2471" spans="1:2" x14ac:dyDescent="0.25">
      <c r="A2471" s="388"/>
      <c r="B2471" s="388"/>
    </row>
    <row r="2472" spans="1:2" x14ac:dyDescent="0.25">
      <c r="A2472" s="388"/>
      <c r="B2472" s="388"/>
    </row>
    <row r="2473" spans="1:2" x14ac:dyDescent="0.25">
      <c r="A2473" s="388"/>
      <c r="B2473" s="388"/>
    </row>
    <row r="2474" spans="1:2" x14ac:dyDescent="0.25">
      <c r="A2474" s="388"/>
      <c r="B2474" s="388"/>
    </row>
    <row r="2475" spans="1:2" x14ac:dyDescent="0.25">
      <c r="A2475" s="388"/>
      <c r="B2475" s="388"/>
    </row>
    <row r="2476" spans="1:2" x14ac:dyDescent="0.25">
      <c r="A2476" s="388"/>
      <c r="B2476" s="388"/>
    </row>
    <row r="2477" spans="1:2" x14ac:dyDescent="0.25">
      <c r="A2477" s="388"/>
      <c r="B2477" s="388"/>
    </row>
    <row r="2478" spans="1:2" x14ac:dyDescent="0.25">
      <c r="A2478" s="388"/>
      <c r="B2478" s="388"/>
    </row>
    <row r="2479" spans="1:2" x14ac:dyDescent="0.25">
      <c r="A2479" s="388"/>
      <c r="B2479" s="388"/>
    </row>
    <row r="2480" spans="1:2" x14ac:dyDescent="0.25">
      <c r="A2480" s="388"/>
      <c r="B2480" s="388"/>
    </row>
    <row r="2481" spans="1:2" x14ac:dyDescent="0.25">
      <c r="A2481" s="388"/>
      <c r="B2481" s="388"/>
    </row>
    <row r="2482" spans="1:2" x14ac:dyDescent="0.25">
      <c r="A2482" s="388"/>
      <c r="B2482" s="388"/>
    </row>
    <row r="2483" spans="1:2" x14ac:dyDescent="0.25">
      <c r="A2483" s="388"/>
      <c r="B2483" s="388"/>
    </row>
    <row r="2484" spans="1:2" x14ac:dyDescent="0.25">
      <c r="A2484" s="388"/>
      <c r="B2484" s="388"/>
    </row>
    <row r="2485" spans="1:2" x14ac:dyDescent="0.25">
      <c r="A2485" s="388"/>
      <c r="B2485" s="388"/>
    </row>
    <row r="2486" spans="1:2" x14ac:dyDescent="0.25">
      <c r="A2486" s="388"/>
      <c r="B2486" s="388"/>
    </row>
    <row r="2487" spans="1:2" x14ac:dyDescent="0.25">
      <c r="A2487" s="388"/>
      <c r="B2487" s="388"/>
    </row>
    <row r="2488" spans="1:2" x14ac:dyDescent="0.25">
      <c r="A2488" s="388"/>
      <c r="B2488" s="388"/>
    </row>
    <row r="2489" spans="1:2" x14ac:dyDescent="0.25">
      <c r="A2489" s="388"/>
      <c r="B2489" s="388"/>
    </row>
    <row r="2490" spans="1:2" x14ac:dyDescent="0.25">
      <c r="A2490" s="388"/>
      <c r="B2490" s="388"/>
    </row>
    <row r="2491" spans="1:2" x14ac:dyDescent="0.25">
      <c r="A2491" s="388"/>
      <c r="B2491" s="388"/>
    </row>
    <row r="2492" spans="1:2" x14ac:dyDescent="0.25">
      <c r="A2492" s="388"/>
      <c r="B2492" s="388"/>
    </row>
    <row r="2493" spans="1:2" x14ac:dyDescent="0.25">
      <c r="A2493" s="388"/>
      <c r="B2493" s="388"/>
    </row>
    <row r="2494" spans="1:2" x14ac:dyDescent="0.25">
      <c r="A2494" s="388"/>
      <c r="B2494" s="388"/>
    </row>
    <row r="2495" spans="1:2" x14ac:dyDescent="0.25">
      <c r="A2495" s="388"/>
      <c r="B2495" s="388"/>
    </row>
    <row r="2496" spans="1:2" x14ac:dyDescent="0.25">
      <c r="A2496" s="388"/>
      <c r="B2496" s="388"/>
    </row>
    <row r="2497" spans="1:2" x14ac:dyDescent="0.25">
      <c r="A2497" s="388"/>
      <c r="B2497" s="388"/>
    </row>
    <row r="2498" spans="1:2" x14ac:dyDescent="0.25">
      <c r="A2498" s="388"/>
      <c r="B2498" s="388"/>
    </row>
    <row r="2499" spans="1:2" x14ac:dyDescent="0.25">
      <c r="A2499" s="388"/>
      <c r="B2499" s="388"/>
    </row>
    <row r="2500" spans="1:2" x14ac:dyDescent="0.25">
      <c r="A2500" s="388"/>
      <c r="B2500" s="388"/>
    </row>
    <row r="2501" spans="1:2" x14ac:dyDescent="0.25">
      <c r="A2501" s="388"/>
      <c r="B2501" s="388"/>
    </row>
    <row r="2502" spans="1:2" x14ac:dyDescent="0.25">
      <c r="A2502" s="388"/>
      <c r="B2502" s="388"/>
    </row>
    <row r="2503" spans="1:2" x14ac:dyDescent="0.25">
      <c r="A2503" s="388"/>
      <c r="B2503" s="388"/>
    </row>
    <row r="2504" spans="1:2" x14ac:dyDescent="0.25">
      <c r="A2504" s="388"/>
      <c r="B2504" s="388"/>
    </row>
    <row r="2505" spans="1:2" x14ac:dyDescent="0.25">
      <c r="A2505" s="388"/>
      <c r="B2505" s="388"/>
    </row>
    <row r="2506" spans="1:2" x14ac:dyDescent="0.25">
      <c r="A2506" s="388"/>
      <c r="B2506" s="388"/>
    </row>
    <row r="2507" spans="1:2" x14ac:dyDescent="0.25">
      <c r="A2507" s="388"/>
      <c r="B2507" s="388"/>
    </row>
    <row r="2508" spans="1:2" x14ac:dyDescent="0.25">
      <c r="A2508" s="388"/>
      <c r="B2508" s="388"/>
    </row>
    <row r="2509" spans="1:2" x14ac:dyDescent="0.25">
      <c r="A2509" s="388"/>
      <c r="B2509" s="388"/>
    </row>
    <row r="2510" spans="1:2" x14ac:dyDescent="0.25">
      <c r="A2510" s="388"/>
      <c r="B2510" s="388"/>
    </row>
    <row r="2511" spans="1:2" x14ac:dyDescent="0.25">
      <c r="A2511" s="388"/>
      <c r="B2511" s="388"/>
    </row>
    <row r="2512" spans="1:2" x14ac:dyDescent="0.25">
      <c r="A2512" s="388"/>
      <c r="B2512" s="388"/>
    </row>
    <row r="2513" spans="1:2" x14ac:dyDescent="0.25">
      <c r="A2513" s="388"/>
      <c r="B2513" s="388"/>
    </row>
    <row r="2514" spans="1:2" x14ac:dyDescent="0.25">
      <c r="A2514" s="388"/>
      <c r="B2514" s="388"/>
    </row>
    <row r="2515" spans="1:2" x14ac:dyDescent="0.25">
      <c r="A2515" s="388"/>
      <c r="B2515" s="388"/>
    </row>
    <row r="2516" spans="1:2" x14ac:dyDescent="0.25">
      <c r="A2516" s="388"/>
      <c r="B2516" s="388"/>
    </row>
    <row r="2517" spans="1:2" x14ac:dyDescent="0.25">
      <c r="A2517" s="388"/>
      <c r="B2517" s="388"/>
    </row>
    <row r="2518" spans="1:2" x14ac:dyDescent="0.25">
      <c r="A2518" s="388"/>
      <c r="B2518" s="388"/>
    </row>
    <row r="2519" spans="1:2" x14ac:dyDescent="0.25">
      <c r="A2519" s="388"/>
      <c r="B2519" s="388"/>
    </row>
    <row r="2520" spans="1:2" x14ac:dyDescent="0.25">
      <c r="A2520" s="388"/>
      <c r="B2520" s="388"/>
    </row>
    <row r="2521" spans="1:2" x14ac:dyDescent="0.25">
      <c r="A2521" s="388"/>
      <c r="B2521" s="388"/>
    </row>
    <row r="2522" spans="1:2" x14ac:dyDescent="0.25">
      <c r="A2522" s="388"/>
      <c r="B2522" s="388"/>
    </row>
    <row r="2523" spans="1:2" x14ac:dyDescent="0.25">
      <c r="A2523" s="388"/>
      <c r="B2523" s="388"/>
    </row>
    <row r="2524" spans="1:2" x14ac:dyDescent="0.25">
      <c r="A2524" s="388"/>
      <c r="B2524" s="388"/>
    </row>
    <row r="2525" spans="1:2" x14ac:dyDescent="0.25">
      <c r="A2525" s="388"/>
      <c r="B2525" s="388"/>
    </row>
    <row r="2526" spans="1:2" x14ac:dyDescent="0.25">
      <c r="A2526" s="388"/>
      <c r="B2526" s="388"/>
    </row>
    <row r="2527" spans="1:2" x14ac:dyDescent="0.25">
      <c r="A2527" s="388"/>
      <c r="B2527" s="388"/>
    </row>
    <row r="2528" spans="1:2" x14ac:dyDescent="0.25">
      <c r="A2528" s="388"/>
      <c r="B2528" s="388"/>
    </row>
    <row r="2529" spans="1:2" x14ac:dyDescent="0.25">
      <c r="A2529" s="388"/>
      <c r="B2529" s="388"/>
    </row>
    <row r="2530" spans="1:2" x14ac:dyDescent="0.25">
      <c r="A2530" s="388"/>
      <c r="B2530" s="388"/>
    </row>
    <row r="2531" spans="1:2" x14ac:dyDescent="0.25">
      <c r="A2531" s="388"/>
      <c r="B2531" s="388"/>
    </row>
    <row r="2532" spans="1:2" x14ac:dyDescent="0.25">
      <c r="A2532" s="388"/>
      <c r="B2532" s="388"/>
    </row>
    <row r="2533" spans="1:2" x14ac:dyDescent="0.25">
      <c r="A2533" s="388"/>
      <c r="B2533" s="388"/>
    </row>
    <row r="2534" spans="1:2" x14ac:dyDescent="0.25">
      <c r="A2534" s="388"/>
      <c r="B2534" s="388"/>
    </row>
    <row r="2535" spans="1:2" x14ac:dyDescent="0.25">
      <c r="A2535" s="388"/>
      <c r="B2535" s="388"/>
    </row>
    <row r="2536" spans="1:2" x14ac:dyDescent="0.25">
      <c r="A2536" s="388"/>
      <c r="B2536" s="388"/>
    </row>
    <row r="2537" spans="1:2" x14ac:dyDescent="0.25">
      <c r="A2537" s="388"/>
      <c r="B2537" s="388"/>
    </row>
    <row r="2538" spans="1:2" x14ac:dyDescent="0.25">
      <c r="A2538" s="388"/>
      <c r="B2538" s="388"/>
    </row>
    <row r="2539" spans="1:2" x14ac:dyDescent="0.25">
      <c r="A2539" s="388"/>
      <c r="B2539" s="388"/>
    </row>
    <row r="2540" spans="1:2" x14ac:dyDescent="0.25">
      <c r="A2540" s="388"/>
      <c r="B2540" s="388"/>
    </row>
    <row r="2541" spans="1:2" x14ac:dyDescent="0.25">
      <c r="A2541" s="388"/>
      <c r="B2541" s="388"/>
    </row>
    <row r="2542" spans="1:2" x14ac:dyDescent="0.25">
      <c r="A2542" s="388"/>
      <c r="B2542" s="388"/>
    </row>
    <row r="2543" spans="1:2" x14ac:dyDescent="0.25">
      <c r="A2543" s="388"/>
      <c r="B2543" s="388"/>
    </row>
    <row r="2544" spans="1:2" x14ac:dyDescent="0.25">
      <c r="A2544" s="388"/>
      <c r="B2544" s="388"/>
    </row>
    <row r="2545" spans="1:2" x14ac:dyDescent="0.25">
      <c r="A2545" s="388"/>
      <c r="B2545" s="388"/>
    </row>
    <row r="2546" spans="1:2" x14ac:dyDescent="0.25">
      <c r="A2546" s="388"/>
      <c r="B2546" s="388"/>
    </row>
    <row r="2547" spans="1:2" x14ac:dyDescent="0.25">
      <c r="A2547" s="388"/>
      <c r="B2547" s="388"/>
    </row>
    <row r="2548" spans="1:2" x14ac:dyDescent="0.25">
      <c r="A2548" s="388"/>
      <c r="B2548" s="388"/>
    </row>
    <row r="2549" spans="1:2" x14ac:dyDescent="0.25">
      <c r="A2549" s="388"/>
      <c r="B2549" s="388"/>
    </row>
    <row r="2550" spans="1:2" x14ac:dyDescent="0.25">
      <c r="A2550" s="388"/>
      <c r="B2550" s="388"/>
    </row>
    <row r="2551" spans="1:2" x14ac:dyDescent="0.25">
      <c r="A2551" s="388"/>
      <c r="B2551" s="388"/>
    </row>
    <row r="2552" spans="1:2" x14ac:dyDescent="0.25">
      <c r="A2552" s="388"/>
      <c r="B2552" s="388"/>
    </row>
    <row r="2553" spans="1:2" x14ac:dyDescent="0.25">
      <c r="A2553" s="388"/>
      <c r="B2553" s="388"/>
    </row>
    <row r="2554" spans="1:2" x14ac:dyDescent="0.25">
      <c r="A2554" s="388"/>
      <c r="B2554" s="388"/>
    </row>
    <row r="2555" spans="1:2" x14ac:dyDescent="0.25">
      <c r="A2555" s="388"/>
      <c r="B2555" s="388"/>
    </row>
    <row r="2556" spans="1:2" x14ac:dyDescent="0.25">
      <c r="A2556" s="388"/>
      <c r="B2556" s="388"/>
    </row>
    <row r="2557" spans="1:2" x14ac:dyDescent="0.25">
      <c r="A2557" s="388"/>
      <c r="B2557" s="388"/>
    </row>
    <row r="2558" spans="1:2" x14ac:dyDescent="0.25">
      <c r="A2558" s="388"/>
      <c r="B2558" s="388"/>
    </row>
    <row r="2559" spans="1:2" x14ac:dyDescent="0.25">
      <c r="A2559" s="388"/>
      <c r="B2559" s="388"/>
    </row>
    <row r="2560" spans="1:2" x14ac:dyDescent="0.25">
      <c r="A2560" s="388"/>
      <c r="B2560" s="388"/>
    </row>
    <row r="2561" spans="1:2" x14ac:dyDescent="0.25">
      <c r="A2561" s="388"/>
      <c r="B2561" s="388"/>
    </row>
    <row r="2562" spans="1:2" x14ac:dyDescent="0.25">
      <c r="A2562" s="388"/>
      <c r="B2562" s="388"/>
    </row>
    <row r="2563" spans="1:2" x14ac:dyDescent="0.25">
      <c r="A2563" s="388"/>
      <c r="B2563" s="388"/>
    </row>
    <row r="2564" spans="1:2" x14ac:dyDescent="0.25">
      <c r="A2564" s="388"/>
      <c r="B2564" s="388"/>
    </row>
    <row r="2565" spans="1:2" x14ac:dyDescent="0.25">
      <c r="A2565" s="388"/>
      <c r="B2565" s="388"/>
    </row>
    <row r="2566" spans="1:2" x14ac:dyDescent="0.25">
      <c r="A2566" s="388"/>
      <c r="B2566" s="388"/>
    </row>
    <row r="2567" spans="1:2" x14ac:dyDescent="0.25">
      <c r="A2567" s="388"/>
      <c r="B2567" s="388"/>
    </row>
    <row r="2568" spans="1:2" x14ac:dyDescent="0.25">
      <c r="A2568" s="388"/>
      <c r="B2568" s="388"/>
    </row>
    <row r="2569" spans="1:2" x14ac:dyDescent="0.25">
      <c r="A2569" s="388"/>
      <c r="B2569" s="388"/>
    </row>
    <row r="2570" spans="1:2" x14ac:dyDescent="0.25">
      <c r="A2570" s="388"/>
      <c r="B2570" s="388"/>
    </row>
    <row r="2571" spans="1:2" x14ac:dyDescent="0.25">
      <c r="A2571" s="388"/>
      <c r="B2571" s="388"/>
    </row>
    <row r="2572" spans="1:2" x14ac:dyDescent="0.25">
      <c r="A2572" s="388"/>
      <c r="B2572" s="388"/>
    </row>
    <row r="2573" spans="1:2" x14ac:dyDescent="0.25">
      <c r="A2573" s="388"/>
      <c r="B2573" s="388"/>
    </row>
    <row r="2574" spans="1:2" x14ac:dyDescent="0.25">
      <c r="A2574" s="388"/>
      <c r="B2574" s="388"/>
    </row>
    <row r="2575" spans="1:2" x14ac:dyDescent="0.25">
      <c r="A2575" s="388"/>
      <c r="B2575" s="388"/>
    </row>
    <row r="2576" spans="1:2" x14ac:dyDescent="0.25">
      <c r="A2576" s="388"/>
      <c r="B2576" s="388"/>
    </row>
    <row r="2577" spans="1:2" x14ac:dyDescent="0.25">
      <c r="A2577" s="388"/>
      <c r="B2577" s="388"/>
    </row>
    <row r="2578" spans="1:2" x14ac:dyDescent="0.25">
      <c r="A2578" s="388"/>
      <c r="B2578" s="388"/>
    </row>
    <row r="2579" spans="1:2" x14ac:dyDescent="0.25">
      <c r="A2579" s="388"/>
      <c r="B2579" s="388"/>
    </row>
    <row r="2580" spans="1:2" x14ac:dyDescent="0.25">
      <c r="A2580" s="388"/>
      <c r="B2580" s="388"/>
    </row>
    <row r="2581" spans="1:2" x14ac:dyDescent="0.25">
      <c r="A2581" s="388"/>
      <c r="B2581" s="388"/>
    </row>
    <row r="2582" spans="1:2" x14ac:dyDescent="0.25">
      <c r="A2582" s="388"/>
      <c r="B2582" s="388"/>
    </row>
    <row r="2583" spans="1:2" x14ac:dyDescent="0.25">
      <c r="A2583" s="388"/>
      <c r="B2583" s="388"/>
    </row>
    <row r="2584" spans="1:2" x14ac:dyDescent="0.25">
      <c r="A2584" s="388"/>
      <c r="B2584" s="388"/>
    </row>
    <row r="2585" spans="1:2" x14ac:dyDescent="0.25">
      <c r="A2585" s="388"/>
      <c r="B2585" s="388"/>
    </row>
    <row r="2586" spans="1:2" x14ac:dyDescent="0.25">
      <c r="A2586" s="388"/>
      <c r="B2586" s="388"/>
    </row>
    <row r="2587" spans="1:2" x14ac:dyDescent="0.25">
      <c r="A2587" s="388"/>
      <c r="B2587" s="388"/>
    </row>
    <row r="2588" spans="1:2" x14ac:dyDescent="0.25">
      <c r="A2588" s="388"/>
      <c r="B2588" s="388"/>
    </row>
    <row r="2589" spans="1:2" x14ac:dyDescent="0.25">
      <c r="A2589" s="388"/>
      <c r="B2589" s="388"/>
    </row>
    <row r="2590" spans="1:2" x14ac:dyDescent="0.25">
      <c r="A2590" s="388"/>
      <c r="B2590" s="388"/>
    </row>
    <row r="2591" spans="1:2" x14ac:dyDescent="0.25">
      <c r="A2591" s="388"/>
      <c r="B2591" s="388"/>
    </row>
    <row r="2592" spans="1:2" x14ac:dyDescent="0.25">
      <c r="A2592" s="388"/>
      <c r="B2592" s="388"/>
    </row>
    <row r="2593" spans="1:2" x14ac:dyDescent="0.25">
      <c r="A2593" s="388"/>
      <c r="B2593" s="388"/>
    </row>
    <row r="2594" spans="1:2" x14ac:dyDescent="0.25">
      <c r="A2594" s="388"/>
      <c r="B2594" s="388"/>
    </row>
    <row r="2595" spans="1:2" x14ac:dyDescent="0.25">
      <c r="A2595" s="388"/>
      <c r="B2595" s="388"/>
    </row>
    <row r="2596" spans="1:2" x14ac:dyDescent="0.25">
      <c r="A2596" s="388"/>
      <c r="B2596" s="388"/>
    </row>
    <row r="2597" spans="1:2" x14ac:dyDescent="0.25">
      <c r="A2597" s="388"/>
      <c r="B2597" s="388"/>
    </row>
    <row r="2598" spans="1:2" x14ac:dyDescent="0.25">
      <c r="A2598" s="388"/>
      <c r="B2598" s="388"/>
    </row>
    <row r="2599" spans="1:2" x14ac:dyDescent="0.25">
      <c r="A2599" s="388"/>
      <c r="B2599" s="388"/>
    </row>
    <row r="2600" spans="1:2" x14ac:dyDescent="0.25">
      <c r="A2600" s="388"/>
      <c r="B2600" s="388"/>
    </row>
    <row r="2601" spans="1:2" x14ac:dyDescent="0.25">
      <c r="A2601" s="388"/>
      <c r="B2601" s="388"/>
    </row>
    <row r="2602" spans="1:2" x14ac:dyDescent="0.25">
      <c r="A2602" s="388"/>
      <c r="B2602" s="388"/>
    </row>
    <row r="2603" spans="1:2" x14ac:dyDescent="0.25">
      <c r="A2603" s="388"/>
      <c r="B2603" s="388"/>
    </row>
    <row r="2604" spans="1:2" x14ac:dyDescent="0.25">
      <c r="A2604" s="388"/>
      <c r="B2604" s="388"/>
    </row>
    <row r="2605" spans="1:2" x14ac:dyDescent="0.25">
      <c r="A2605" s="388"/>
      <c r="B2605" s="388"/>
    </row>
    <row r="2606" spans="1:2" x14ac:dyDescent="0.25">
      <c r="A2606" s="388"/>
      <c r="B2606" s="388"/>
    </row>
    <row r="2607" spans="1:2" x14ac:dyDescent="0.25">
      <c r="A2607" s="388"/>
      <c r="B2607" s="388"/>
    </row>
    <row r="2608" spans="1:2" x14ac:dyDescent="0.25">
      <c r="A2608" s="388"/>
      <c r="B2608" s="388"/>
    </row>
    <row r="2609" spans="1:2" x14ac:dyDescent="0.25">
      <c r="A2609" s="388"/>
      <c r="B2609" s="388"/>
    </row>
    <row r="2610" spans="1:2" x14ac:dyDescent="0.25">
      <c r="A2610" s="388"/>
      <c r="B2610" s="388"/>
    </row>
    <row r="2611" spans="1:2" x14ac:dyDescent="0.25">
      <c r="A2611" s="388"/>
      <c r="B2611" s="388"/>
    </row>
    <row r="2612" spans="1:2" x14ac:dyDescent="0.25">
      <c r="A2612" s="388"/>
      <c r="B2612" s="388"/>
    </row>
    <row r="2613" spans="1:2" x14ac:dyDescent="0.25">
      <c r="A2613" s="388"/>
      <c r="B2613" s="388"/>
    </row>
    <row r="2614" spans="1:2" x14ac:dyDescent="0.25">
      <c r="A2614" s="388"/>
      <c r="B2614" s="388"/>
    </row>
    <row r="2615" spans="1:2" x14ac:dyDescent="0.25">
      <c r="A2615" s="388"/>
      <c r="B2615" s="388"/>
    </row>
    <row r="2616" spans="1:2" x14ac:dyDescent="0.25">
      <c r="A2616" s="388"/>
      <c r="B2616" s="388"/>
    </row>
    <row r="2617" spans="1:2" x14ac:dyDescent="0.25">
      <c r="A2617" s="388"/>
      <c r="B2617" s="388"/>
    </row>
    <row r="2618" spans="1:2" x14ac:dyDescent="0.25">
      <c r="A2618" s="388"/>
      <c r="B2618" s="388"/>
    </row>
    <row r="2619" spans="1:2" x14ac:dyDescent="0.25">
      <c r="A2619" s="388"/>
      <c r="B2619" s="388"/>
    </row>
    <row r="2620" spans="1:2" x14ac:dyDescent="0.25">
      <c r="A2620" s="388"/>
      <c r="B2620" s="388"/>
    </row>
    <row r="2621" spans="1:2" x14ac:dyDescent="0.25">
      <c r="A2621" s="388"/>
      <c r="B2621" s="388"/>
    </row>
    <row r="2622" spans="1:2" x14ac:dyDescent="0.25">
      <c r="A2622" s="388"/>
      <c r="B2622" s="388"/>
    </row>
    <row r="2623" spans="1:2" x14ac:dyDescent="0.25">
      <c r="A2623" s="388"/>
      <c r="B2623" s="388"/>
    </row>
    <row r="2624" spans="1:2" x14ac:dyDescent="0.25">
      <c r="A2624" s="388"/>
      <c r="B2624" s="388"/>
    </row>
    <row r="2625" spans="1:2" x14ac:dyDescent="0.25">
      <c r="A2625" s="388"/>
      <c r="B2625" s="388"/>
    </row>
    <row r="2626" spans="1:2" x14ac:dyDescent="0.25">
      <c r="A2626" s="388"/>
      <c r="B2626" s="388"/>
    </row>
    <row r="2627" spans="1:2" x14ac:dyDescent="0.25">
      <c r="A2627" s="388"/>
      <c r="B2627" s="388"/>
    </row>
    <row r="2628" spans="1:2" x14ac:dyDescent="0.25">
      <c r="A2628" s="388"/>
      <c r="B2628" s="388"/>
    </row>
    <row r="2629" spans="1:2" x14ac:dyDescent="0.25">
      <c r="A2629" s="388"/>
      <c r="B2629" s="388"/>
    </row>
    <row r="2630" spans="1:2" x14ac:dyDescent="0.25">
      <c r="A2630" s="388"/>
      <c r="B2630" s="388"/>
    </row>
    <row r="2631" spans="1:2" x14ac:dyDescent="0.25">
      <c r="A2631" s="388"/>
      <c r="B2631" s="388"/>
    </row>
    <row r="2632" spans="1:2" x14ac:dyDescent="0.25">
      <c r="A2632" s="388"/>
      <c r="B2632" s="388"/>
    </row>
    <row r="2633" spans="1:2" x14ac:dyDescent="0.25">
      <c r="A2633" s="388"/>
      <c r="B2633" s="388"/>
    </row>
    <row r="2634" spans="1:2" x14ac:dyDescent="0.25">
      <c r="A2634" s="388"/>
      <c r="B2634" s="388"/>
    </row>
    <row r="2635" spans="1:2" x14ac:dyDescent="0.25">
      <c r="A2635" s="388"/>
      <c r="B2635" s="388"/>
    </row>
    <row r="2636" spans="1:2" x14ac:dyDescent="0.25">
      <c r="A2636" s="388"/>
      <c r="B2636" s="388"/>
    </row>
    <row r="2637" spans="1:2" x14ac:dyDescent="0.25">
      <c r="A2637" s="388"/>
      <c r="B2637" s="388"/>
    </row>
    <row r="2638" spans="1:2" x14ac:dyDescent="0.25">
      <c r="A2638" s="388"/>
      <c r="B2638" s="388"/>
    </row>
    <row r="2639" spans="1:2" x14ac:dyDescent="0.25">
      <c r="A2639" s="388"/>
      <c r="B2639" s="388"/>
    </row>
    <row r="2640" spans="1:2" x14ac:dyDescent="0.25">
      <c r="A2640" s="388"/>
      <c r="B2640" s="388"/>
    </row>
    <row r="2641" spans="1:2" x14ac:dyDescent="0.25">
      <c r="A2641" s="388"/>
      <c r="B2641" s="388"/>
    </row>
    <row r="2642" spans="1:2" x14ac:dyDescent="0.25">
      <c r="A2642" s="388"/>
      <c r="B2642" s="388"/>
    </row>
    <row r="2643" spans="1:2" x14ac:dyDescent="0.25">
      <c r="A2643" s="388"/>
      <c r="B2643" s="388"/>
    </row>
    <row r="2644" spans="1:2" x14ac:dyDescent="0.25">
      <c r="A2644" s="388"/>
      <c r="B2644" s="388"/>
    </row>
    <row r="2645" spans="1:2" x14ac:dyDescent="0.25">
      <c r="A2645" s="388"/>
      <c r="B2645" s="388"/>
    </row>
    <row r="2646" spans="1:2" x14ac:dyDescent="0.25">
      <c r="A2646" s="388"/>
      <c r="B2646" s="388"/>
    </row>
    <row r="2647" spans="1:2" x14ac:dyDescent="0.25">
      <c r="A2647" s="388"/>
      <c r="B2647" s="388"/>
    </row>
    <row r="2648" spans="1:2" x14ac:dyDescent="0.25">
      <c r="A2648" s="388"/>
      <c r="B2648" s="388"/>
    </row>
    <row r="2649" spans="1:2" x14ac:dyDescent="0.25">
      <c r="A2649" s="388"/>
      <c r="B2649" s="388"/>
    </row>
    <row r="2650" spans="1:2" x14ac:dyDescent="0.25">
      <c r="A2650" s="388"/>
      <c r="B2650" s="388"/>
    </row>
    <row r="2651" spans="1:2" x14ac:dyDescent="0.25">
      <c r="A2651" s="388"/>
      <c r="B2651" s="388"/>
    </row>
    <row r="2652" spans="1:2" x14ac:dyDescent="0.25">
      <c r="A2652" s="388"/>
      <c r="B2652" s="388"/>
    </row>
    <row r="2653" spans="1:2" x14ac:dyDescent="0.25">
      <c r="A2653" s="388"/>
      <c r="B2653" s="388"/>
    </row>
    <row r="2654" spans="1:2" x14ac:dyDescent="0.25">
      <c r="A2654" s="388"/>
      <c r="B2654" s="388"/>
    </row>
    <row r="2655" spans="1:2" x14ac:dyDescent="0.25">
      <c r="A2655" s="388"/>
      <c r="B2655" s="388"/>
    </row>
    <row r="2656" spans="1:2" x14ac:dyDescent="0.25">
      <c r="A2656" s="388"/>
      <c r="B2656" s="388"/>
    </row>
    <row r="2657" spans="1:2" x14ac:dyDescent="0.25">
      <c r="A2657" s="388"/>
      <c r="B2657" s="388"/>
    </row>
    <row r="2658" spans="1:2" x14ac:dyDescent="0.25">
      <c r="A2658" s="388"/>
      <c r="B2658" s="388"/>
    </row>
    <row r="2659" spans="1:2" x14ac:dyDescent="0.25">
      <c r="A2659" s="388"/>
      <c r="B2659" s="388"/>
    </row>
    <row r="2660" spans="1:2" x14ac:dyDescent="0.25">
      <c r="A2660" s="388"/>
      <c r="B2660" s="388"/>
    </row>
    <row r="2661" spans="1:2" x14ac:dyDescent="0.25">
      <c r="A2661" s="388"/>
      <c r="B2661" s="388"/>
    </row>
    <row r="2662" spans="1:2" x14ac:dyDescent="0.25">
      <c r="A2662" s="388"/>
      <c r="B2662" s="388"/>
    </row>
    <row r="2663" spans="1:2" x14ac:dyDescent="0.25">
      <c r="A2663" s="388"/>
      <c r="B2663" s="388"/>
    </row>
    <row r="2664" spans="1:2" x14ac:dyDescent="0.25">
      <c r="A2664" s="388"/>
      <c r="B2664" s="388"/>
    </row>
    <row r="2665" spans="1:2" x14ac:dyDescent="0.25">
      <c r="A2665" s="388"/>
      <c r="B2665" s="388"/>
    </row>
    <row r="2666" spans="1:2" x14ac:dyDescent="0.25">
      <c r="A2666" s="388"/>
      <c r="B2666" s="388"/>
    </row>
    <row r="2667" spans="1:2" x14ac:dyDescent="0.25">
      <c r="A2667" s="388"/>
      <c r="B2667" s="388"/>
    </row>
    <row r="2668" spans="1:2" x14ac:dyDescent="0.25">
      <c r="A2668" s="388"/>
      <c r="B2668" s="388"/>
    </row>
    <row r="2669" spans="1:2" x14ac:dyDescent="0.25">
      <c r="A2669" s="388"/>
      <c r="B2669" s="388"/>
    </row>
    <row r="2670" spans="1:2" x14ac:dyDescent="0.25">
      <c r="A2670" s="388"/>
      <c r="B2670" s="388"/>
    </row>
    <row r="2671" spans="1:2" x14ac:dyDescent="0.25">
      <c r="A2671" s="388"/>
      <c r="B2671" s="388"/>
    </row>
    <row r="2672" spans="1:2" x14ac:dyDescent="0.25">
      <c r="A2672" s="388"/>
      <c r="B2672" s="388"/>
    </row>
    <row r="2673" spans="1:2" x14ac:dyDescent="0.25">
      <c r="A2673" s="388"/>
      <c r="B2673" s="388"/>
    </row>
    <row r="2674" spans="1:2" x14ac:dyDescent="0.25">
      <c r="A2674" s="388"/>
      <c r="B2674" s="388"/>
    </row>
    <row r="2675" spans="1:2" x14ac:dyDescent="0.25">
      <c r="A2675" s="388"/>
      <c r="B2675" s="388"/>
    </row>
    <row r="2676" spans="1:2" x14ac:dyDescent="0.25">
      <c r="A2676" s="388"/>
      <c r="B2676" s="388"/>
    </row>
    <row r="2677" spans="1:2" x14ac:dyDescent="0.25">
      <c r="A2677" s="388"/>
      <c r="B2677" s="388"/>
    </row>
    <row r="2678" spans="1:2" x14ac:dyDescent="0.25">
      <c r="A2678" s="388"/>
      <c r="B2678" s="388"/>
    </row>
    <row r="2679" spans="1:2" x14ac:dyDescent="0.25">
      <c r="A2679" s="388"/>
      <c r="B2679" s="388"/>
    </row>
    <row r="2680" spans="1:2" x14ac:dyDescent="0.25">
      <c r="A2680" s="388"/>
      <c r="B2680" s="388"/>
    </row>
    <row r="2681" spans="1:2" x14ac:dyDescent="0.25">
      <c r="A2681" s="388"/>
      <c r="B2681" s="388"/>
    </row>
    <row r="2682" spans="1:2" x14ac:dyDescent="0.25">
      <c r="A2682" s="388"/>
      <c r="B2682" s="388"/>
    </row>
    <row r="2683" spans="1:2" x14ac:dyDescent="0.25">
      <c r="A2683" s="388"/>
      <c r="B2683" s="388"/>
    </row>
    <row r="2684" spans="1:2" x14ac:dyDescent="0.25">
      <c r="A2684" s="388"/>
      <c r="B2684" s="388"/>
    </row>
    <row r="2685" spans="1:2" x14ac:dyDescent="0.25">
      <c r="A2685" s="388"/>
      <c r="B2685" s="388"/>
    </row>
    <row r="2686" spans="1:2" x14ac:dyDescent="0.25">
      <c r="A2686" s="388"/>
      <c r="B2686" s="388"/>
    </row>
    <row r="2687" spans="1:2" x14ac:dyDescent="0.25">
      <c r="A2687" s="388"/>
      <c r="B2687" s="388"/>
    </row>
    <row r="2688" spans="1:2" x14ac:dyDescent="0.25">
      <c r="A2688" s="388"/>
      <c r="B2688" s="388"/>
    </row>
    <row r="2689" spans="1:2" x14ac:dyDescent="0.25">
      <c r="A2689" s="388"/>
      <c r="B2689" s="388"/>
    </row>
    <row r="2690" spans="1:2" x14ac:dyDescent="0.25">
      <c r="A2690" s="388"/>
      <c r="B2690" s="388"/>
    </row>
    <row r="2691" spans="1:2" x14ac:dyDescent="0.25">
      <c r="A2691" s="388"/>
      <c r="B2691" s="388"/>
    </row>
    <row r="2692" spans="1:2" x14ac:dyDescent="0.25">
      <c r="A2692" s="388"/>
      <c r="B2692" s="388"/>
    </row>
    <row r="2693" spans="1:2" x14ac:dyDescent="0.25">
      <c r="A2693" s="388"/>
      <c r="B2693" s="388"/>
    </row>
    <row r="2694" spans="1:2" x14ac:dyDescent="0.25">
      <c r="A2694" s="388"/>
      <c r="B2694" s="388"/>
    </row>
    <row r="2695" spans="1:2" x14ac:dyDescent="0.25">
      <c r="A2695" s="388"/>
      <c r="B2695" s="388"/>
    </row>
    <row r="2696" spans="1:2" x14ac:dyDescent="0.25">
      <c r="A2696" s="388"/>
      <c r="B2696" s="388"/>
    </row>
    <row r="2697" spans="1:2" x14ac:dyDescent="0.25">
      <c r="A2697" s="388"/>
      <c r="B2697" s="388"/>
    </row>
    <row r="2698" spans="1:2" x14ac:dyDescent="0.25">
      <c r="A2698" s="388"/>
      <c r="B2698" s="388"/>
    </row>
    <row r="2699" spans="1:2" x14ac:dyDescent="0.25">
      <c r="A2699" s="388"/>
      <c r="B2699" s="388"/>
    </row>
    <row r="2700" spans="1:2" x14ac:dyDescent="0.25">
      <c r="A2700" s="388"/>
      <c r="B2700" s="388"/>
    </row>
    <row r="2701" spans="1:2" x14ac:dyDescent="0.25">
      <c r="A2701" s="388"/>
      <c r="B2701" s="388"/>
    </row>
    <row r="2702" spans="1:2" x14ac:dyDescent="0.25">
      <c r="A2702" s="388"/>
      <c r="B2702" s="388"/>
    </row>
    <row r="2703" spans="1:2" x14ac:dyDescent="0.25">
      <c r="A2703" s="388"/>
      <c r="B2703" s="388"/>
    </row>
    <row r="2704" spans="1:2" x14ac:dyDescent="0.25">
      <c r="A2704" s="388"/>
      <c r="B2704" s="388"/>
    </row>
    <row r="2705" spans="1:2" x14ac:dyDescent="0.25">
      <c r="A2705" s="388"/>
      <c r="B2705" s="388"/>
    </row>
    <row r="2706" spans="1:2" x14ac:dyDescent="0.25">
      <c r="A2706" s="388"/>
      <c r="B2706" s="388"/>
    </row>
    <row r="2707" spans="1:2" x14ac:dyDescent="0.25">
      <c r="A2707" s="388"/>
      <c r="B2707" s="388"/>
    </row>
    <row r="2708" spans="1:2" x14ac:dyDescent="0.25">
      <c r="A2708" s="388"/>
      <c r="B2708" s="388"/>
    </row>
    <row r="2709" spans="1:2" x14ac:dyDescent="0.25">
      <c r="A2709" s="388"/>
      <c r="B2709" s="388"/>
    </row>
    <row r="2710" spans="1:2" x14ac:dyDescent="0.25">
      <c r="A2710" s="388"/>
      <c r="B2710" s="388"/>
    </row>
    <row r="2711" spans="1:2" x14ac:dyDescent="0.25">
      <c r="A2711" s="388"/>
      <c r="B2711" s="388"/>
    </row>
    <row r="2712" spans="1:2" x14ac:dyDescent="0.25">
      <c r="A2712" s="388"/>
      <c r="B2712" s="388"/>
    </row>
    <row r="2713" spans="1:2" x14ac:dyDescent="0.25">
      <c r="A2713" s="388"/>
      <c r="B2713" s="388"/>
    </row>
    <row r="2714" spans="1:2" x14ac:dyDescent="0.25">
      <c r="A2714" s="388"/>
      <c r="B2714" s="388"/>
    </row>
    <row r="2715" spans="1:2" x14ac:dyDescent="0.25">
      <c r="A2715" s="388"/>
      <c r="B2715" s="388"/>
    </row>
    <row r="2716" spans="1:2" x14ac:dyDescent="0.25">
      <c r="A2716" s="388"/>
      <c r="B2716" s="388"/>
    </row>
    <row r="2717" spans="1:2" x14ac:dyDescent="0.25">
      <c r="A2717" s="388"/>
      <c r="B2717" s="388"/>
    </row>
    <row r="2718" spans="1:2" x14ac:dyDescent="0.25">
      <c r="A2718" s="388"/>
      <c r="B2718" s="388"/>
    </row>
    <row r="2719" spans="1:2" x14ac:dyDescent="0.25">
      <c r="A2719" s="388"/>
      <c r="B2719" s="388"/>
    </row>
    <row r="2720" spans="1:2" x14ac:dyDescent="0.25">
      <c r="A2720" s="388"/>
      <c r="B2720" s="388"/>
    </row>
    <row r="2721" spans="1:2" x14ac:dyDescent="0.25">
      <c r="A2721" s="388"/>
      <c r="B2721" s="388"/>
    </row>
    <row r="2722" spans="1:2" x14ac:dyDescent="0.25">
      <c r="A2722" s="388"/>
      <c r="B2722" s="388"/>
    </row>
    <row r="2723" spans="1:2" x14ac:dyDescent="0.25">
      <c r="A2723" s="388"/>
      <c r="B2723" s="388"/>
    </row>
    <row r="2724" spans="1:2" x14ac:dyDescent="0.25">
      <c r="A2724" s="388"/>
      <c r="B2724" s="388"/>
    </row>
    <row r="2725" spans="1:2" x14ac:dyDescent="0.25">
      <c r="A2725" s="388"/>
      <c r="B2725" s="388"/>
    </row>
    <row r="2726" spans="1:2" x14ac:dyDescent="0.25">
      <c r="A2726" s="388"/>
      <c r="B2726" s="388"/>
    </row>
    <row r="2727" spans="1:2" x14ac:dyDescent="0.25">
      <c r="A2727" s="388"/>
      <c r="B2727" s="388"/>
    </row>
    <row r="2728" spans="1:2" x14ac:dyDescent="0.25">
      <c r="A2728" s="388"/>
      <c r="B2728" s="388"/>
    </row>
    <row r="2729" spans="1:2" x14ac:dyDescent="0.25">
      <c r="A2729" s="388"/>
      <c r="B2729" s="388"/>
    </row>
    <row r="2730" spans="1:2" x14ac:dyDescent="0.25">
      <c r="A2730" s="388"/>
      <c r="B2730" s="388"/>
    </row>
    <row r="2731" spans="1:2" x14ac:dyDescent="0.25">
      <c r="A2731" s="388"/>
      <c r="B2731" s="388"/>
    </row>
    <row r="2732" spans="1:2" x14ac:dyDescent="0.25">
      <c r="A2732" s="388"/>
      <c r="B2732" s="388"/>
    </row>
    <row r="2733" spans="1:2" x14ac:dyDescent="0.25">
      <c r="A2733" s="388"/>
      <c r="B2733" s="388"/>
    </row>
    <row r="2734" spans="1:2" x14ac:dyDescent="0.25">
      <c r="A2734" s="388"/>
      <c r="B2734" s="388"/>
    </row>
    <row r="2735" spans="1:2" x14ac:dyDescent="0.25">
      <c r="A2735" s="388"/>
      <c r="B2735" s="388"/>
    </row>
    <row r="2736" spans="1:2" x14ac:dyDescent="0.25">
      <c r="A2736" s="388"/>
      <c r="B2736" s="388"/>
    </row>
    <row r="2737" spans="1:2" x14ac:dyDescent="0.25">
      <c r="A2737" s="388"/>
      <c r="B2737" s="388"/>
    </row>
    <row r="2738" spans="1:2" x14ac:dyDescent="0.25">
      <c r="A2738" s="388"/>
      <c r="B2738" s="388"/>
    </row>
    <row r="2739" spans="1:2" x14ac:dyDescent="0.25">
      <c r="A2739" s="388"/>
      <c r="B2739" s="388"/>
    </row>
    <row r="2740" spans="1:2" x14ac:dyDescent="0.25">
      <c r="A2740" s="388"/>
      <c r="B2740" s="388"/>
    </row>
    <row r="2741" spans="1:2" x14ac:dyDescent="0.25">
      <c r="A2741" s="388"/>
      <c r="B2741" s="388"/>
    </row>
    <row r="2742" spans="1:2" x14ac:dyDescent="0.25">
      <c r="A2742" s="388"/>
      <c r="B2742" s="388"/>
    </row>
    <row r="2743" spans="1:2" x14ac:dyDescent="0.25">
      <c r="A2743" s="388"/>
      <c r="B2743" s="388"/>
    </row>
    <row r="2744" spans="1:2" x14ac:dyDescent="0.25">
      <c r="A2744" s="388"/>
      <c r="B2744" s="388"/>
    </row>
    <row r="2745" spans="1:2" x14ac:dyDescent="0.25">
      <c r="A2745" s="388"/>
      <c r="B2745" s="388"/>
    </row>
    <row r="2746" spans="1:2" x14ac:dyDescent="0.25">
      <c r="A2746" s="388"/>
      <c r="B2746" s="388"/>
    </row>
    <row r="2747" spans="1:2" x14ac:dyDescent="0.25">
      <c r="A2747" s="388"/>
      <c r="B2747" s="388"/>
    </row>
    <row r="2748" spans="1:2" x14ac:dyDescent="0.25">
      <c r="A2748" s="388"/>
      <c r="B2748" s="388"/>
    </row>
    <row r="2749" spans="1:2" x14ac:dyDescent="0.25">
      <c r="A2749" s="388"/>
      <c r="B2749" s="388"/>
    </row>
    <row r="2750" spans="1:2" x14ac:dyDescent="0.25">
      <c r="A2750" s="388"/>
      <c r="B2750" s="388"/>
    </row>
    <row r="2751" spans="1:2" x14ac:dyDescent="0.25">
      <c r="A2751" s="388"/>
      <c r="B2751" s="388"/>
    </row>
    <row r="2752" spans="1:2" x14ac:dyDescent="0.25">
      <c r="A2752" s="388"/>
      <c r="B2752" s="388"/>
    </row>
    <row r="2753" spans="1:2" x14ac:dyDescent="0.25">
      <c r="A2753" s="388"/>
      <c r="B2753" s="388"/>
    </row>
    <row r="2754" spans="1:2" x14ac:dyDescent="0.25">
      <c r="A2754" s="388"/>
      <c r="B2754" s="388"/>
    </row>
    <row r="2755" spans="1:2" x14ac:dyDescent="0.25">
      <c r="A2755" s="388"/>
      <c r="B2755" s="388"/>
    </row>
    <row r="2756" spans="1:2" x14ac:dyDescent="0.25">
      <c r="A2756" s="388"/>
      <c r="B2756" s="388"/>
    </row>
    <row r="2757" spans="1:2" x14ac:dyDescent="0.25">
      <c r="A2757" s="388"/>
      <c r="B2757" s="388"/>
    </row>
    <row r="2758" spans="1:2" x14ac:dyDescent="0.25">
      <c r="A2758" s="388"/>
      <c r="B2758" s="388"/>
    </row>
    <row r="2759" spans="1:2" x14ac:dyDescent="0.25">
      <c r="A2759" s="388"/>
      <c r="B2759" s="388"/>
    </row>
    <row r="2760" spans="1:2" x14ac:dyDescent="0.25">
      <c r="A2760" s="388"/>
      <c r="B2760" s="388"/>
    </row>
    <row r="2761" spans="1:2" x14ac:dyDescent="0.25">
      <c r="A2761" s="388"/>
      <c r="B2761" s="388"/>
    </row>
    <row r="2762" spans="1:2" x14ac:dyDescent="0.25">
      <c r="A2762" s="388"/>
      <c r="B2762" s="388"/>
    </row>
    <row r="2763" spans="1:2" x14ac:dyDescent="0.25">
      <c r="A2763" s="388"/>
      <c r="B2763" s="388"/>
    </row>
    <row r="2764" spans="1:2" x14ac:dyDescent="0.25">
      <c r="A2764" s="388"/>
      <c r="B2764" s="388"/>
    </row>
    <row r="2765" spans="1:2" x14ac:dyDescent="0.25">
      <c r="A2765" s="388"/>
      <c r="B2765" s="388"/>
    </row>
    <row r="2766" spans="1:2" x14ac:dyDescent="0.25">
      <c r="A2766" s="388"/>
      <c r="B2766" s="388"/>
    </row>
    <row r="2767" spans="1:2" x14ac:dyDescent="0.25">
      <c r="A2767" s="388"/>
      <c r="B2767" s="388"/>
    </row>
    <row r="2768" spans="1:2" x14ac:dyDescent="0.25">
      <c r="A2768" s="388"/>
      <c r="B2768" s="388"/>
    </row>
    <row r="2769" spans="1:2" x14ac:dyDescent="0.25">
      <c r="A2769" s="388"/>
      <c r="B2769" s="388"/>
    </row>
    <row r="2770" spans="1:2" x14ac:dyDescent="0.25">
      <c r="A2770" s="388"/>
      <c r="B2770" s="388"/>
    </row>
    <row r="2771" spans="1:2" x14ac:dyDescent="0.25">
      <c r="A2771" s="388"/>
      <c r="B2771" s="388"/>
    </row>
    <row r="2772" spans="1:2" x14ac:dyDescent="0.25">
      <c r="A2772" s="388"/>
      <c r="B2772" s="388"/>
    </row>
    <row r="2773" spans="1:2" x14ac:dyDescent="0.25">
      <c r="A2773" s="388"/>
      <c r="B2773" s="388"/>
    </row>
    <row r="2774" spans="1:2" x14ac:dyDescent="0.25">
      <c r="A2774" s="388"/>
      <c r="B2774" s="388"/>
    </row>
    <row r="2775" spans="1:2" x14ac:dyDescent="0.25">
      <c r="A2775" s="388"/>
      <c r="B2775" s="388"/>
    </row>
    <row r="2776" spans="1:2" x14ac:dyDescent="0.25">
      <c r="A2776" s="388"/>
      <c r="B2776" s="388"/>
    </row>
    <row r="2777" spans="1:2" x14ac:dyDescent="0.25">
      <c r="A2777" s="388"/>
      <c r="B2777" s="388"/>
    </row>
    <row r="2778" spans="1:2" x14ac:dyDescent="0.25">
      <c r="A2778" s="388"/>
      <c r="B2778" s="388"/>
    </row>
    <row r="2779" spans="1:2" x14ac:dyDescent="0.25">
      <c r="A2779" s="388"/>
      <c r="B2779" s="388"/>
    </row>
    <row r="2780" spans="1:2" x14ac:dyDescent="0.25">
      <c r="A2780" s="388"/>
      <c r="B2780" s="388"/>
    </row>
    <row r="2781" spans="1:2" x14ac:dyDescent="0.25">
      <c r="A2781" s="388"/>
      <c r="B2781" s="388"/>
    </row>
    <row r="2782" spans="1:2" x14ac:dyDescent="0.25">
      <c r="A2782" s="388"/>
      <c r="B2782" s="388"/>
    </row>
    <row r="2783" spans="1:2" x14ac:dyDescent="0.25">
      <c r="A2783" s="388"/>
      <c r="B2783" s="388"/>
    </row>
    <row r="2784" spans="1:2" x14ac:dyDescent="0.25">
      <c r="A2784" s="388"/>
      <c r="B2784" s="388"/>
    </row>
    <row r="2785" spans="1:2" x14ac:dyDescent="0.25">
      <c r="A2785" s="388"/>
      <c r="B2785" s="388"/>
    </row>
    <row r="2786" spans="1:2" x14ac:dyDescent="0.25">
      <c r="A2786" s="388"/>
      <c r="B2786" s="388"/>
    </row>
    <row r="2787" spans="1:2" x14ac:dyDescent="0.25">
      <c r="A2787" s="388"/>
      <c r="B2787" s="388"/>
    </row>
    <row r="2788" spans="1:2" x14ac:dyDescent="0.25">
      <c r="A2788" s="388"/>
      <c r="B2788" s="388"/>
    </row>
    <row r="2789" spans="1:2" x14ac:dyDescent="0.25">
      <c r="A2789" s="388"/>
      <c r="B2789" s="388"/>
    </row>
    <row r="2790" spans="1:2" x14ac:dyDescent="0.25">
      <c r="A2790" s="388"/>
      <c r="B2790" s="388"/>
    </row>
    <row r="2791" spans="1:2" x14ac:dyDescent="0.25">
      <c r="A2791" s="388"/>
      <c r="B2791" s="388"/>
    </row>
    <row r="2792" spans="1:2" x14ac:dyDescent="0.25">
      <c r="A2792" s="388"/>
      <c r="B2792" s="388"/>
    </row>
    <row r="2793" spans="1:2" x14ac:dyDescent="0.25">
      <c r="A2793" s="388"/>
      <c r="B2793" s="388"/>
    </row>
    <row r="2794" spans="1:2" x14ac:dyDescent="0.25">
      <c r="A2794" s="388"/>
      <c r="B2794" s="388"/>
    </row>
    <row r="2795" spans="1:2" x14ac:dyDescent="0.25">
      <c r="A2795" s="388"/>
      <c r="B2795" s="388"/>
    </row>
    <row r="2796" spans="1:2" x14ac:dyDescent="0.25">
      <c r="A2796" s="388"/>
      <c r="B2796" s="388"/>
    </row>
    <row r="2797" spans="1:2" x14ac:dyDescent="0.25">
      <c r="A2797" s="388"/>
      <c r="B2797" s="388"/>
    </row>
    <row r="2798" spans="1:2" x14ac:dyDescent="0.25">
      <c r="A2798" s="388"/>
      <c r="B2798" s="388"/>
    </row>
    <row r="2799" spans="1:2" x14ac:dyDescent="0.25">
      <c r="A2799" s="388"/>
      <c r="B2799" s="388"/>
    </row>
    <row r="2800" spans="1:2" x14ac:dyDescent="0.25">
      <c r="A2800" s="388"/>
      <c r="B2800" s="388"/>
    </row>
    <row r="2801" spans="1:2" x14ac:dyDescent="0.25">
      <c r="A2801" s="388"/>
      <c r="B2801" s="388"/>
    </row>
    <row r="2802" spans="1:2" x14ac:dyDescent="0.25">
      <c r="A2802" s="388"/>
      <c r="B2802" s="388"/>
    </row>
    <row r="2803" spans="1:2" x14ac:dyDescent="0.25">
      <c r="A2803" s="388"/>
      <c r="B2803" s="388"/>
    </row>
    <row r="2804" spans="1:2" x14ac:dyDescent="0.25">
      <c r="A2804" s="388"/>
      <c r="B2804" s="388"/>
    </row>
    <row r="2805" spans="1:2" x14ac:dyDescent="0.25">
      <c r="A2805" s="388"/>
      <c r="B2805" s="388"/>
    </row>
    <row r="2806" spans="1:2" x14ac:dyDescent="0.25">
      <c r="A2806" s="388"/>
      <c r="B2806" s="388"/>
    </row>
    <row r="2807" spans="1:2" x14ac:dyDescent="0.25">
      <c r="A2807" s="388"/>
      <c r="B2807" s="388"/>
    </row>
    <row r="2808" spans="1:2" x14ac:dyDescent="0.25">
      <c r="A2808" s="388"/>
      <c r="B2808" s="388"/>
    </row>
    <row r="2809" spans="1:2" x14ac:dyDescent="0.25">
      <c r="A2809" s="388"/>
      <c r="B2809" s="388"/>
    </row>
    <row r="2810" spans="1:2" x14ac:dyDescent="0.25">
      <c r="A2810" s="388"/>
      <c r="B2810" s="388"/>
    </row>
    <row r="2811" spans="1:2" x14ac:dyDescent="0.25">
      <c r="A2811" s="388"/>
      <c r="B2811" s="388"/>
    </row>
    <row r="2812" spans="1:2" x14ac:dyDescent="0.25">
      <c r="A2812" s="388"/>
      <c r="B2812" s="388"/>
    </row>
    <row r="2813" spans="1:2" x14ac:dyDescent="0.25">
      <c r="A2813" s="388"/>
      <c r="B2813" s="388"/>
    </row>
    <row r="2814" spans="1:2" x14ac:dyDescent="0.25">
      <c r="A2814" s="388"/>
      <c r="B2814" s="388"/>
    </row>
    <row r="2815" spans="1:2" x14ac:dyDescent="0.25">
      <c r="A2815" s="388"/>
      <c r="B2815" s="388"/>
    </row>
    <row r="2816" spans="1:2" x14ac:dyDescent="0.25">
      <c r="A2816" s="388"/>
      <c r="B2816" s="388"/>
    </row>
    <row r="2817" spans="1:2" x14ac:dyDescent="0.25">
      <c r="A2817" s="388"/>
      <c r="B2817" s="388"/>
    </row>
    <row r="2818" spans="1:2" x14ac:dyDescent="0.25">
      <c r="A2818" s="388"/>
      <c r="B2818" s="388"/>
    </row>
    <row r="2819" spans="1:2" x14ac:dyDescent="0.25">
      <c r="A2819" s="388"/>
      <c r="B2819" s="388"/>
    </row>
    <row r="2820" spans="1:2" x14ac:dyDescent="0.25">
      <c r="A2820" s="388"/>
      <c r="B2820" s="388"/>
    </row>
    <row r="2821" spans="1:2" x14ac:dyDescent="0.25">
      <c r="A2821" s="388"/>
      <c r="B2821" s="388"/>
    </row>
    <row r="2822" spans="1:2" x14ac:dyDescent="0.25">
      <c r="A2822" s="388"/>
      <c r="B2822" s="388"/>
    </row>
    <row r="2823" spans="1:2" x14ac:dyDescent="0.25">
      <c r="A2823" s="388"/>
      <c r="B2823" s="388"/>
    </row>
    <row r="2824" spans="1:2" x14ac:dyDescent="0.25">
      <c r="A2824" s="388"/>
      <c r="B2824" s="388"/>
    </row>
    <row r="2825" spans="1:2" x14ac:dyDescent="0.25">
      <c r="A2825" s="388"/>
      <c r="B2825" s="388"/>
    </row>
    <row r="2826" spans="1:2" x14ac:dyDescent="0.25">
      <c r="A2826" s="388"/>
      <c r="B2826" s="388"/>
    </row>
    <row r="2827" spans="1:2" x14ac:dyDescent="0.25">
      <c r="A2827" s="388"/>
      <c r="B2827" s="388"/>
    </row>
    <row r="2828" spans="1:2" x14ac:dyDescent="0.25">
      <c r="A2828" s="388"/>
      <c r="B2828" s="388"/>
    </row>
    <row r="2829" spans="1:2" x14ac:dyDescent="0.25">
      <c r="A2829" s="388"/>
      <c r="B2829" s="388"/>
    </row>
    <row r="2830" spans="1:2" x14ac:dyDescent="0.25">
      <c r="A2830" s="388"/>
      <c r="B2830" s="388"/>
    </row>
    <row r="2831" spans="1:2" x14ac:dyDescent="0.25">
      <c r="A2831" s="388"/>
      <c r="B2831" s="388"/>
    </row>
    <row r="2832" spans="1:2" x14ac:dyDescent="0.25">
      <c r="A2832" s="388"/>
      <c r="B2832" s="388"/>
    </row>
    <row r="2833" spans="1:2" x14ac:dyDescent="0.25">
      <c r="A2833" s="388"/>
      <c r="B2833" s="388"/>
    </row>
    <row r="2834" spans="1:2" x14ac:dyDescent="0.25">
      <c r="A2834" s="388"/>
      <c r="B2834" s="388"/>
    </row>
    <row r="2835" spans="1:2" x14ac:dyDescent="0.25">
      <c r="A2835" s="388"/>
      <c r="B2835" s="388"/>
    </row>
    <row r="2836" spans="1:2" x14ac:dyDescent="0.25">
      <c r="A2836" s="388"/>
      <c r="B2836" s="388"/>
    </row>
    <row r="2837" spans="1:2" x14ac:dyDescent="0.25">
      <c r="A2837" s="388"/>
      <c r="B2837" s="388"/>
    </row>
    <row r="2838" spans="1:2" x14ac:dyDescent="0.25">
      <c r="A2838" s="388"/>
      <c r="B2838" s="388"/>
    </row>
    <row r="2839" spans="1:2" x14ac:dyDescent="0.25">
      <c r="A2839" s="388"/>
      <c r="B2839" s="388"/>
    </row>
    <row r="2840" spans="1:2" x14ac:dyDescent="0.25">
      <c r="A2840" s="388"/>
      <c r="B2840" s="388"/>
    </row>
    <row r="2841" spans="1:2" x14ac:dyDescent="0.25">
      <c r="A2841" s="388"/>
      <c r="B2841" s="388"/>
    </row>
    <row r="2842" spans="1:2" x14ac:dyDescent="0.25">
      <c r="A2842" s="388"/>
      <c r="B2842" s="388"/>
    </row>
    <row r="2843" spans="1:2" x14ac:dyDescent="0.25">
      <c r="A2843" s="388"/>
      <c r="B2843" s="388"/>
    </row>
    <row r="2844" spans="1:2" x14ac:dyDescent="0.25">
      <c r="A2844" s="388"/>
      <c r="B2844" s="388"/>
    </row>
    <row r="2845" spans="1:2" x14ac:dyDescent="0.25">
      <c r="A2845" s="388"/>
      <c r="B2845" s="388"/>
    </row>
    <row r="2846" spans="1:2" x14ac:dyDescent="0.25">
      <c r="A2846" s="388"/>
      <c r="B2846" s="388"/>
    </row>
    <row r="2847" spans="1:2" x14ac:dyDescent="0.25">
      <c r="A2847" s="388"/>
      <c r="B2847" s="388"/>
    </row>
    <row r="2848" spans="1:2" x14ac:dyDescent="0.25">
      <c r="A2848" s="388"/>
      <c r="B2848" s="388"/>
    </row>
    <row r="2849" spans="1:2" x14ac:dyDescent="0.25">
      <c r="A2849" s="388"/>
      <c r="B2849" s="388"/>
    </row>
    <row r="2850" spans="1:2" x14ac:dyDescent="0.25">
      <c r="A2850" s="388"/>
      <c r="B2850" s="388"/>
    </row>
    <row r="2851" spans="1:2" x14ac:dyDescent="0.25">
      <c r="A2851" s="388"/>
      <c r="B2851" s="388"/>
    </row>
    <row r="2852" spans="1:2" x14ac:dyDescent="0.25">
      <c r="A2852" s="388"/>
      <c r="B2852" s="388"/>
    </row>
    <row r="2853" spans="1:2" x14ac:dyDescent="0.25">
      <c r="A2853" s="388"/>
      <c r="B2853" s="388"/>
    </row>
    <row r="2854" spans="1:2" x14ac:dyDescent="0.25">
      <c r="A2854" s="388"/>
      <c r="B2854" s="388"/>
    </row>
    <row r="2855" spans="1:2" x14ac:dyDescent="0.25">
      <c r="A2855" s="388"/>
      <c r="B2855" s="388"/>
    </row>
    <row r="2856" spans="1:2" x14ac:dyDescent="0.25">
      <c r="A2856" s="388"/>
      <c r="B2856" s="388"/>
    </row>
    <row r="2857" spans="1:2" x14ac:dyDescent="0.25">
      <c r="A2857" s="388"/>
      <c r="B2857" s="388"/>
    </row>
    <row r="2858" spans="1:2" x14ac:dyDescent="0.25">
      <c r="A2858" s="388"/>
      <c r="B2858" s="388"/>
    </row>
    <row r="2859" spans="1:2" x14ac:dyDescent="0.25">
      <c r="A2859" s="388"/>
      <c r="B2859" s="388"/>
    </row>
    <row r="2860" spans="1:2" x14ac:dyDescent="0.25">
      <c r="A2860" s="388"/>
      <c r="B2860" s="388"/>
    </row>
    <row r="2861" spans="1:2" x14ac:dyDescent="0.25">
      <c r="A2861" s="388"/>
      <c r="B2861" s="388"/>
    </row>
    <row r="2862" spans="1:2" x14ac:dyDescent="0.25">
      <c r="A2862" s="388"/>
      <c r="B2862" s="388"/>
    </row>
    <row r="2863" spans="1:2" x14ac:dyDescent="0.25">
      <c r="A2863" s="388"/>
      <c r="B2863" s="388"/>
    </row>
    <row r="2864" spans="1:2" x14ac:dyDescent="0.25">
      <c r="A2864" s="388"/>
      <c r="B2864" s="388"/>
    </row>
    <row r="2865" spans="1:2" x14ac:dyDescent="0.25">
      <c r="A2865" s="388"/>
      <c r="B2865" s="388"/>
    </row>
    <row r="2866" spans="1:2" x14ac:dyDescent="0.25">
      <c r="A2866" s="388"/>
      <c r="B2866" s="388"/>
    </row>
    <row r="2867" spans="1:2" x14ac:dyDescent="0.25">
      <c r="A2867" s="388"/>
      <c r="B2867" s="388"/>
    </row>
    <row r="2868" spans="1:2" x14ac:dyDescent="0.25">
      <c r="A2868" s="388"/>
      <c r="B2868" s="388"/>
    </row>
    <row r="2869" spans="1:2" x14ac:dyDescent="0.25">
      <c r="A2869" s="388"/>
      <c r="B2869" s="388"/>
    </row>
    <row r="2870" spans="1:2" x14ac:dyDescent="0.25">
      <c r="A2870" s="388"/>
      <c r="B2870" s="388"/>
    </row>
    <row r="2871" spans="1:2" x14ac:dyDescent="0.25">
      <c r="A2871" s="388"/>
      <c r="B2871" s="388"/>
    </row>
    <row r="2872" spans="1:2" x14ac:dyDescent="0.25">
      <c r="A2872" s="388"/>
      <c r="B2872" s="388"/>
    </row>
    <row r="2873" spans="1:2" x14ac:dyDescent="0.25">
      <c r="A2873" s="388"/>
      <c r="B2873" s="388"/>
    </row>
    <row r="2874" spans="1:2" x14ac:dyDescent="0.25">
      <c r="A2874" s="388"/>
      <c r="B2874" s="388"/>
    </row>
    <row r="2875" spans="1:2" x14ac:dyDescent="0.25">
      <c r="A2875" s="388"/>
      <c r="B2875" s="388"/>
    </row>
    <row r="2876" spans="1:2" x14ac:dyDescent="0.25">
      <c r="A2876" s="388"/>
      <c r="B2876" s="388"/>
    </row>
    <row r="2877" spans="1:2" x14ac:dyDescent="0.25">
      <c r="A2877" s="388"/>
      <c r="B2877" s="388"/>
    </row>
    <row r="2878" spans="1:2" x14ac:dyDescent="0.25">
      <c r="A2878" s="388"/>
      <c r="B2878" s="388"/>
    </row>
    <row r="2879" spans="1:2" x14ac:dyDescent="0.25">
      <c r="A2879" s="388"/>
      <c r="B2879" s="388"/>
    </row>
    <row r="2880" spans="1:2" x14ac:dyDescent="0.25">
      <c r="A2880" s="388"/>
      <c r="B2880" s="388"/>
    </row>
    <row r="2881" spans="1:2" x14ac:dyDescent="0.25">
      <c r="A2881" s="388"/>
      <c r="B2881" s="388"/>
    </row>
    <row r="2882" spans="1:2" x14ac:dyDescent="0.25">
      <c r="A2882" s="388"/>
      <c r="B2882" s="388"/>
    </row>
    <row r="2883" spans="1:2" x14ac:dyDescent="0.25">
      <c r="A2883" s="388"/>
      <c r="B2883" s="388"/>
    </row>
    <row r="2884" spans="1:2" x14ac:dyDescent="0.25">
      <c r="A2884" s="388"/>
      <c r="B2884" s="388"/>
    </row>
    <row r="2885" spans="1:2" x14ac:dyDescent="0.25">
      <c r="A2885" s="388"/>
      <c r="B2885" s="388"/>
    </row>
    <row r="2886" spans="1:2" x14ac:dyDescent="0.25">
      <c r="A2886" s="388"/>
      <c r="B2886" s="388"/>
    </row>
    <row r="2887" spans="1:2" x14ac:dyDescent="0.25">
      <c r="A2887" s="388"/>
      <c r="B2887" s="388"/>
    </row>
    <row r="2888" spans="1:2" x14ac:dyDescent="0.25">
      <c r="A2888" s="388"/>
      <c r="B2888" s="388"/>
    </row>
    <row r="2889" spans="1:2" x14ac:dyDescent="0.25">
      <c r="A2889" s="388"/>
      <c r="B2889" s="388"/>
    </row>
    <row r="2890" spans="1:2" x14ac:dyDescent="0.25">
      <c r="A2890" s="388"/>
      <c r="B2890" s="388"/>
    </row>
    <row r="2891" spans="1:2" x14ac:dyDescent="0.25">
      <c r="A2891" s="388"/>
      <c r="B2891" s="388"/>
    </row>
    <row r="2892" spans="1:2" x14ac:dyDescent="0.25">
      <c r="A2892" s="388"/>
      <c r="B2892" s="388"/>
    </row>
    <row r="2893" spans="1:2" x14ac:dyDescent="0.25">
      <c r="A2893" s="388"/>
      <c r="B2893" s="388"/>
    </row>
    <row r="2894" spans="1:2" x14ac:dyDescent="0.25">
      <c r="A2894" s="388"/>
      <c r="B2894" s="388"/>
    </row>
    <row r="2895" spans="1:2" x14ac:dyDescent="0.25">
      <c r="A2895" s="388"/>
      <c r="B2895" s="388"/>
    </row>
    <row r="2896" spans="1:2" x14ac:dyDescent="0.25">
      <c r="A2896" s="388"/>
      <c r="B2896" s="388"/>
    </row>
    <row r="2897" spans="1:2" x14ac:dyDescent="0.25">
      <c r="A2897" s="388"/>
      <c r="B2897" s="388"/>
    </row>
    <row r="2898" spans="1:2" x14ac:dyDescent="0.25">
      <c r="A2898" s="388"/>
      <c r="B2898" s="388"/>
    </row>
    <row r="2899" spans="1:2" x14ac:dyDescent="0.25">
      <c r="A2899" s="388"/>
      <c r="B2899" s="388"/>
    </row>
    <row r="2900" spans="1:2" x14ac:dyDescent="0.25">
      <c r="A2900" s="388"/>
      <c r="B2900" s="388"/>
    </row>
    <row r="2901" spans="1:2" x14ac:dyDescent="0.25">
      <c r="A2901" s="388"/>
      <c r="B2901" s="388"/>
    </row>
    <row r="2902" spans="1:2" x14ac:dyDescent="0.25">
      <c r="A2902" s="388"/>
      <c r="B2902" s="388"/>
    </row>
    <row r="2903" spans="1:2" x14ac:dyDescent="0.25">
      <c r="A2903" s="388"/>
      <c r="B2903" s="388"/>
    </row>
    <row r="2904" spans="1:2" x14ac:dyDescent="0.25">
      <c r="A2904" s="388"/>
      <c r="B2904" s="388"/>
    </row>
    <row r="2905" spans="1:2" x14ac:dyDescent="0.25">
      <c r="A2905" s="388"/>
      <c r="B2905" s="388"/>
    </row>
    <row r="2906" spans="1:2" x14ac:dyDescent="0.25">
      <c r="A2906" s="388"/>
      <c r="B2906" s="388"/>
    </row>
    <row r="2907" spans="1:2" x14ac:dyDescent="0.25">
      <c r="A2907" s="388"/>
      <c r="B2907" s="388"/>
    </row>
    <row r="2908" spans="1:2" x14ac:dyDescent="0.25">
      <c r="A2908" s="388"/>
      <c r="B2908" s="388"/>
    </row>
    <row r="2909" spans="1:2" x14ac:dyDescent="0.25">
      <c r="A2909" s="388"/>
      <c r="B2909" s="388"/>
    </row>
    <row r="2910" spans="1:2" x14ac:dyDescent="0.25">
      <c r="A2910" s="388"/>
      <c r="B2910" s="388"/>
    </row>
    <row r="2911" spans="1:2" x14ac:dyDescent="0.25">
      <c r="A2911" s="388"/>
      <c r="B2911" s="388"/>
    </row>
    <row r="2912" spans="1:2" x14ac:dyDescent="0.25">
      <c r="A2912" s="388"/>
      <c r="B2912" s="388"/>
    </row>
    <row r="2913" spans="1:2" x14ac:dyDescent="0.25">
      <c r="A2913" s="388"/>
      <c r="B2913" s="388"/>
    </row>
    <row r="2914" spans="1:2" x14ac:dyDescent="0.25">
      <c r="A2914" s="388"/>
      <c r="B2914" s="388"/>
    </row>
    <row r="2915" spans="1:2" x14ac:dyDescent="0.25">
      <c r="A2915" s="388"/>
      <c r="B2915" s="388"/>
    </row>
    <row r="2916" spans="1:2" x14ac:dyDescent="0.25">
      <c r="A2916" s="388"/>
      <c r="B2916" s="388"/>
    </row>
    <row r="2917" spans="1:2" x14ac:dyDescent="0.25">
      <c r="A2917" s="388"/>
      <c r="B2917" s="388"/>
    </row>
    <row r="2918" spans="1:2" x14ac:dyDescent="0.25">
      <c r="A2918" s="388"/>
      <c r="B2918" s="388"/>
    </row>
    <row r="2919" spans="1:2" x14ac:dyDescent="0.25">
      <c r="A2919" s="388"/>
      <c r="B2919" s="388"/>
    </row>
    <row r="2920" spans="1:2" x14ac:dyDescent="0.25">
      <c r="A2920" s="388"/>
      <c r="B2920" s="388"/>
    </row>
    <row r="2921" spans="1:2" x14ac:dyDescent="0.25">
      <c r="A2921" s="388"/>
      <c r="B2921" s="388"/>
    </row>
    <row r="2922" spans="1:2" x14ac:dyDescent="0.25">
      <c r="A2922" s="388"/>
      <c r="B2922" s="388"/>
    </row>
    <row r="2923" spans="1:2" x14ac:dyDescent="0.25">
      <c r="A2923" s="388"/>
      <c r="B2923" s="388"/>
    </row>
    <row r="2924" spans="1:2" x14ac:dyDescent="0.25">
      <c r="A2924" s="388"/>
      <c r="B2924" s="388"/>
    </row>
    <row r="2925" spans="1:2" x14ac:dyDescent="0.25">
      <c r="A2925" s="388"/>
      <c r="B2925" s="388"/>
    </row>
    <row r="2926" spans="1:2" x14ac:dyDescent="0.25">
      <c r="A2926" s="388"/>
      <c r="B2926" s="388"/>
    </row>
    <row r="2927" spans="1:2" x14ac:dyDescent="0.25">
      <c r="A2927" s="388"/>
      <c r="B2927" s="388"/>
    </row>
    <row r="2928" spans="1:2" x14ac:dyDescent="0.25">
      <c r="A2928" s="388"/>
      <c r="B2928" s="388"/>
    </row>
    <row r="2929" spans="1:2" x14ac:dyDescent="0.25">
      <c r="A2929" s="388"/>
      <c r="B2929" s="388"/>
    </row>
    <row r="2930" spans="1:2" x14ac:dyDescent="0.25">
      <c r="A2930" s="388"/>
      <c r="B2930" s="388"/>
    </row>
    <row r="2931" spans="1:2" x14ac:dyDescent="0.25">
      <c r="A2931" s="388"/>
      <c r="B2931" s="388"/>
    </row>
    <row r="2932" spans="1:2" x14ac:dyDescent="0.25">
      <c r="A2932" s="388"/>
      <c r="B2932" s="388"/>
    </row>
    <row r="2933" spans="1:2" x14ac:dyDescent="0.25">
      <c r="A2933" s="388"/>
      <c r="B2933" s="388"/>
    </row>
    <row r="2934" spans="1:2" x14ac:dyDescent="0.25">
      <c r="A2934" s="388"/>
      <c r="B2934" s="388"/>
    </row>
    <row r="2935" spans="1:2" x14ac:dyDescent="0.25">
      <c r="A2935" s="388"/>
      <c r="B2935" s="388"/>
    </row>
    <row r="2936" spans="1:2" x14ac:dyDescent="0.25">
      <c r="A2936" s="388"/>
      <c r="B2936" s="388"/>
    </row>
    <row r="2937" spans="1:2" x14ac:dyDescent="0.25">
      <c r="A2937" s="388"/>
      <c r="B2937" s="388"/>
    </row>
    <row r="2938" spans="1:2" x14ac:dyDescent="0.25">
      <c r="A2938" s="388"/>
      <c r="B2938" s="388"/>
    </row>
    <row r="2939" spans="1:2" x14ac:dyDescent="0.25">
      <c r="A2939" s="388"/>
      <c r="B2939" s="388"/>
    </row>
    <row r="2940" spans="1:2" x14ac:dyDescent="0.25">
      <c r="A2940" s="388"/>
      <c r="B2940" s="388"/>
    </row>
    <row r="2941" spans="1:2" x14ac:dyDescent="0.25">
      <c r="A2941" s="388"/>
      <c r="B2941" s="388"/>
    </row>
    <row r="2942" spans="1:2" x14ac:dyDescent="0.25">
      <c r="A2942" s="388"/>
      <c r="B2942" s="388"/>
    </row>
    <row r="2943" spans="1:2" x14ac:dyDescent="0.25">
      <c r="A2943" s="388"/>
      <c r="B2943" s="388"/>
    </row>
    <row r="2944" spans="1:2" x14ac:dyDescent="0.25">
      <c r="A2944" s="388"/>
      <c r="B2944" s="388"/>
    </row>
    <row r="2945" spans="1:2" x14ac:dyDescent="0.25">
      <c r="A2945" s="388"/>
      <c r="B2945" s="388"/>
    </row>
    <row r="2946" spans="1:2" x14ac:dyDescent="0.25">
      <c r="A2946" s="388"/>
      <c r="B2946" s="388"/>
    </row>
    <row r="2947" spans="1:2" x14ac:dyDescent="0.25">
      <c r="A2947" s="388"/>
      <c r="B2947" s="388"/>
    </row>
    <row r="2948" spans="1:2" x14ac:dyDescent="0.25">
      <c r="A2948" s="388"/>
      <c r="B2948" s="388"/>
    </row>
    <row r="2949" spans="1:2" x14ac:dyDescent="0.25">
      <c r="A2949" s="388"/>
      <c r="B2949" s="388"/>
    </row>
    <row r="2950" spans="1:2" x14ac:dyDescent="0.25">
      <c r="A2950" s="388"/>
      <c r="B2950" s="388"/>
    </row>
    <row r="2951" spans="1:2" x14ac:dyDescent="0.25">
      <c r="A2951" s="388"/>
      <c r="B2951" s="388"/>
    </row>
    <row r="2952" spans="1:2" x14ac:dyDescent="0.25">
      <c r="A2952" s="388"/>
      <c r="B2952" s="388"/>
    </row>
    <row r="2953" spans="1:2" x14ac:dyDescent="0.25">
      <c r="A2953" s="388"/>
      <c r="B2953" s="388"/>
    </row>
    <row r="2954" spans="1:2" x14ac:dyDescent="0.25">
      <c r="A2954" s="388"/>
      <c r="B2954" s="388"/>
    </row>
    <row r="2955" spans="1:2" x14ac:dyDescent="0.25">
      <c r="A2955" s="388"/>
      <c r="B2955" s="388"/>
    </row>
    <row r="2956" spans="1:2" x14ac:dyDescent="0.25">
      <c r="A2956" s="388"/>
      <c r="B2956" s="388"/>
    </row>
    <row r="2957" spans="1:2" x14ac:dyDescent="0.25">
      <c r="A2957" s="388"/>
      <c r="B2957" s="388"/>
    </row>
    <row r="2958" spans="1:2" x14ac:dyDescent="0.25">
      <c r="A2958" s="388"/>
      <c r="B2958" s="388"/>
    </row>
    <row r="2959" spans="1:2" x14ac:dyDescent="0.25">
      <c r="A2959" s="388"/>
      <c r="B2959" s="388"/>
    </row>
    <row r="2960" spans="1:2" x14ac:dyDescent="0.25">
      <c r="A2960" s="388"/>
      <c r="B2960" s="388"/>
    </row>
    <row r="2961" spans="1:2" x14ac:dyDescent="0.25">
      <c r="A2961" s="388"/>
      <c r="B2961" s="388"/>
    </row>
    <row r="2962" spans="1:2" x14ac:dyDescent="0.25">
      <c r="A2962" s="388"/>
      <c r="B2962" s="388"/>
    </row>
    <row r="2963" spans="1:2" x14ac:dyDescent="0.25">
      <c r="A2963" s="388"/>
      <c r="B2963" s="388"/>
    </row>
    <row r="2964" spans="1:2" x14ac:dyDescent="0.25">
      <c r="A2964" s="388"/>
      <c r="B2964" s="388"/>
    </row>
    <row r="2965" spans="1:2" x14ac:dyDescent="0.25">
      <c r="A2965" s="388"/>
      <c r="B2965" s="388"/>
    </row>
    <row r="2966" spans="1:2" x14ac:dyDescent="0.25">
      <c r="A2966" s="388"/>
      <c r="B2966" s="388"/>
    </row>
    <row r="2967" spans="1:2" x14ac:dyDescent="0.25">
      <c r="A2967" s="388"/>
      <c r="B2967" s="388"/>
    </row>
    <row r="2968" spans="1:2" x14ac:dyDescent="0.25">
      <c r="A2968" s="388"/>
      <c r="B2968" s="388"/>
    </row>
    <row r="2969" spans="1:2" x14ac:dyDescent="0.25">
      <c r="A2969" s="388"/>
      <c r="B2969" s="388"/>
    </row>
    <row r="2970" spans="1:2" x14ac:dyDescent="0.25">
      <c r="A2970" s="388"/>
      <c r="B2970" s="388"/>
    </row>
    <row r="2971" spans="1:2" x14ac:dyDescent="0.25">
      <c r="A2971" s="388"/>
      <c r="B2971" s="388"/>
    </row>
    <row r="2972" spans="1:2" x14ac:dyDescent="0.25">
      <c r="A2972" s="388"/>
      <c r="B2972" s="388"/>
    </row>
    <row r="2973" spans="1:2" x14ac:dyDescent="0.25">
      <c r="A2973" s="388"/>
      <c r="B2973" s="388"/>
    </row>
    <row r="2974" spans="1:2" x14ac:dyDescent="0.25">
      <c r="A2974" s="388"/>
      <c r="B2974" s="388"/>
    </row>
    <row r="2975" spans="1:2" x14ac:dyDescent="0.25">
      <c r="A2975" s="388"/>
      <c r="B2975" s="388"/>
    </row>
    <row r="2976" spans="1:2" x14ac:dyDescent="0.25">
      <c r="A2976" s="388"/>
      <c r="B2976" s="388"/>
    </row>
    <row r="2977" spans="1:2" x14ac:dyDescent="0.25">
      <c r="A2977" s="388"/>
      <c r="B2977" s="388"/>
    </row>
    <row r="2978" spans="1:2" x14ac:dyDescent="0.25">
      <c r="A2978" s="388"/>
      <c r="B2978" s="388"/>
    </row>
    <row r="2979" spans="1:2" x14ac:dyDescent="0.25">
      <c r="A2979" s="388"/>
      <c r="B2979" s="388"/>
    </row>
    <row r="2980" spans="1:2" x14ac:dyDescent="0.25">
      <c r="A2980" s="388"/>
      <c r="B2980" s="388"/>
    </row>
    <row r="2981" spans="1:2" x14ac:dyDescent="0.25">
      <c r="A2981" s="388"/>
      <c r="B2981" s="388"/>
    </row>
    <row r="2982" spans="1:2" x14ac:dyDescent="0.25">
      <c r="A2982" s="388"/>
      <c r="B2982" s="388"/>
    </row>
    <row r="2983" spans="1:2" x14ac:dyDescent="0.25">
      <c r="A2983" s="388"/>
      <c r="B2983" s="388"/>
    </row>
    <row r="2984" spans="1:2" x14ac:dyDescent="0.25">
      <c r="A2984" s="388"/>
      <c r="B2984" s="388"/>
    </row>
    <row r="2985" spans="1:2" x14ac:dyDescent="0.25">
      <c r="A2985" s="388"/>
      <c r="B2985" s="388"/>
    </row>
    <row r="2986" spans="1:2" x14ac:dyDescent="0.25">
      <c r="A2986" s="388"/>
      <c r="B2986" s="388"/>
    </row>
    <row r="2987" spans="1:2" x14ac:dyDescent="0.25">
      <c r="A2987" s="388"/>
      <c r="B2987" s="388"/>
    </row>
    <row r="2988" spans="1:2" x14ac:dyDescent="0.25">
      <c r="A2988" s="388"/>
      <c r="B2988" s="388"/>
    </row>
    <row r="2989" spans="1:2" x14ac:dyDescent="0.25">
      <c r="A2989" s="388"/>
      <c r="B2989" s="388"/>
    </row>
    <row r="2990" spans="1:2" x14ac:dyDescent="0.25">
      <c r="A2990" s="388"/>
      <c r="B2990" s="388"/>
    </row>
    <row r="2991" spans="1:2" x14ac:dyDescent="0.25">
      <c r="A2991" s="388"/>
      <c r="B2991" s="388"/>
    </row>
    <row r="2992" spans="1:2" x14ac:dyDescent="0.25">
      <c r="A2992" s="388"/>
      <c r="B2992" s="388"/>
    </row>
    <row r="2993" spans="1:2" x14ac:dyDescent="0.25">
      <c r="A2993" s="388"/>
      <c r="B2993" s="388"/>
    </row>
    <row r="2994" spans="1:2" x14ac:dyDescent="0.25">
      <c r="A2994" s="388"/>
      <c r="B2994" s="388"/>
    </row>
    <row r="2995" spans="1:2" x14ac:dyDescent="0.25">
      <c r="A2995" s="388"/>
      <c r="B2995" s="388"/>
    </row>
    <row r="2996" spans="1:2" x14ac:dyDescent="0.25">
      <c r="A2996" s="388"/>
      <c r="B2996" s="388"/>
    </row>
    <row r="2997" spans="1:2" x14ac:dyDescent="0.25">
      <c r="A2997" s="388"/>
      <c r="B2997" s="388"/>
    </row>
    <row r="2998" spans="1:2" x14ac:dyDescent="0.25">
      <c r="A2998" s="388"/>
      <c r="B2998" s="388"/>
    </row>
    <row r="2999" spans="1:2" x14ac:dyDescent="0.25">
      <c r="A2999" s="388"/>
      <c r="B2999" s="388"/>
    </row>
    <row r="3000" spans="1:2" x14ac:dyDescent="0.25">
      <c r="A3000" s="388"/>
      <c r="B3000" s="388"/>
    </row>
    <row r="3001" spans="1:2" x14ac:dyDescent="0.25">
      <c r="A3001" s="388"/>
      <c r="B3001" s="388"/>
    </row>
    <row r="3002" spans="1:2" x14ac:dyDescent="0.25">
      <c r="A3002" s="388"/>
      <c r="B3002" s="388"/>
    </row>
    <row r="3003" spans="1:2" x14ac:dyDescent="0.25">
      <c r="A3003" s="388"/>
      <c r="B3003" s="388"/>
    </row>
    <row r="3004" spans="1:2" x14ac:dyDescent="0.25">
      <c r="A3004" s="388"/>
      <c r="B3004" s="388"/>
    </row>
    <row r="3005" spans="1:2" x14ac:dyDescent="0.25">
      <c r="A3005" s="388"/>
      <c r="B3005" s="388"/>
    </row>
    <row r="3006" spans="1:2" x14ac:dyDescent="0.25">
      <c r="A3006" s="388"/>
      <c r="B3006" s="388"/>
    </row>
    <row r="3007" spans="1:2" x14ac:dyDescent="0.25">
      <c r="A3007" s="388"/>
      <c r="B3007" s="388"/>
    </row>
    <row r="3008" spans="1:2" x14ac:dyDescent="0.25">
      <c r="A3008" s="388"/>
      <c r="B3008" s="388"/>
    </row>
    <row r="3009" spans="1:2" x14ac:dyDescent="0.25">
      <c r="A3009" s="388"/>
      <c r="B3009" s="388"/>
    </row>
    <row r="3010" spans="1:2" x14ac:dyDescent="0.25">
      <c r="A3010" s="388"/>
      <c r="B3010" s="388"/>
    </row>
    <row r="3011" spans="1:2" x14ac:dyDescent="0.25">
      <c r="A3011" s="388"/>
      <c r="B3011" s="388"/>
    </row>
    <row r="3012" spans="1:2" x14ac:dyDescent="0.25">
      <c r="A3012" s="388"/>
      <c r="B3012" s="388"/>
    </row>
    <row r="3013" spans="1:2" x14ac:dyDescent="0.25">
      <c r="A3013" s="388"/>
      <c r="B3013" s="388"/>
    </row>
    <row r="3014" spans="1:2" x14ac:dyDescent="0.25">
      <c r="A3014" s="388"/>
      <c r="B3014" s="388"/>
    </row>
    <row r="3015" spans="1:2" x14ac:dyDescent="0.25">
      <c r="A3015" s="388"/>
      <c r="B3015" s="388"/>
    </row>
    <row r="3016" spans="1:2" x14ac:dyDescent="0.25">
      <c r="A3016" s="388"/>
      <c r="B3016" s="388"/>
    </row>
    <row r="3017" spans="1:2" x14ac:dyDescent="0.25">
      <c r="A3017" s="388"/>
      <c r="B3017" s="388"/>
    </row>
    <row r="3018" spans="1:2" x14ac:dyDescent="0.25">
      <c r="A3018" s="388"/>
      <c r="B3018" s="388"/>
    </row>
    <row r="3019" spans="1:2" x14ac:dyDescent="0.25">
      <c r="A3019" s="388"/>
      <c r="B3019" s="388"/>
    </row>
    <row r="3020" spans="1:2" x14ac:dyDescent="0.25">
      <c r="A3020" s="388"/>
      <c r="B3020" s="388"/>
    </row>
    <row r="3021" spans="1:2" x14ac:dyDescent="0.25">
      <c r="A3021" s="388"/>
      <c r="B3021" s="388"/>
    </row>
    <row r="3022" spans="1:2" x14ac:dyDescent="0.25">
      <c r="A3022" s="388"/>
      <c r="B3022" s="388"/>
    </row>
    <row r="3023" spans="1:2" x14ac:dyDescent="0.25">
      <c r="A3023" s="388"/>
      <c r="B3023" s="388"/>
    </row>
    <row r="3024" spans="1:2" x14ac:dyDescent="0.25">
      <c r="A3024" s="388"/>
      <c r="B3024" s="388"/>
    </row>
    <row r="3025" spans="1:2" x14ac:dyDescent="0.25">
      <c r="A3025" s="388"/>
      <c r="B3025" s="388"/>
    </row>
    <row r="3026" spans="1:2" x14ac:dyDescent="0.25">
      <c r="A3026" s="388"/>
      <c r="B3026" s="388"/>
    </row>
    <row r="3027" spans="1:2" x14ac:dyDescent="0.25">
      <c r="A3027" s="388"/>
      <c r="B3027" s="388"/>
    </row>
    <row r="3028" spans="1:2" x14ac:dyDescent="0.25">
      <c r="A3028" s="388"/>
      <c r="B3028" s="388"/>
    </row>
    <row r="3029" spans="1:2" x14ac:dyDescent="0.25">
      <c r="A3029" s="388"/>
      <c r="B3029" s="388"/>
    </row>
    <row r="3030" spans="1:2" x14ac:dyDescent="0.25">
      <c r="A3030" s="388"/>
      <c r="B3030" s="388"/>
    </row>
    <row r="3031" spans="1:2" x14ac:dyDescent="0.25">
      <c r="A3031" s="388"/>
      <c r="B3031" s="388"/>
    </row>
    <row r="3032" spans="1:2" x14ac:dyDescent="0.25">
      <c r="A3032" s="388"/>
      <c r="B3032" s="388"/>
    </row>
    <row r="3033" spans="1:2" x14ac:dyDescent="0.25">
      <c r="A3033" s="388"/>
      <c r="B3033" s="388"/>
    </row>
    <row r="3034" spans="1:2" x14ac:dyDescent="0.25">
      <c r="A3034" s="388"/>
      <c r="B3034" s="388"/>
    </row>
    <row r="3035" spans="1:2" x14ac:dyDescent="0.25">
      <c r="A3035" s="388"/>
      <c r="B3035" s="388"/>
    </row>
    <row r="3036" spans="1:2" x14ac:dyDescent="0.25">
      <c r="A3036" s="388"/>
      <c r="B3036" s="388"/>
    </row>
    <row r="3037" spans="1:2" x14ac:dyDescent="0.25">
      <c r="A3037" s="388"/>
      <c r="B3037" s="388"/>
    </row>
    <row r="3038" spans="1:2" x14ac:dyDescent="0.25">
      <c r="A3038" s="388"/>
      <c r="B3038" s="388"/>
    </row>
    <row r="3039" spans="1:2" x14ac:dyDescent="0.25">
      <c r="A3039" s="388"/>
      <c r="B3039" s="388"/>
    </row>
    <row r="3040" spans="1:2" x14ac:dyDescent="0.25">
      <c r="A3040" s="388"/>
      <c r="B3040" s="388"/>
    </row>
    <row r="3041" spans="1:2" x14ac:dyDescent="0.25">
      <c r="A3041" s="388"/>
      <c r="B3041" s="388"/>
    </row>
    <row r="3042" spans="1:2" x14ac:dyDescent="0.25">
      <c r="A3042" s="388"/>
      <c r="B3042" s="388"/>
    </row>
    <row r="3043" spans="1:2" x14ac:dyDescent="0.25">
      <c r="A3043" s="388"/>
      <c r="B3043" s="388"/>
    </row>
    <row r="3044" spans="1:2" x14ac:dyDescent="0.25">
      <c r="A3044" s="388"/>
      <c r="B3044" s="388"/>
    </row>
    <row r="3045" spans="1:2" x14ac:dyDescent="0.25">
      <c r="A3045" s="388"/>
      <c r="B3045" s="388"/>
    </row>
    <row r="3046" spans="1:2" x14ac:dyDescent="0.25">
      <c r="A3046" s="388"/>
      <c r="B3046" s="388"/>
    </row>
    <row r="3047" spans="1:2" x14ac:dyDescent="0.25">
      <c r="A3047" s="388"/>
      <c r="B3047" s="388"/>
    </row>
    <row r="3048" spans="1:2" x14ac:dyDescent="0.25">
      <c r="A3048" s="388"/>
      <c r="B3048" s="388"/>
    </row>
    <row r="3049" spans="1:2" x14ac:dyDescent="0.25">
      <c r="A3049" s="388"/>
      <c r="B3049" s="388"/>
    </row>
    <row r="3050" spans="1:2" x14ac:dyDescent="0.25">
      <c r="A3050" s="388"/>
      <c r="B3050" s="388"/>
    </row>
    <row r="3051" spans="1:2" x14ac:dyDescent="0.25">
      <c r="A3051" s="388"/>
      <c r="B3051" s="388"/>
    </row>
    <row r="3052" spans="1:2" x14ac:dyDescent="0.25">
      <c r="A3052" s="388"/>
      <c r="B3052" s="388"/>
    </row>
    <row r="3053" spans="1:2" x14ac:dyDescent="0.25">
      <c r="A3053" s="388"/>
      <c r="B3053" s="388"/>
    </row>
    <row r="3054" spans="1:2" x14ac:dyDescent="0.25">
      <c r="A3054" s="388"/>
      <c r="B3054" s="388"/>
    </row>
    <row r="3055" spans="1:2" x14ac:dyDescent="0.25">
      <c r="A3055" s="388"/>
      <c r="B3055" s="388"/>
    </row>
    <row r="3056" spans="1:2" x14ac:dyDescent="0.25">
      <c r="A3056" s="388"/>
      <c r="B3056" s="388"/>
    </row>
    <row r="3057" spans="1:2" x14ac:dyDescent="0.25">
      <c r="A3057" s="388"/>
      <c r="B3057" s="388"/>
    </row>
    <row r="3058" spans="1:2" x14ac:dyDescent="0.25">
      <c r="A3058" s="388"/>
      <c r="B3058" s="388"/>
    </row>
    <row r="3059" spans="1:2" x14ac:dyDescent="0.25">
      <c r="A3059" s="388"/>
      <c r="B3059" s="388"/>
    </row>
    <row r="3060" spans="1:2" x14ac:dyDescent="0.25">
      <c r="A3060" s="388"/>
      <c r="B3060" s="388"/>
    </row>
    <row r="3061" spans="1:2" x14ac:dyDescent="0.25">
      <c r="A3061" s="388"/>
      <c r="B3061" s="388"/>
    </row>
    <row r="3062" spans="1:2" x14ac:dyDescent="0.25">
      <c r="A3062" s="388"/>
      <c r="B3062" s="388"/>
    </row>
    <row r="3063" spans="1:2" x14ac:dyDescent="0.25">
      <c r="A3063" s="388"/>
      <c r="B3063" s="388"/>
    </row>
    <row r="3064" spans="1:2" x14ac:dyDescent="0.25">
      <c r="A3064" s="388"/>
      <c r="B3064" s="388"/>
    </row>
    <row r="3065" spans="1:2" x14ac:dyDescent="0.25">
      <c r="A3065" s="388"/>
      <c r="B3065" s="388"/>
    </row>
    <row r="3066" spans="1:2" x14ac:dyDescent="0.25">
      <c r="A3066" s="388"/>
      <c r="B3066" s="388"/>
    </row>
    <row r="3067" spans="1:2" x14ac:dyDescent="0.25">
      <c r="A3067" s="388"/>
      <c r="B3067" s="388"/>
    </row>
    <row r="3068" spans="1:2" x14ac:dyDescent="0.25">
      <c r="A3068" s="388"/>
      <c r="B3068" s="388"/>
    </row>
    <row r="3069" spans="1:2" x14ac:dyDescent="0.25">
      <c r="A3069" s="388"/>
      <c r="B3069" s="388"/>
    </row>
    <row r="3070" spans="1:2" x14ac:dyDescent="0.25">
      <c r="A3070" s="388"/>
      <c r="B3070" s="388"/>
    </row>
    <row r="3071" spans="1:2" x14ac:dyDescent="0.25">
      <c r="A3071" s="388"/>
      <c r="B3071" s="388"/>
    </row>
    <row r="3072" spans="1:2" x14ac:dyDescent="0.25">
      <c r="A3072" s="388"/>
      <c r="B3072" s="388"/>
    </row>
    <row r="3073" spans="1:2" x14ac:dyDescent="0.25">
      <c r="A3073" s="388"/>
      <c r="B3073" s="388"/>
    </row>
    <row r="3074" spans="1:2" x14ac:dyDescent="0.25">
      <c r="A3074" s="388"/>
      <c r="B3074" s="388"/>
    </row>
    <row r="3075" spans="1:2" x14ac:dyDescent="0.25">
      <c r="A3075" s="388"/>
      <c r="B3075" s="388"/>
    </row>
    <row r="3076" spans="1:2" x14ac:dyDescent="0.25">
      <c r="A3076" s="388"/>
      <c r="B3076" s="388"/>
    </row>
    <row r="3077" spans="1:2" x14ac:dyDescent="0.25">
      <c r="A3077" s="388"/>
      <c r="B3077" s="388"/>
    </row>
    <row r="3078" spans="1:2" x14ac:dyDescent="0.25">
      <c r="A3078" s="388"/>
      <c r="B3078" s="388"/>
    </row>
    <row r="3079" spans="1:2" x14ac:dyDescent="0.25">
      <c r="A3079" s="388"/>
      <c r="B3079" s="388"/>
    </row>
    <row r="3080" spans="1:2" x14ac:dyDescent="0.25">
      <c r="A3080" s="388"/>
      <c r="B3080" s="388"/>
    </row>
    <row r="3081" spans="1:2" x14ac:dyDescent="0.25">
      <c r="A3081" s="388"/>
      <c r="B3081" s="388"/>
    </row>
    <row r="3082" spans="1:2" x14ac:dyDescent="0.25">
      <c r="A3082" s="388"/>
      <c r="B3082" s="388"/>
    </row>
    <row r="3083" spans="1:2" x14ac:dyDescent="0.25">
      <c r="A3083" s="388"/>
      <c r="B3083" s="388"/>
    </row>
    <row r="3084" spans="1:2" x14ac:dyDescent="0.25">
      <c r="A3084" s="388"/>
      <c r="B3084" s="388"/>
    </row>
    <row r="3085" spans="1:2" x14ac:dyDescent="0.25">
      <c r="A3085" s="388"/>
      <c r="B3085" s="388"/>
    </row>
    <row r="3086" spans="1:2" x14ac:dyDescent="0.25">
      <c r="A3086" s="388"/>
      <c r="B3086" s="388"/>
    </row>
    <row r="3087" spans="1:2" x14ac:dyDescent="0.25">
      <c r="A3087" s="388"/>
      <c r="B3087" s="388"/>
    </row>
    <row r="3088" spans="1:2" x14ac:dyDescent="0.25">
      <c r="A3088" s="388"/>
      <c r="B3088" s="388"/>
    </row>
    <row r="3089" spans="1:2" x14ac:dyDescent="0.25">
      <c r="A3089" s="388"/>
      <c r="B3089" s="388"/>
    </row>
    <row r="3090" spans="1:2" x14ac:dyDescent="0.25">
      <c r="A3090" s="388"/>
      <c r="B3090" s="388"/>
    </row>
    <row r="3091" spans="1:2" x14ac:dyDescent="0.25">
      <c r="A3091" s="388"/>
      <c r="B3091" s="388"/>
    </row>
    <row r="3092" spans="1:2" x14ac:dyDescent="0.25">
      <c r="A3092" s="388"/>
      <c r="B3092" s="388"/>
    </row>
    <row r="3093" spans="1:2" x14ac:dyDescent="0.25">
      <c r="A3093" s="388"/>
      <c r="B3093" s="388"/>
    </row>
    <row r="3094" spans="1:2" x14ac:dyDescent="0.25">
      <c r="A3094" s="388"/>
      <c r="B3094" s="388"/>
    </row>
    <row r="3095" spans="1:2" x14ac:dyDescent="0.25">
      <c r="A3095" s="388"/>
      <c r="B3095" s="388"/>
    </row>
    <row r="3096" spans="1:2" x14ac:dyDescent="0.25">
      <c r="A3096" s="388"/>
      <c r="B3096" s="388"/>
    </row>
    <row r="3097" spans="1:2" x14ac:dyDescent="0.25">
      <c r="A3097" s="388"/>
      <c r="B3097" s="388"/>
    </row>
    <row r="3098" spans="1:2" x14ac:dyDescent="0.25">
      <c r="A3098" s="388"/>
      <c r="B3098" s="388"/>
    </row>
    <row r="3099" spans="1:2" x14ac:dyDescent="0.25">
      <c r="A3099" s="388"/>
      <c r="B3099" s="388"/>
    </row>
    <row r="3100" spans="1:2" x14ac:dyDescent="0.25">
      <c r="A3100" s="388"/>
      <c r="B3100" s="388"/>
    </row>
    <row r="3101" spans="1:2" x14ac:dyDescent="0.25">
      <c r="A3101" s="388"/>
      <c r="B3101" s="388"/>
    </row>
    <row r="3102" spans="1:2" x14ac:dyDescent="0.25">
      <c r="A3102" s="388"/>
      <c r="B3102" s="388"/>
    </row>
    <row r="3103" spans="1:2" x14ac:dyDescent="0.25">
      <c r="A3103" s="388"/>
      <c r="B3103" s="388"/>
    </row>
    <row r="3104" spans="1:2" x14ac:dyDescent="0.25">
      <c r="A3104" s="388"/>
      <c r="B3104" s="388"/>
    </row>
    <row r="3105" spans="1:2" x14ac:dyDescent="0.25">
      <c r="A3105" s="388"/>
      <c r="B3105" s="388"/>
    </row>
    <row r="3106" spans="1:2" x14ac:dyDescent="0.25">
      <c r="A3106" s="388"/>
      <c r="B3106" s="388"/>
    </row>
    <row r="3107" spans="1:2" x14ac:dyDescent="0.25">
      <c r="A3107" s="388"/>
      <c r="B3107" s="388"/>
    </row>
    <row r="3108" spans="1:2" x14ac:dyDescent="0.25">
      <c r="A3108" s="388"/>
      <c r="B3108" s="388"/>
    </row>
    <row r="3109" spans="1:2" x14ac:dyDescent="0.25">
      <c r="A3109" s="388"/>
      <c r="B3109" s="388"/>
    </row>
    <row r="3110" spans="1:2" x14ac:dyDescent="0.25">
      <c r="A3110" s="388"/>
      <c r="B3110" s="388"/>
    </row>
    <row r="3111" spans="1:2" x14ac:dyDescent="0.25">
      <c r="A3111" s="388"/>
      <c r="B3111" s="388"/>
    </row>
    <row r="3112" spans="1:2" x14ac:dyDescent="0.25">
      <c r="A3112" s="388"/>
      <c r="B3112" s="388"/>
    </row>
    <row r="3113" spans="1:2" x14ac:dyDescent="0.25">
      <c r="A3113" s="388"/>
      <c r="B3113" s="388"/>
    </row>
    <row r="3114" spans="1:2" x14ac:dyDescent="0.25">
      <c r="A3114" s="388"/>
      <c r="B3114" s="388"/>
    </row>
    <row r="3115" spans="1:2" x14ac:dyDescent="0.25">
      <c r="A3115" s="388"/>
      <c r="B3115" s="388"/>
    </row>
    <row r="3116" spans="1:2" x14ac:dyDescent="0.25">
      <c r="A3116" s="388"/>
      <c r="B3116" s="388"/>
    </row>
    <row r="3117" spans="1:2" x14ac:dyDescent="0.25">
      <c r="A3117" s="388"/>
      <c r="B3117" s="388"/>
    </row>
    <row r="3118" spans="1:2" x14ac:dyDescent="0.25">
      <c r="A3118" s="388"/>
      <c r="B3118" s="388"/>
    </row>
    <row r="3119" spans="1:2" x14ac:dyDescent="0.25">
      <c r="A3119" s="388"/>
      <c r="B3119" s="388"/>
    </row>
    <row r="3120" spans="1:2" x14ac:dyDescent="0.25">
      <c r="A3120" s="388"/>
      <c r="B3120" s="388"/>
    </row>
    <row r="3121" spans="1:2" x14ac:dyDescent="0.25">
      <c r="A3121" s="388"/>
      <c r="B3121" s="388"/>
    </row>
    <row r="3122" spans="1:2" x14ac:dyDescent="0.25">
      <c r="A3122" s="388"/>
      <c r="B3122" s="388"/>
    </row>
    <row r="3123" spans="1:2" x14ac:dyDescent="0.25">
      <c r="A3123" s="388"/>
      <c r="B3123" s="388"/>
    </row>
    <row r="3124" spans="1:2" x14ac:dyDescent="0.25">
      <c r="A3124" s="388"/>
      <c r="B3124" s="388"/>
    </row>
    <row r="3125" spans="1:2" x14ac:dyDescent="0.25">
      <c r="A3125" s="388"/>
      <c r="B3125" s="388"/>
    </row>
    <row r="3126" spans="1:2" x14ac:dyDescent="0.25">
      <c r="A3126" s="388"/>
      <c r="B3126" s="388"/>
    </row>
    <row r="3127" spans="1:2" x14ac:dyDescent="0.25">
      <c r="A3127" s="388"/>
      <c r="B3127" s="388"/>
    </row>
    <row r="3128" spans="1:2" x14ac:dyDescent="0.25">
      <c r="A3128" s="388"/>
      <c r="B3128" s="388"/>
    </row>
    <row r="3129" spans="1:2" x14ac:dyDescent="0.25">
      <c r="A3129" s="388"/>
      <c r="B3129" s="388"/>
    </row>
    <row r="3130" spans="1:2" x14ac:dyDescent="0.25">
      <c r="A3130" s="388"/>
      <c r="B3130" s="388"/>
    </row>
    <row r="3131" spans="1:2" x14ac:dyDescent="0.25">
      <c r="A3131" s="388"/>
      <c r="B3131" s="388"/>
    </row>
    <row r="3132" spans="1:2" x14ac:dyDescent="0.25">
      <c r="A3132" s="388"/>
      <c r="B3132" s="388"/>
    </row>
    <row r="3133" spans="1:2" x14ac:dyDescent="0.25">
      <c r="A3133" s="388"/>
      <c r="B3133" s="388"/>
    </row>
    <row r="3134" spans="1:2" x14ac:dyDescent="0.25">
      <c r="A3134" s="388"/>
      <c r="B3134" s="388"/>
    </row>
    <row r="3135" spans="1:2" x14ac:dyDescent="0.25">
      <c r="A3135" s="388"/>
      <c r="B3135" s="388"/>
    </row>
    <row r="3136" spans="1:2" x14ac:dyDescent="0.25">
      <c r="A3136" s="388"/>
      <c r="B3136" s="388"/>
    </row>
    <row r="3137" spans="1:2" x14ac:dyDescent="0.25">
      <c r="A3137" s="388"/>
      <c r="B3137" s="388"/>
    </row>
    <row r="3138" spans="1:2" x14ac:dyDescent="0.25">
      <c r="A3138" s="388"/>
      <c r="B3138" s="388"/>
    </row>
    <row r="3139" spans="1:2" x14ac:dyDescent="0.25">
      <c r="A3139" s="388"/>
      <c r="B3139" s="388"/>
    </row>
    <row r="3140" spans="1:2" x14ac:dyDescent="0.25">
      <c r="A3140" s="388"/>
      <c r="B3140" s="388"/>
    </row>
    <row r="3141" spans="1:2" x14ac:dyDescent="0.25">
      <c r="A3141" s="388"/>
      <c r="B3141" s="388"/>
    </row>
    <row r="3142" spans="1:2" x14ac:dyDescent="0.25">
      <c r="A3142" s="388"/>
      <c r="B3142" s="388"/>
    </row>
    <row r="3143" spans="1:2" x14ac:dyDescent="0.25">
      <c r="A3143" s="388"/>
      <c r="B3143" s="388"/>
    </row>
    <row r="3144" spans="1:2" x14ac:dyDescent="0.25">
      <c r="A3144" s="388"/>
      <c r="B3144" s="388"/>
    </row>
    <row r="3145" spans="1:2" x14ac:dyDescent="0.25">
      <c r="A3145" s="388"/>
      <c r="B3145" s="388"/>
    </row>
    <row r="3146" spans="1:2" x14ac:dyDescent="0.25">
      <c r="A3146" s="388"/>
      <c r="B3146" s="388"/>
    </row>
    <row r="3147" spans="1:2" x14ac:dyDescent="0.25">
      <c r="A3147" s="388"/>
      <c r="B3147" s="388"/>
    </row>
    <row r="3148" spans="1:2" x14ac:dyDescent="0.25">
      <c r="A3148" s="388"/>
      <c r="B3148" s="388"/>
    </row>
    <row r="3149" spans="1:2" x14ac:dyDescent="0.25">
      <c r="A3149" s="388"/>
      <c r="B3149" s="388"/>
    </row>
    <row r="3150" spans="1:2" x14ac:dyDescent="0.25">
      <c r="A3150" s="388"/>
      <c r="B3150" s="388"/>
    </row>
    <row r="3151" spans="1:2" x14ac:dyDescent="0.25">
      <c r="A3151" s="388"/>
      <c r="B3151" s="388"/>
    </row>
    <row r="3152" spans="1:2" x14ac:dyDescent="0.25">
      <c r="A3152" s="388"/>
      <c r="B3152" s="388"/>
    </row>
    <row r="3153" spans="1:2" x14ac:dyDescent="0.25">
      <c r="A3153" s="388"/>
      <c r="B3153" s="388"/>
    </row>
    <row r="3154" spans="1:2" x14ac:dyDescent="0.25">
      <c r="A3154" s="388"/>
      <c r="B3154" s="388"/>
    </row>
    <row r="3155" spans="1:2" x14ac:dyDescent="0.25">
      <c r="A3155" s="388"/>
      <c r="B3155" s="388"/>
    </row>
    <row r="3156" spans="1:2" x14ac:dyDescent="0.25">
      <c r="A3156" s="388"/>
      <c r="B3156" s="388"/>
    </row>
    <row r="3157" spans="1:2" x14ac:dyDescent="0.25">
      <c r="A3157" s="388"/>
      <c r="B3157" s="388"/>
    </row>
    <row r="3158" spans="1:2" x14ac:dyDescent="0.25">
      <c r="A3158" s="388"/>
      <c r="B3158" s="388"/>
    </row>
    <row r="3159" spans="1:2" x14ac:dyDescent="0.25">
      <c r="A3159" s="388"/>
      <c r="B3159" s="388"/>
    </row>
    <row r="3160" spans="1:2" x14ac:dyDescent="0.25">
      <c r="A3160" s="388"/>
      <c r="B3160" s="388"/>
    </row>
    <row r="3161" spans="1:2" x14ac:dyDescent="0.25">
      <c r="A3161" s="388"/>
      <c r="B3161" s="388"/>
    </row>
    <row r="3162" spans="1:2" x14ac:dyDescent="0.25">
      <c r="A3162" s="388"/>
      <c r="B3162" s="388"/>
    </row>
    <row r="3163" spans="1:2" x14ac:dyDescent="0.25">
      <c r="A3163" s="388"/>
      <c r="B3163" s="388"/>
    </row>
    <row r="3164" spans="1:2" x14ac:dyDescent="0.25">
      <c r="A3164" s="388"/>
      <c r="B3164" s="388"/>
    </row>
    <row r="3165" spans="1:2" x14ac:dyDescent="0.25">
      <c r="A3165" s="388"/>
      <c r="B3165" s="388"/>
    </row>
    <row r="3166" spans="1:2" x14ac:dyDescent="0.25">
      <c r="A3166" s="388"/>
      <c r="B3166" s="388"/>
    </row>
    <row r="3167" spans="1:2" x14ac:dyDescent="0.25">
      <c r="A3167" s="388"/>
      <c r="B3167" s="388"/>
    </row>
    <row r="3168" spans="1:2" x14ac:dyDescent="0.25">
      <c r="A3168" s="388"/>
      <c r="B3168" s="388"/>
    </row>
    <row r="3169" spans="1:2" x14ac:dyDescent="0.25">
      <c r="A3169" s="388"/>
      <c r="B3169" s="388"/>
    </row>
    <row r="3170" spans="1:2" x14ac:dyDescent="0.25">
      <c r="A3170" s="388"/>
      <c r="B3170" s="388"/>
    </row>
    <row r="3171" spans="1:2" x14ac:dyDescent="0.25">
      <c r="A3171" s="388"/>
      <c r="B3171" s="388"/>
    </row>
    <row r="3172" spans="1:2" x14ac:dyDescent="0.25">
      <c r="A3172" s="388"/>
      <c r="B3172" s="388"/>
    </row>
    <row r="3173" spans="1:2" x14ac:dyDescent="0.25">
      <c r="A3173" s="388"/>
      <c r="B3173" s="388"/>
    </row>
    <row r="3174" spans="1:2" x14ac:dyDescent="0.25">
      <c r="A3174" s="388"/>
      <c r="B3174" s="388"/>
    </row>
    <row r="3175" spans="1:2" x14ac:dyDescent="0.25">
      <c r="A3175" s="388"/>
      <c r="B3175" s="388"/>
    </row>
    <row r="3176" spans="1:2" x14ac:dyDescent="0.25">
      <c r="A3176" s="388"/>
      <c r="B3176" s="388"/>
    </row>
    <row r="3177" spans="1:2" x14ac:dyDescent="0.25">
      <c r="A3177" s="388"/>
      <c r="B3177" s="388"/>
    </row>
    <row r="3178" spans="1:2" x14ac:dyDescent="0.25">
      <c r="A3178" s="388"/>
      <c r="B3178" s="388"/>
    </row>
    <row r="3179" spans="1:2" x14ac:dyDescent="0.25">
      <c r="A3179" s="388"/>
      <c r="B3179" s="388"/>
    </row>
    <row r="3180" spans="1:2" x14ac:dyDescent="0.25">
      <c r="A3180" s="388"/>
      <c r="B3180" s="388"/>
    </row>
    <row r="3181" spans="1:2" x14ac:dyDescent="0.25">
      <c r="A3181" s="388"/>
      <c r="B3181" s="388"/>
    </row>
    <row r="3182" spans="1:2" x14ac:dyDescent="0.25">
      <c r="A3182" s="388"/>
      <c r="B3182" s="388"/>
    </row>
    <row r="3183" spans="1:2" x14ac:dyDescent="0.25">
      <c r="A3183" s="388"/>
      <c r="B3183" s="388"/>
    </row>
    <row r="3184" spans="1:2" x14ac:dyDescent="0.25">
      <c r="A3184" s="388"/>
      <c r="B3184" s="388"/>
    </row>
    <row r="3185" spans="1:2" x14ac:dyDescent="0.25">
      <c r="A3185" s="388"/>
      <c r="B3185" s="388"/>
    </row>
    <row r="3186" spans="1:2" x14ac:dyDescent="0.25">
      <c r="A3186" s="388"/>
      <c r="B3186" s="388"/>
    </row>
    <row r="3187" spans="1:2" x14ac:dyDescent="0.25">
      <c r="A3187" s="388"/>
      <c r="B3187" s="388"/>
    </row>
    <row r="3188" spans="1:2" x14ac:dyDescent="0.25">
      <c r="A3188" s="388"/>
      <c r="B3188" s="388"/>
    </row>
    <row r="3189" spans="1:2" x14ac:dyDescent="0.25">
      <c r="A3189" s="388"/>
      <c r="B3189" s="388"/>
    </row>
    <row r="3190" spans="1:2" x14ac:dyDescent="0.25">
      <c r="A3190" s="388"/>
      <c r="B3190" s="388"/>
    </row>
    <row r="3191" spans="1:2" x14ac:dyDescent="0.25">
      <c r="A3191" s="388"/>
      <c r="B3191" s="388"/>
    </row>
    <row r="3192" spans="1:2" x14ac:dyDescent="0.25">
      <c r="A3192" s="388"/>
      <c r="B3192" s="388"/>
    </row>
    <row r="3193" spans="1:2" x14ac:dyDescent="0.25">
      <c r="A3193" s="388"/>
      <c r="B3193" s="388"/>
    </row>
    <row r="3194" spans="1:2" x14ac:dyDescent="0.25">
      <c r="A3194" s="388"/>
      <c r="B3194" s="388"/>
    </row>
    <row r="3195" spans="1:2" x14ac:dyDescent="0.25">
      <c r="A3195" s="388"/>
      <c r="B3195" s="388"/>
    </row>
    <row r="3196" spans="1:2" x14ac:dyDescent="0.25">
      <c r="A3196" s="388"/>
      <c r="B3196" s="388"/>
    </row>
    <row r="3197" spans="1:2" x14ac:dyDescent="0.25">
      <c r="A3197" s="388"/>
      <c r="B3197" s="388"/>
    </row>
    <row r="3198" spans="1:2" x14ac:dyDescent="0.25">
      <c r="A3198" s="388"/>
      <c r="B3198" s="388"/>
    </row>
    <row r="3199" spans="1:2" x14ac:dyDescent="0.25">
      <c r="A3199" s="388"/>
      <c r="B3199" s="388"/>
    </row>
    <row r="3200" spans="1:2" x14ac:dyDescent="0.25">
      <c r="A3200" s="388"/>
      <c r="B3200" s="388"/>
    </row>
    <row r="3201" spans="1:2" x14ac:dyDescent="0.25">
      <c r="A3201" s="388"/>
      <c r="B3201" s="388"/>
    </row>
    <row r="3202" spans="1:2" x14ac:dyDescent="0.25">
      <c r="A3202" s="388"/>
      <c r="B3202" s="388"/>
    </row>
    <row r="3203" spans="1:2" x14ac:dyDescent="0.25">
      <c r="A3203" s="388"/>
      <c r="B3203" s="388"/>
    </row>
    <row r="3204" spans="1:2" x14ac:dyDescent="0.25">
      <c r="A3204" s="388"/>
      <c r="B3204" s="388"/>
    </row>
    <row r="3205" spans="1:2" x14ac:dyDescent="0.25">
      <c r="A3205" s="388"/>
      <c r="B3205" s="388"/>
    </row>
    <row r="3206" spans="1:2" x14ac:dyDescent="0.25">
      <c r="A3206" s="388"/>
      <c r="B3206" s="388"/>
    </row>
    <row r="3207" spans="1:2" x14ac:dyDescent="0.25">
      <c r="A3207" s="388"/>
      <c r="B3207" s="388"/>
    </row>
    <row r="3208" spans="1:2" x14ac:dyDescent="0.25">
      <c r="A3208" s="388"/>
      <c r="B3208" s="388"/>
    </row>
    <row r="3209" spans="1:2" x14ac:dyDescent="0.25">
      <c r="A3209" s="388"/>
      <c r="B3209" s="388"/>
    </row>
    <row r="3210" spans="1:2" x14ac:dyDescent="0.25">
      <c r="A3210" s="388"/>
      <c r="B3210" s="388"/>
    </row>
    <row r="3211" spans="1:2" x14ac:dyDescent="0.25">
      <c r="A3211" s="388"/>
      <c r="B3211" s="388"/>
    </row>
    <row r="3212" spans="1:2" x14ac:dyDescent="0.25">
      <c r="A3212" s="388"/>
      <c r="B3212" s="388"/>
    </row>
    <row r="3213" spans="1:2" x14ac:dyDescent="0.25">
      <c r="A3213" s="388"/>
      <c r="B3213" s="388"/>
    </row>
    <row r="3214" spans="1:2" x14ac:dyDescent="0.25">
      <c r="A3214" s="388"/>
      <c r="B3214" s="388"/>
    </row>
    <row r="3215" spans="1:2" x14ac:dyDescent="0.25">
      <c r="A3215" s="388"/>
      <c r="B3215" s="388"/>
    </row>
    <row r="3216" spans="1:2" x14ac:dyDescent="0.25">
      <c r="A3216" s="388"/>
      <c r="B3216" s="388"/>
    </row>
    <row r="3217" spans="1:2" x14ac:dyDescent="0.25">
      <c r="A3217" s="388"/>
      <c r="B3217" s="388"/>
    </row>
    <row r="3218" spans="1:2" x14ac:dyDescent="0.25">
      <c r="A3218" s="388"/>
      <c r="B3218" s="388"/>
    </row>
    <row r="3219" spans="1:2" x14ac:dyDescent="0.25">
      <c r="A3219" s="388"/>
      <c r="B3219" s="388"/>
    </row>
    <row r="3220" spans="1:2" x14ac:dyDescent="0.25">
      <c r="A3220" s="388"/>
      <c r="B3220" s="388"/>
    </row>
    <row r="3221" spans="1:2" x14ac:dyDescent="0.25">
      <c r="A3221" s="388"/>
      <c r="B3221" s="388"/>
    </row>
    <row r="3222" spans="1:2" x14ac:dyDescent="0.25">
      <c r="A3222" s="388"/>
      <c r="B3222" s="388"/>
    </row>
    <row r="3223" spans="1:2" x14ac:dyDescent="0.25">
      <c r="A3223" s="388"/>
      <c r="B3223" s="388"/>
    </row>
    <row r="3224" spans="1:2" x14ac:dyDescent="0.25">
      <c r="A3224" s="388"/>
      <c r="B3224" s="388"/>
    </row>
    <row r="3225" spans="1:2" x14ac:dyDescent="0.25">
      <c r="A3225" s="388"/>
      <c r="B3225" s="388"/>
    </row>
    <row r="3226" spans="1:2" x14ac:dyDescent="0.25">
      <c r="A3226" s="388"/>
      <c r="B3226" s="388"/>
    </row>
    <row r="3227" spans="1:2" x14ac:dyDescent="0.25">
      <c r="A3227" s="388"/>
      <c r="B3227" s="388"/>
    </row>
    <row r="3228" spans="1:2" x14ac:dyDescent="0.25">
      <c r="A3228" s="388"/>
      <c r="B3228" s="388"/>
    </row>
    <row r="3229" spans="1:2" x14ac:dyDescent="0.25">
      <c r="A3229" s="388"/>
      <c r="B3229" s="388"/>
    </row>
    <row r="3230" spans="1:2" x14ac:dyDescent="0.25">
      <c r="A3230" s="388"/>
      <c r="B3230" s="388"/>
    </row>
    <row r="3231" spans="1:2" x14ac:dyDescent="0.25">
      <c r="A3231" s="388"/>
      <c r="B3231" s="388"/>
    </row>
    <row r="3232" spans="1:2" x14ac:dyDescent="0.25">
      <c r="A3232" s="388"/>
      <c r="B3232" s="388"/>
    </row>
    <row r="3233" spans="1:2" x14ac:dyDescent="0.25">
      <c r="A3233" s="388"/>
      <c r="B3233" s="388"/>
    </row>
    <row r="3234" spans="1:2" x14ac:dyDescent="0.25">
      <c r="A3234" s="388"/>
      <c r="B3234" s="388"/>
    </row>
    <row r="3235" spans="1:2" x14ac:dyDescent="0.25">
      <c r="A3235" s="388"/>
      <c r="B3235" s="388"/>
    </row>
    <row r="3236" spans="1:2" x14ac:dyDescent="0.25">
      <c r="A3236" s="388"/>
      <c r="B3236" s="388"/>
    </row>
    <row r="3237" spans="1:2" x14ac:dyDescent="0.25">
      <c r="A3237" s="388"/>
      <c r="B3237" s="388"/>
    </row>
    <row r="3238" spans="1:2" x14ac:dyDescent="0.25">
      <c r="A3238" s="388"/>
      <c r="B3238" s="388"/>
    </row>
    <row r="3239" spans="1:2" x14ac:dyDescent="0.25">
      <c r="A3239" s="388"/>
      <c r="B3239" s="388"/>
    </row>
    <row r="3240" spans="1:2" x14ac:dyDescent="0.25">
      <c r="A3240" s="388"/>
      <c r="B3240" s="388"/>
    </row>
    <row r="3241" spans="1:2" x14ac:dyDescent="0.25">
      <c r="A3241" s="388"/>
      <c r="B3241" s="388"/>
    </row>
    <row r="3242" spans="1:2" x14ac:dyDescent="0.25">
      <c r="A3242" s="388"/>
      <c r="B3242" s="388"/>
    </row>
    <row r="3243" spans="1:2" x14ac:dyDescent="0.25">
      <c r="A3243" s="388"/>
      <c r="B3243" s="388"/>
    </row>
    <row r="3244" spans="1:2" x14ac:dyDescent="0.25">
      <c r="A3244" s="388"/>
      <c r="B3244" s="388"/>
    </row>
    <row r="3245" spans="1:2" x14ac:dyDescent="0.25">
      <c r="A3245" s="388"/>
      <c r="B3245" s="388"/>
    </row>
    <row r="3246" spans="1:2" x14ac:dyDescent="0.25">
      <c r="A3246" s="388"/>
      <c r="B3246" s="388"/>
    </row>
    <row r="3247" spans="1:2" x14ac:dyDescent="0.25">
      <c r="A3247" s="388"/>
      <c r="B3247" s="388"/>
    </row>
    <row r="3248" spans="1:2" x14ac:dyDescent="0.25">
      <c r="A3248" s="388"/>
      <c r="B3248" s="388"/>
    </row>
    <row r="3249" spans="1:2" x14ac:dyDescent="0.25">
      <c r="A3249" s="388"/>
      <c r="B3249" s="388"/>
    </row>
    <row r="3250" spans="1:2" x14ac:dyDescent="0.25">
      <c r="A3250" s="388"/>
      <c r="B3250" s="388"/>
    </row>
    <row r="3251" spans="1:2" x14ac:dyDescent="0.25">
      <c r="A3251" s="388"/>
      <c r="B3251" s="388"/>
    </row>
    <row r="3252" spans="1:2" x14ac:dyDescent="0.25">
      <c r="A3252" s="388"/>
      <c r="B3252" s="388"/>
    </row>
    <row r="3253" spans="1:2" x14ac:dyDescent="0.25">
      <c r="A3253" s="388"/>
      <c r="B3253" s="388"/>
    </row>
    <row r="3254" spans="1:2" x14ac:dyDescent="0.25">
      <c r="A3254" s="388"/>
      <c r="B3254" s="388"/>
    </row>
    <row r="3255" spans="1:2" x14ac:dyDescent="0.25">
      <c r="A3255" s="388"/>
      <c r="B3255" s="388"/>
    </row>
    <row r="3256" spans="1:2" x14ac:dyDescent="0.25">
      <c r="A3256" s="388"/>
      <c r="B3256" s="388"/>
    </row>
    <row r="3257" spans="1:2" x14ac:dyDescent="0.25">
      <c r="A3257" s="388"/>
      <c r="B3257" s="388"/>
    </row>
    <row r="3258" spans="1:2" x14ac:dyDescent="0.25">
      <c r="A3258" s="388"/>
      <c r="B3258" s="388"/>
    </row>
    <row r="3259" spans="1:2" x14ac:dyDescent="0.25">
      <c r="A3259" s="388"/>
      <c r="B3259" s="388"/>
    </row>
    <row r="3260" spans="1:2" x14ac:dyDescent="0.25">
      <c r="A3260" s="388"/>
      <c r="B3260" s="388"/>
    </row>
    <row r="3261" spans="1:2" x14ac:dyDescent="0.25">
      <c r="A3261" s="388"/>
      <c r="B3261" s="388"/>
    </row>
    <row r="3262" spans="1:2" x14ac:dyDescent="0.25">
      <c r="A3262" s="388"/>
      <c r="B3262" s="388"/>
    </row>
    <row r="3263" spans="1:2" x14ac:dyDescent="0.25">
      <c r="A3263" s="388"/>
      <c r="B3263" s="388"/>
    </row>
    <row r="3264" spans="1:2" x14ac:dyDescent="0.25">
      <c r="A3264" s="388"/>
      <c r="B3264" s="388"/>
    </row>
    <row r="3265" spans="1:2" x14ac:dyDescent="0.25">
      <c r="A3265" s="388"/>
      <c r="B3265" s="388"/>
    </row>
    <row r="3266" spans="1:2" x14ac:dyDescent="0.25">
      <c r="A3266" s="388"/>
      <c r="B3266" s="388"/>
    </row>
    <row r="3267" spans="1:2" x14ac:dyDescent="0.25">
      <c r="A3267" s="388"/>
      <c r="B3267" s="388"/>
    </row>
    <row r="3268" spans="1:2" x14ac:dyDescent="0.25">
      <c r="A3268" s="388"/>
      <c r="B3268" s="388"/>
    </row>
    <row r="3269" spans="1:2" x14ac:dyDescent="0.25">
      <c r="A3269" s="388"/>
      <c r="B3269" s="388"/>
    </row>
    <row r="3270" spans="1:2" x14ac:dyDescent="0.25">
      <c r="A3270" s="388"/>
      <c r="B3270" s="388"/>
    </row>
    <row r="3271" spans="1:2" x14ac:dyDescent="0.25">
      <c r="A3271" s="388"/>
      <c r="B3271" s="388"/>
    </row>
    <row r="3272" spans="1:2" x14ac:dyDescent="0.25">
      <c r="A3272" s="388"/>
      <c r="B3272" s="388"/>
    </row>
    <row r="3273" spans="1:2" x14ac:dyDescent="0.25">
      <c r="A3273" s="388"/>
      <c r="B3273" s="388"/>
    </row>
    <row r="3274" spans="1:2" x14ac:dyDescent="0.25">
      <c r="A3274" s="388"/>
      <c r="B3274" s="388"/>
    </row>
    <row r="3275" spans="1:2" x14ac:dyDescent="0.25">
      <c r="A3275" s="388"/>
      <c r="B3275" s="388"/>
    </row>
    <row r="3276" spans="1:2" x14ac:dyDescent="0.25">
      <c r="A3276" s="388"/>
      <c r="B3276" s="388"/>
    </row>
    <row r="3277" spans="1:2" x14ac:dyDescent="0.25">
      <c r="A3277" s="388"/>
      <c r="B3277" s="388"/>
    </row>
    <row r="3278" spans="1:2" x14ac:dyDescent="0.25">
      <c r="A3278" s="388"/>
      <c r="B3278" s="388"/>
    </row>
    <row r="3279" spans="1:2" x14ac:dyDescent="0.25">
      <c r="A3279" s="388"/>
      <c r="B3279" s="388"/>
    </row>
    <row r="3280" spans="1:2" x14ac:dyDescent="0.25">
      <c r="A3280" s="388"/>
      <c r="B3280" s="388"/>
    </row>
    <row r="3281" spans="1:2" x14ac:dyDescent="0.25">
      <c r="A3281" s="388"/>
      <c r="B3281" s="388"/>
    </row>
    <row r="3282" spans="1:2" x14ac:dyDescent="0.25">
      <c r="A3282" s="388"/>
      <c r="B3282" s="388"/>
    </row>
    <row r="3283" spans="1:2" x14ac:dyDescent="0.25">
      <c r="A3283" s="388"/>
      <c r="B3283" s="388"/>
    </row>
    <row r="3284" spans="1:2" x14ac:dyDescent="0.25">
      <c r="A3284" s="388"/>
      <c r="B3284" s="388"/>
    </row>
    <row r="3285" spans="1:2" x14ac:dyDescent="0.25">
      <c r="A3285" s="388"/>
      <c r="B3285" s="388"/>
    </row>
    <row r="3286" spans="1:2" x14ac:dyDescent="0.25">
      <c r="A3286" s="388"/>
      <c r="B3286" s="388"/>
    </row>
    <row r="3287" spans="1:2" x14ac:dyDescent="0.25">
      <c r="A3287" s="388"/>
      <c r="B3287" s="388"/>
    </row>
    <row r="3288" spans="1:2" x14ac:dyDescent="0.25">
      <c r="A3288" s="388"/>
      <c r="B3288" s="388"/>
    </row>
    <row r="3289" spans="1:2" x14ac:dyDescent="0.25">
      <c r="A3289" s="388"/>
      <c r="B3289" s="388"/>
    </row>
    <row r="3290" spans="1:2" x14ac:dyDescent="0.25">
      <c r="A3290" s="388"/>
      <c r="B3290" s="388"/>
    </row>
    <row r="3291" spans="1:2" x14ac:dyDescent="0.25">
      <c r="A3291" s="388"/>
      <c r="B3291" s="388"/>
    </row>
    <row r="3292" spans="1:2" x14ac:dyDescent="0.25">
      <c r="A3292" s="388"/>
      <c r="B3292" s="388"/>
    </row>
    <row r="3293" spans="1:2" x14ac:dyDescent="0.25">
      <c r="A3293" s="388"/>
      <c r="B3293" s="388"/>
    </row>
    <row r="3294" spans="1:2" x14ac:dyDescent="0.25">
      <c r="A3294" s="388"/>
      <c r="B3294" s="388"/>
    </row>
    <row r="3295" spans="1:2" x14ac:dyDescent="0.25">
      <c r="A3295" s="388"/>
      <c r="B3295" s="388"/>
    </row>
    <row r="3296" spans="1:2" x14ac:dyDescent="0.25">
      <c r="A3296" s="388"/>
      <c r="B3296" s="388"/>
    </row>
    <row r="3297" spans="1:2" x14ac:dyDescent="0.25">
      <c r="A3297" s="388"/>
      <c r="B3297" s="388"/>
    </row>
    <row r="3298" spans="1:2" x14ac:dyDescent="0.25">
      <c r="A3298" s="388"/>
      <c r="B3298" s="388"/>
    </row>
    <row r="3299" spans="1:2" x14ac:dyDescent="0.25">
      <c r="A3299" s="388"/>
      <c r="B3299" s="388"/>
    </row>
    <row r="3300" spans="1:2" x14ac:dyDescent="0.25">
      <c r="A3300" s="388"/>
      <c r="B3300" s="388"/>
    </row>
    <row r="3301" spans="1:2" x14ac:dyDescent="0.25">
      <c r="A3301" s="388"/>
      <c r="B3301" s="388"/>
    </row>
    <row r="3302" spans="1:2" x14ac:dyDescent="0.25">
      <c r="A3302" s="388"/>
      <c r="B3302" s="388"/>
    </row>
    <row r="3303" spans="1:2" x14ac:dyDescent="0.25">
      <c r="A3303" s="388"/>
      <c r="B3303" s="388"/>
    </row>
    <row r="3304" spans="1:2" x14ac:dyDescent="0.25">
      <c r="A3304" s="388"/>
      <c r="B3304" s="388"/>
    </row>
    <row r="3305" spans="1:2" x14ac:dyDescent="0.25">
      <c r="A3305" s="388"/>
      <c r="B3305" s="388"/>
    </row>
    <row r="3306" spans="1:2" x14ac:dyDescent="0.25">
      <c r="A3306" s="388"/>
      <c r="B3306" s="388"/>
    </row>
    <row r="3307" spans="1:2" x14ac:dyDescent="0.25">
      <c r="A3307" s="388"/>
      <c r="B3307" s="388"/>
    </row>
    <row r="3308" spans="1:2" x14ac:dyDescent="0.25">
      <c r="A3308" s="388"/>
      <c r="B3308" s="388"/>
    </row>
    <row r="3309" spans="1:2" x14ac:dyDescent="0.25">
      <c r="A3309" s="388"/>
      <c r="B3309" s="388"/>
    </row>
    <row r="3310" spans="1:2" x14ac:dyDescent="0.25">
      <c r="A3310" s="388"/>
      <c r="B3310" s="388"/>
    </row>
    <row r="3311" spans="1:2" x14ac:dyDescent="0.25">
      <c r="A3311" s="388"/>
      <c r="B3311" s="388"/>
    </row>
    <row r="3312" spans="1:2" x14ac:dyDescent="0.25">
      <c r="A3312" s="388"/>
      <c r="B3312" s="388"/>
    </row>
    <row r="3313" spans="1:2" x14ac:dyDescent="0.25">
      <c r="A3313" s="388"/>
      <c r="B3313" s="388"/>
    </row>
    <row r="3314" spans="1:2" x14ac:dyDescent="0.25">
      <c r="A3314" s="388"/>
      <c r="B3314" s="388"/>
    </row>
    <row r="3315" spans="1:2" x14ac:dyDescent="0.25">
      <c r="A3315" s="388"/>
      <c r="B3315" s="388"/>
    </row>
    <row r="3316" spans="1:2" x14ac:dyDescent="0.25">
      <c r="A3316" s="388"/>
      <c r="B3316" s="388"/>
    </row>
    <row r="3317" spans="1:2" x14ac:dyDescent="0.25">
      <c r="A3317" s="388"/>
      <c r="B3317" s="388"/>
    </row>
    <row r="3318" spans="1:2" x14ac:dyDescent="0.25">
      <c r="A3318" s="388"/>
      <c r="B3318" s="388"/>
    </row>
    <row r="3319" spans="1:2" x14ac:dyDescent="0.25">
      <c r="A3319" s="388"/>
      <c r="B3319" s="388"/>
    </row>
    <row r="3320" spans="1:2" x14ac:dyDescent="0.25">
      <c r="A3320" s="388"/>
      <c r="B3320" s="388"/>
    </row>
    <row r="3321" spans="1:2" x14ac:dyDescent="0.25">
      <c r="A3321" s="388"/>
      <c r="B3321" s="388"/>
    </row>
    <row r="3322" spans="1:2" x14ac:dyDescent="0.25">
      <c r="A3322" s="388"/>
      <c r="B3322" s="388"/>
    </row>
    <row r="3323" spans="1:2" x14ac:dyDescent="0.25">
      <c r="A3323" s="388"/>
      <c r="B3323" s="388"/>
    </row>
    <row r="3324" spans="1:2" x14ac:dyDescent="0.25">
      <c r="A3324" s="388"/>
      <c r="B3324" s="388"/>
    </row>
    <row r="3325" spans="1:2" x14ac:dyDescent="0.25">
      <c r="A3325" s="388"/>
      <c r="B3325" s="388"/>
    </row>
    <row r="3326" spans="1:2" x14ac:dyDescent="0.25">
      <c r="A3326" s="388"/>
      <c r="B3326" s="388"/>
    </row>
    <row r="3327" spans="1:2" x14ac:dyDescent="0.25">
      <c r="A3327" s="388"/>
      <c r="B3327" s="388"/>
    </row>
    <row r="3328" spans="1:2" x14ac:dyDescent="0.25">
      <c r="A3328" s="388"/>
      <c r="B3328" s="388"/>
    </row>
    <row r="3329" spans="1:2" x14ac:dyDescent="0.25">
      <c r="A3329" s="388"/>
      <c r="B3329" s="388"/>
    </row>
    <row r="3330" spans="1:2" x14ac:dyDescent="0.25">
      <c r="A3330" s="388"/>
      <c r="B3330" s="388"/>
    </row>
    <row r="3331" spans="1:2" x14ac:dyDescent="0.25">
      <c r="A3331" s="388"/>
      <c r="B3331" s="388"/>
    </row>
    <row r="3332" spans="1:2" x14ac:dyDescent="0.25">
      <c r="A3332" s="388"/>
      <c r="B3332" s="388"/>
    </row>
    <row r="3333" spans="1:2" x14ac:dyDescent="0.25">
      <c r="A3333" s="388"/>
      <c r="B3333" s="388"/>
    </row>
    <row r="3334" spans="1:2" x14ac:dyDescent="0.25">
      <c r="A3334" s="388"/>
      <c r="B3334" s="388"/>
    </row>
    <row r="3335" spans="1:2" x14ac:dyDescent="0.25">
      <c r="A3335" s="388"/>
      <c r="B3335" s="388"/>
    </row>
    <row r="3336" spans="1:2" x14ac:dyDescent="0.25">
      <c r="A3336" s="388"/>
      <c r="B3336" s="388"/>
    </row>
    <row r="3337" spans="1:2" x14ac:dyDescent="0.25">
      <c r="A3337" s="388"/>
      <c r="B3337" s="388"/>
    </row>
    <row r="3338" spans="1:2" x14ac:dyDescent="0.25">
      <c r="A3338" s="388"/>
      <c r="B3338" s="388"/>
    </row>
    <row r="3339" spans="1:2" x14ac:dyDescent="0.25">
      <c r="A3339" s="388"/>
      <c r="B3339" s="388"/>
    </row>
    <row r="3340" spans="1:2" x14ac:dyDescent="0.25">
      <c r="A3340" s="388"/>
      <c r="B3340" s="388"/>
    </row>
    <row r="3341" spans="1:2" x14ac:dyDescent="0.25">
      <c r="A3341" s="388"/>
      <c r="B3341" s="388"/>
    </row>
    <row r="3342" spans="1:2" x14ac:dyDescent="0.25">
      <c r="A3342" s="388"/>
      <c r="B3342" s="388"/>
    </row>
    <row r="3343" spans="1:2" x14ac:dyDescent="0.25">
      <c r="A3343" s="388"/>
      <c r="B3343" s="388"/>
    </row>
    <row r="3344" spans="1:2" x14ac:dyDescent="0.25">
      <c r="A3344" s="388"/>
      <c r="B3344" s="388"/>
    </row>
    <row r="3345" spans="1:2" x14ac:dyDescent="0.25">
      <c r="A3345" s="388"/>
      <c r="B3345" s="388"/>
    </row>
    <row r="3346" spans="1:2" x14ac:dyDescent="0.25">
      <c r="A3346" s="388"/>
      <c r="B3346" s="388"/>
    </row>
    <row r="3347" spans="1:2" x14ac:dyDescent="0.25">
      <c r="A3347" s="388"/>
      <c r="B3347" s="388"/>
    </row>
    <row r="3348" spans="1:2" x14ac:dyDescent="0.25">
      <c r="A3348" s="388"/>
      <c r="B3348" s="388"/>
    </row>
    <row r="3349" spans="1:2" x14ac:dyDescent="0.25">
      <c r="A3349" s="388"/>
      <c r="B3349" s="388"/>
    </row>
    <row r="3350" spans="1:2" x14ac:dyDescent="0.25">
      <c r="A3350" s="388"/>
      <c r="B3350" s="388"/>
    </row>
    <row r="3351" spans="1:2" x14ac:dyDescent="0.25">
      <c r="A3351" s="388"/>
      <c r="B3351" s="388"/>
    </row>
    <row r="3352" spans="1:2" x14ac:dyDescent="0.25">
      <c r="A3352" s="388"/>
      <c r="B3352" s="388"/>
    </row>
    <row r="3353" spans="1:2" x14ac:dyDescent="0.25">
      <c r="A3353" s="388"/>
      <c r="B3353" s="388"/>
    </row>
    <row r="3354" spans="1:2" x14ac:dyDescent="0.25">
      <c r="A3354" s="388"/>
      <c r="B3354" s="388"/>
    </row>
    <row r="3355" spans="1:2" x14ac:dyDescent="0.25">
      <c r="A3355" s="388"/>
      <c r="B3355" s="388"/>
    </row>
    <row r="3356" spans="1:2" x14ac:dyDescent="0.25">
      <c r="A3356" s="388"/>
      <c r="B3356" s="388"/>
    </row>
    <row r="3357" spans="1:2" x14ac:dyDescent="0.25">
      <c r="A3357" s="388"/>
      <c r="B3357" s="388"/>
    </row>
    <row r="3358" spans="1:2" x14ac:dyDescent="0.25">
      <c r="A3358" s="388"/>
      <c r="B3358" s="388"/>
    </row>
    <row r="3359" spans="1:2" x14ac:dyDescent="0.25">
      <c r="A3359" s="388"/>
      <c r="B3359" s="388"/>
    </row>
    <row r="3360" spans="1:2" x14ac:dyDescent="0.25">
      <c r="A3360" s="388"/>
      <c r="B3360" s="388"/>
    </row>
    <row r="3361" spans="1:2" x14ac:dyDescent="0.25">
      <c r="A3361" s="388"/>
      <c r="B3361" s="388"/>
    </row>
    <row r="3362" spans="1:2" x14ac:dyDescent="0.25">
      <c r="A3362" s="388"/>
      <c r="B3362" s="388"/>
    </row>
    <row r="3363" spans="1:2" x14ac:dyDescent="0.25">
      <c r="A3363" s="388"/>
      <c r="B3363" s="388"/>
    </row>
    <row r="3364" spans="1:2" x14ac:dyDescent="0.25">
      <c r="A3364" s="388"/>
      <c r="B3364" s="388"/>
    </row>
    <row r="3365" spans="1:2" x14ac:dyDescent="0.25">
      <c r="A3365" s="388"/>
      <c r="B3365" s="388"/>
    </row>
    <row r="3366" spans="1:2" x14ac:dyDescent="0.25">
      <c r="A3366" s="388"/>
      <c r="B3366" s="388"/>
    </row>
    <row r="3367" spans="1:2" x14ac:dyDescent="0.25">
      <c r="A3367" s="388"/>
      <c r="B3367" s="388"/>
    </row>
    <row r="3368" spans="1:2" x14ac:dyDescent="0.25">
      <c r="A3368" s="388"/>
      <c r="B3368" s="388"/>
    </row>
    <row r="3369" spans="1:2" x14ac:dyDescent="0.25">
      <c r="A3369" s="388"/>
      <c r="B3369" s="388"/>
    </row>
    <row r="3370" spans="1:2" x14ac:dyDescent="0.25">
      <c r="A3370" s="388"/>
      <c r="B3370" s="388"/>
    </row>
    <row r="3371" spans="1:2" x14ac:dyDescent="0.25">
      <c r="A3371" s="388"/>
      <c r="B3371" s="388"/>
    </row>
    <row r="3372" spans="1:2" x14ac:dyDescent="0.25">
      <c r="A3372" s="388"/>
      <c r="B3372" s="388"/>
    </row>
    <row r="3373" spans="1:2" x14ac:dyDescent="0.25">
      <c r="A3373" s="388"/>
      <c r="B3373" s="388"/>
    </row>
    <row r="3374" spans="1:2" x14ac:dyDescent="0.25">
      <c r="A3374" s="388"/>
      <c r="B3374" s="388"/>
    </row>
    <row r="3375" spans="1:2" x14ac:dyDescent="0.25">
      <c r="A3375" s="388"/>
      <c r="B3375" s="388"/>
    </row>
    <row r="3376" spans="1:2" x14ac:dyDescent="0.25">
      <c r="A3376" s="388"/>
      <c r="B3376" s="388"/>
    </row>
    <row r="3377" spans="1:2" x14ac:dyDescent="0.25">
      <c r="A3377" s="388"/>
      <c r="B3377" s="388"/>
    </row>
    <row r="3378" spans="1:2" x14ac:dyDescent="0.25">
      <c r="A3378" s="388"/>
      <c r="B3378" s="388"/>
    </row>
    <row r="3379" spans="1:2" x14ac:dyDescent="0.25">
      <c r="A3379" s="388"/>
      <c r="B3379" s="388"/>
    </row>
    <row r="3380" spans="1:2" x14ac:dyDescent="0.25">
      <c r="A3380" s="388"/>
      <c r="B3380" s="388"/>
    </row>
    <row r="3381" spans="1:2" x14ac:dyDescent="0.25">
      <c r="A3381" s="388"/>
      <c r="B3381" s="388"/>
    </row>
    <row r="3382" spans="1:2" x14ac:dyDescent="0.25">
      <c r="A3382" s="388"/>
      <c r="B3382" s="388"/>
    </row>
    <row r="3383" spans="1:2" x14ac:dyDescent="0.25">
      <c r="A3383" s="388"/>
      <c r="B3383" s="388"/>
    </row>
    <row r="3384" spans="1:2" x14ac:dyDescent="0.25">
      <c r="A3384" s="388"/>
      <c r="B3384" s="388"/>
    </row>
    <row r="3385" spans="1:2" x14ac:dyDescent="0.25">
      <c r="A3385" s="388"/>
      <c r="B3385" s="388"/>
    </row>
    <row r="3386" spans="1:2" x14ac:dyDescent="0.25">
      <c r="A3386" s="388"/>
      <c r="B3386" s="388"/>
    </row>
    <row r="3387" spans="1:2" x14ac:dyDescent="0.25">
      <c r="A3387" s="388"/>
      <c r="B3387" s="388"/>
    </row>
    <row r="3388" spans="1:2" x14ac:dyDescent="0.25">
      <c r="A3388" s="388"/>
      <c r="B3388" s="388"/>
    </row>
    <row r="3389" spans="1:2" x14ac:dyDescent="0.25">
      <c r="A3389" s="388"/>
      <c r="B3389" s="388"/>
    </row>
    <row r="3390" spans="1:2" x14ac:dyDescent="0.25">
      <c r="A3390" s="388"/>
      <c r="B3390" s="388"/>
    </row>
    <row r="3391" spans="1:2" x14ac:dyDescent="0.25">
      <c r="A3391" s="388"/>
      <c r="B3391" s="388"/>
    </row>
    <row r="3392" spans="1:2" x14ac:dyDescent="0.25">
      <c r="A3392" s="388"/>
      <c r="B3392" s="388"/>
    </row>
    <row r="3393" spans="1:2" x14ac:dyDescent="0.25">
      <c r="A3393" s="388"/>
      <c r="B3393" s="388"/>
    </row>
    <row r="3394" spans="1:2" x14ac:dyDescent="0.25">
      <c r="A3394" s="388"/>
      <c r="B3394" s="388"/>
    </row>
    <row r="3395" spans="1:2" x14ac:dyDescent="0.25">
      <c r="A3395" s="388"/>
      <c r="B3395" s="388"/>
    </row>
    <row r="3396" spans="1:2" x14ac:dyDescent="0.25">
      <c r="A3396" s="388"/>
      <c r="B3396" s="388"/>
    </row>
    <row r="3397" spans="1:2" x14ac:dyDescent="0.25">
      <c r="A3397" s="388"/>
      <c r="B3397" s="388"/>
    </row>
    <row r="3398" spans="1:2" x14ac:dyDescent="0.25">
      <c r="A3398" s="388"/>
      <c r="B3398" s="388"/>
    </row>
    <row r="3399" spans="1:2" x14ac:dyDescent="0.25">
      <c r="A3399" s="388"/>
      <c r="B3399" s="388"/>
    </row>
    <row r="3400" spans="1:2" x14ac:dyDescent="0.25">
      <c r="A3400" s="388"/>
      <c r="B3400" s="388"/>
    </row>
    <row r="3401" spans="1:2" x14ac:dyDescent="0.25">
      <c r="A3401" s="388"/>
      <c r="B3401" s="388"/>
    </row>
    <row r="3402" spans="1:2" x14ac:dyDescent="0.25">
      <c r="A3402" s="388"/>
      <c r="B3402" s="388"/>
    </row>
    <row r="3403" spans="1:2" x14ac:dyDescent="0.25">
      <c r="A3403" s="388"/>
      <c r="B3403" s="388"/>
    </row>
    <row r="3404" spans="1:2" x14ac:dyDescent="0.25">
      <c r="A3404" s="388"/>
      <c r="B3404" s="388"/>
    </row>
    <row r="3405" spans="1:2" x14ac:dyDescent="0.25">
      <c r="A3405" s="388"/>
      <c r="B3405" s="388"/>
    </row>
    <row r="3406" spans="1:2" x14ac:dyDescent="0.25">
      <c r="A3406" s="388"/>
      <c r="B3406" s="388"/>
    </row>
    <row r="3407" spans="1:2" x14ac:dyDescent="0.25">
      <c r="A3407" s="388"/>
      <c r="B3407" s="388"/>
    </row>
    <row r="3408" spans="1:2" x14ac:dyDescent="0.25">
      <c r="A3408" s="388"/>
      <c r="B3408" s="388"/>
    </row>
    <row r="3409" spans="1:2" x14ac:dyDescent="0.25">
      <c r="A3409" s="388"/>
      <c r="B3409" s="388"/>
    </row>
    <row r="3410" spans="1:2" x14ac:dyDescent="0.25">
      <c r="A3410" s="388"/>
      <c r="B3410" s="388"/>
    </row>
    <row r="3411" spans="1:2" x14ac:dyDescent="0.25">
      <c r="A3411" s="388"/>
      <c r="B3411" s="388"/>
    </row>
    <row r="3412" spans="1:2" x14ac:dyDescent="0.25">
      <c r="A3412" s="388"/>
      <c r="B3412" s="388"/>
    </row>
    <row r="3413" spans="1:2" x14ac:dyDescent="0.25">
      <c r="A3413" s="388"/>
      <c r="B3413" s="388"/>
    </row>
    <row r="3414" spans="1:2" x14ac:dyDescent="0.25">
      <c r="A3414" s="388"/>
      <c r="B3414" s="388"/>
    </row>
    <row r="3415" spans="1:2" x14ac:dyDescent="0.25">
      <c r="A3415" s="388"/>
      <c r="B3415" s="388"/>
    </row>
    <row r="3416" spans="1:2" x14ac:dyDescent="0.25">
      <c r="A3416" s="388"/>
      <c r="B3416" s="388"/>
    </row>
    <row r="3417" spans="1:2" x14ac:dyDescent="0.25">
      <c r="A3417" s="388"/>
      <c r="B3417" s="388"/>
    </row>
    <row r="3418" spans="1:2" x14ac:dyDescent="0.25">
      <c r="A3418" s="388"/>
      <c r="B3418" s="388"/>
    </row>
    <row r="3419" spans="1:2" x14ac:dyDescent="0.25">
      <c r="A3419" s="388"/>
      <c r="B3419" s="388"/>
    </row>
    <row r="3420" spans="1:2" x14ac:dyDescent="0.25">
      <c r="A3420" s="388"/>
      <c r="B3420" s="388"/>
    </row>
    <row r="3421" spans="1:2" x14ac:dyDescent="0.25">
      <c r="A3421" s="388"/>
      <c r="B3421" s="388"/>
    </row>
    <row r="3422" spans="1:2" x14ac:dyDescent="0.25">
      <c r="A3422" s="388"/>
      <c r="B3422" s="388"/>
    </row>
    <row r="3423" spans="1:2" x14ac:dyDescent="0.25">
      <c r="A3423" s="388"/>
      <c r="B3423" s="388"/>
    </row>
    <row r="3424" spans="1:2" x14ac:dyDescent="0.25">
      <c r="A3424" s="388"/>
      <c r="B3424" s="388"/>
    </row>
    <row r="3425" spans="1:2" x14ac:dyDescent="0.25">
      <c r="A3425" s="388"/>
      <c r="B3425" s="388"/>
    </row>
    <row r="3426" spans="1:2" x14ac:dyDescent="0.25">
      <c r="A3426" s="388"/>
      <c r="B3426" s="388"/>
    </row>
    <row r="3427" spans="1:2" x14ac:dyDescent="0.25">
      <c r="A3427" s="388"/>
      <c r="B3427" s="388"/>
    </row>
    <row r="3428" spans="1:2" x14ac:dyDescent="0.25">
      <c r="A3428" s="388"/>
      <c r="B3428" s="388"/>
    </row>
    <row r="3429" spans="1:2" x14ac:dyDescent="0.25">
      <c r="A3429" s="388"/>
      <c r="B3429" s="388"/>
    </row>
    <row r="3430" spans="1:2" x14ac:dyDescent="0.25">
      <c r="A3430" s="388"/>
      <c r="B3430" s="388"/>
    </row>
    <row r="3431" spans="1:2" x14ac:dyDescent="0.25">
      <c r="A3431" s="388"/>
      <c r="B3431" s="388"/>
    </row>
    <row r="3432" spans="1:2" x14ac:dyDescent="0.25">
      <c r="A3432" s="388"/>
      <c r="B3432" s="388"/>
    </row>
    <row r="3433" spans="1:2" x14ac:dyDescent="0.25">
      <c r="A3433" s="388"/>
      <c r="B3433" s="388"/>
    </row>
    <row r="3434" spans="1:2" x14ac:dyDescent="0.25">
      <c r="A3434" s="388"/>
      <c r="B3434" s="388"/>
    </row>
    <row r="3435" spans="1:2" x14ac:dyDescent="0.25">
      <c r="A3435" s="388"/>
      <c r="B3435" s="388"/>
    </row>
    <row r="3436" spans="1:2" x14ac:dyDescent="0.25">
      <c r="A3436" s="388"/>
      <c r="B3436" s="388"/>
    </row>
    <row r="3437" spans="1:2" x14ac:dyDescent="0.25">
      <c r="A3437" s="388"/>
      <c r="B3437" s="388"/>
    </row>
    <row r="3438" spans="1:2" x14ac:dyDescent="0.25">
      <c r="A3438" s="388"/>
      <c r="B3438" s="388"/>
    </row>
    <row r="3439" spans="1:2" x14ac:dyDescent="0.25">
      <c r="A3439" s="388"/>
      <c r="B3439" s="388"/>
    </row>
    <row r="3440" spans="1:2" x14ac:dyDescent="0.25">
      <c r="A3440" s="388"/>
      <c r="B3440" s="388"/>
    </row>
    <row r="3441" spans="1:2" x14ac:dyDescent="0.25">
      <c r="A3441" s="388"/>
      <c r="B3441" s="388"/>
    </row>
    <row r="3442" spans="1:2" x14ac:dyDescent="0.25">
      <c r="A3442" s="388"/>
      <c r="B3442" s="388"/>
    </row>
    <row r="3443" spans="1:2" x14ac:dyDescent="0.25">
      <c r="A3443" s="388"/>
      <c r="B3443" s="388"/>
    </row>
    <row r="3444" spans="1:2" x14ac:dyDescent="0.25">
      <c r="A3444" s="388"/>
      <c r="B3444" s="388"/>
    </row>
    <row r="3445" spans="1:2" x14ac:dyDescent="0.25">
      <c r="A3445" s="388"/>
      <c r="B3445" s="388"/>
    </row>
    <row r="3446" spans="1:2" x14ac:dyDescent="0.25">
      <c r="A3446" s="388"/>
      <c r="B3446" s="388"/>
    </row>
    <row r="3447" spans="1:2" x14ac:dyDescent="0.25">
      <c r="A3447" s="388"/>
      <c r="B3447" s="388"/>
    </row>
    <row r="3448" spans="1:2" x14ac:dyDescent="0.25">
      <c r="A3448" s="388"/>
      <c r="B3448" s="388"/>
    </row>
    <row r="3449" spans="1:2" x14ac:dyDescent="0.25">
      <c r="A3449" s="388"/>
      <c r="B3449" s="388"/>
    </row>
    <row r="3450" spans="1:2" x14ac:dyDescent="0.25">
      <c r="A3450" s="388"/>
      <c r="B3450" s="388"/>
    </row>
    <row r="3451" spans="1:2" x14ac:dyDescent="0.25">
      <c r="A3451" s="388"/>
      <c r="B3451" s="388"/>
    </row>
    <row r="3452" spans="1:2" x14ac:dyDescent="0.25">
      <c r="A3452" s="388"/>
      <c r="B3452" s="388"/>
    </row>
    <row r="3453" spans="1:2" x14ac:dyDescent="0.25">
      <c r="A3453" s="388"/>
      <c r="B3453" s="388"/>
    </row>
    <row r="3454" spans="1:2" x14ac:dyDescent="0.25">
      <c r="A3454" s="388"/>
      <c r="B3454" s="388"/>
    </row>
    <row r="3455" spans="1:2" x14ac:dyDescent="0.25">
      <c r="A3455" s="388"/>
      <c r="B3455" s="388"/>
    </row>
    <row r="3456" spans="1:2" x14ac:dyDescent="0.25">
      <c r="A3456" s="388"/>
      <c r="B3456" s="388"/>
    </row>
    <row r="3457" spans="1:2" x14ac:dyDescent="0.25">
      <c r="A3457" s="388"/>
      <c r="B3457" s="388"/>
    </row>
    <row r="3458" spans="1:2" x14ac:dyDescent="0.25">
      <c r="A3458" s="388"/>
      <c r="B3458" s="388"/>
    </row>
    <row r="3459" spans="1:2" x14ac:dyDescent="0.25">
      <c r="A3459" s="388"/>
      <c r="B3459" s="388"/>
    </row>
    <row r="3460" spans="1:2" x14ac:dyDescent="0.25">
      <c r="A3460" s="388"/>
      <c r="B3460" s="388"/>
    </row>
    <row r="3461" spans="1:2" x14ac:dyDescent="0.25">
      <c r="A3461" s="388"/>
      <c r="B3461" s="388"/>
    </row>
    <row r="3462" spans="1:2" x14ac:dyDescent="0.25">
      <c r="A3462" s="388"/>
      <c r="B3462" s="388"/>
    </row>
    <row r="3463" spans="1:2" x14ac:dyDescent="0.25">
      <c r="A3463" s="388"/>
      <c r="B3463" s="388"/>
    </row>
    <row r="3464" spans="1:2" x14ac:dyDescent="0.25">
      <c r="A3464" s="388"/>
      <c r="B3464" s="388"/>
    </row>
    <row r="3465" spans="1:2" x14ac:dyDescent="0.25">
      <c r="A3465" s="388"/>
      <c r="B3465" s="388"/>
    </row>
    <row r="3466" spans="1:2" x14ac:dyDescent="0.25">
      <c r="A3466" s="388"/>
      <c r="B3466" s="388"/>
    </row>
    <row r="3467" spans="1:2" x14ac:dyDescent="0.25">
      <c r="A3467" s="388"/>
      <c r="B3467" s="388"/>
    </row>
    <row r="3468" spans="1:2" x14ac:dyDescent="0.25">
      <c r="A3468" s="388"/>
      <c r="B3468" s="388"/>
    </row>
    <row r="3469" spans="1:2" x14ac:dyDescent="0.25">
      <c r="A3469" s="388"/>
      <c r="B3469" s="388"/>
    </row>
    <row r="3470" spans="1:2" x14ac:dyDescent="0.25">
      <c r="A3470" s="388"/>
      <c r="B3470" s="388"/>
    </row>
    <row r="3471" spans="1:2" x14ac:dyDescent="0.25">
      <c r="A3471" s="388"/>
      <c r="B3471" s="388"/>
    </row>
    <row r="3472" spans="1:2" x14ac:dyDescent="0.25">
      <c r="A3472" s="388"/>
      <c r="B3472" s="388"/>
    </row>
    <row r="3473" spans="1:2" x14ac:dyDescent="0.25">
      <c r="A3473" s="388"/>
      <c r="B3473" s="388"/>
    </row>
    <row r="3474" spans="1:2" x14ac:dyDescent="0.25">
      <c r="A3474" s="388"/>
      <c r="B3474" s="388"/>
    </row>
    <row r="3475" spans="1:2" x14ac:dyDescent="0.25">
      <c r="A3475" s="388"/>
      <c r="B3475" s="388"/>
    </row>
    <row r="3476" spans="1:2" x14ac:dyDescent="0.25">
      <c r="A3476" s="388"/>
      <c r="B3476" s="388"/>
    </row>
    <row r="3477" spans="1:2" x14ac:dyDescent="0.25">
      <c r="A3477" s="388"/>
      <c r="B3477" s="388"/>
    </row>
    <row r="3478" spans="1:2" x14ac:dyDescent="0.25">
      <c r="A3478" s="388"/>
      <c r="B3478" s="388"/>
    </row>
    <row r="3479" spans="1:2" x14ac:dyDescent="0.25">
      <c r="A3479" s="388"/>
      <c r="B3479" s="388"/>
    </row>
    <row r="3480" spans="1:2" x14ac:dyDescent="0.25">
      <c r="A3480" s="388"/>
      <c r="B3480" s="388"/>
    </row>
    <row r="3481" spans="1:2" x14ac:dyDescent="0.25">
      <c r="A3481" s="388"/>
      <c r="B3481" s="388"/>
    </row>
    <row r="3482" spans="1:2" x14ac:dyDescent="0.25">
      <c r="A3482" s="388"/>
      <c r="B3482" s="388"/>
    </row>
    <row r="3483" spans="1:2" x14ac:dyDescent="0.25">
      <c r="A3483" s="388"/>
      <c r="B3483" s="388"/>
    </row>
    <row r="3484" spans="1:2" x14ac:dyDescent="0.25">
      <c r="A3484" s="388"/>
      <c r="B3484" s="388"/>
    </row>
    <row r="3485" spans="1:2" x14ac:dyDescent="0.25">
      <c r="A3485" s="388"/>
      <c r="B3485" s="388"/>
    </row>
    <row r="3486" spans="1:2" x14ac:dyDescent="0.25">
      <c r="A3486" s="388"/>
      <c r="B3486" s="388"/>
    </row>
    <row r="3487" spans="1:2" x14ac:dyDescent="0.25">
      <c r="A3487" s="388"/>
      <c r="B3487" s="388"/>
    </row>
    <row r="3488" spans="1:2" x14ac:dyDescent="0.25">
      <c r="A3488" s="388"/>
      <c r="B3488" s="388"/>
    </row>
    <row r="3489" spans="1:2" x14ac:dyDescent="0.25">
      <c r="A3489" s="388"/>
      <c r="B3489" s="388"/>
    </row>
    <row r="3490" spans="1:2" x14ac:dyDescent="0.25">
      <c r="A3490" s="388"/>
      <c r="B3490" s="388"/>
    </row>
    <row r="3491" spans="1:2" x14ac:dyDescent="0.25">
      <c r="A3491" s="388"/>
      <c r="B3491" s="388"/>
    </row>
    <row r="3492" spans="1:2" x14ac:dyDescent="0.25">
      <c r="A3492" s="388"/>
      <c r="B3492" s="388"/>
    </row>
    <row r="3493" spans="1:2" x14ac:dyDescent="0.25">
      <c r="A3493" s="388"/>
      <c r="B3493" s="388"/>
    </row>
    <row r="3494" spans="1:2" x14ac:dyDescent="0.25">
      <c r="A3494" s="388"/>
      <c r="B3494" s="388"/>
    </row>
    <row r="3495" spans="1:2" x14ac:dyDescent="0.25">
      <c r="A3495" s="388"/>
      <c r="B3495" s="388"/>
    </row>
    <row r="3496" spans="1:2" x14ac:dyDescent="0.25">
      <c r="A3496" s="388"/>
      <c r="B3496" s="388"/>
    </row>
    <row r="3497" spans="1:2" x14ac:dyDescent="0.25">
      <c r="A3497" s="388"/>
      <c r="B3497" s="388"/>
    </row>
    <row r="3498" spans="1:2" x14ac:dyDescent="0.25">
      <c r="A3498" s="388"/>
      <c r="B3498" s="388"/>
    </row>
    <row r="3499" spans="1:2" x14ac:dyDescent="0.25">
      <c r="A3499" s="388"/>
      <c r="B3499" s="388"/>
    </row>
    <row r="3500" spans="1:2" x14ac:dyDescent="0.25">
      <c r="A3500" s="388"/>
      <c r="B3500" s="388"/>
    </row>
    <row r="3501" spans="1:2" x14ac:dyDescent="0.25">
      <c r="A3501" s="388"/>
      <c r="B3501" s="388"/>
    </row>
    <row r="3502" spans="1:2" x14ac:dyDescent="0.25">
      <c r="A3502" s="388"/>
      <c r="B3502" s="388"/>
    </row>
    <row r="3503" spans="1:2" x14ac:dyDescent="0.25">
      <c r="A3503" s="388"/>
      <c r="B3503" s="388"/>
    </row>
    <row r="3504" spans="1:2" x14ac:dyDescent="0.25">
      <c r="A3504" s="388"/>
      <c r="B3504" s="388"/>
    </row>
    <row r="3505" spans="1:2" x14ac:dyDescent="0.25">
      <c r="A3505" s="388"/>
      <c r="B3505" s="388"/>
    </row>
    <row r="3506" spans="1:2" x14ac:dyDescent="0.25">
      <c r="A3506" s="388"/>
      <c r="B3506" s="388"/>
    </row>
    <row r="3507" spans="1:2" x14ac:dyDescent="0.25">
      <c r="A3507" s="388"/>
      <c r="B3507" s="388"/>
    </row>
    <row r="3508" spans="1:2" x14ac:dyDescent="0.25">
      <c r="A3508" s="388"/>
      <c r="B3508" s="388"/>
    </row>
    <row r="3509" spans="1:2" x14ac:dyDescent="0.25">
      <c r="A3509" s="388"/>
      <c r="B3509" s="388"/>
    </row>
    <row r="3510" spans="1:2" x14ac:dyDescent="0.25">
      <c r="A3510" s="388"/>
      <c r="B3510" s="388"/>
    </row>
    <row r="3511" spans="1:2" x14ac:dyDescent="0.25">
      <c r="A3511" s="388"/>
      <c r="B3511" s="388"/>
    </row>
    <row r="3512" spans="1:2" x14ac:dyDescent="0.25">
      <c r="A3512" s="388"/>
      <c r="B3512" s="388"/>
    </row>
    <row r="3513" spans="1:2" x14ac:dyDescent="0.25">
      <c r="A3513" s="388"/>
      <c r="B3513" s="388"/>
    </row>
    <row r="3514" spans="1:2" x14ac:dyDescent="0.25">
      <c r="A3514" s="388"/>
      <c r="B3514" s="388"/>
    </row>
    <row r="3515" spans="1:2" x14ac:dyDescent="0.25">
      <c r="A3515" s="388"/>
      <c r="B3515" s="388"/>
    </row>
    <row r="3516" spans="1:2" x14ac:dyDescent="0.25">
      <c r="A3516" s="388"/>
      <c r="B3516" s="388"/>
    </row>
    <row r="3517" spans="1:2" x14ac:dyDescent="0.25">
      <c r="A3517" s="388"/>
      <c r="B3517" s="388"/>
    </row>
    <row r="3518" spans="1:2" x14ac:dyDescent="0.25">
      <c r="A3518" s="388"/>
      <c r="B3518" s="388"/>
    </row>
    <row r="3519" spans="1:2" x14ac:dyDescent="0.25">
      <c r="A3519" s="388"/>
      <c r="B3519" s="388"/>
    </row>
    <row r="3520" spans="1:2" x14ac:dyDescent="0.25">
      <c r="A3520" s="388"/>
      <c r="B3520" s="388"/>
    </row>
    <row r="3521" spans="1:2" x14ac:dyDescent="0.25">
      <c r="A3521" s="388"/>
      <c r="B3521" s="388"/>
    </row>
    <row r="3522" spans="1:2" x14ac:dyDescent="0.25">
      <c r="A3522" s="388"/>
      <c r="B3522" s="388"/>
    </row>
    <row r="3523" spans="1:2" x14ac:dyDescent="0.25">
      <c r="A3523" s="388"/>
      <c r="B3523" s="388"/>
    </row>
    <row r="3524" spans="1:2" x14ac:dyDescent="0.25">
      <c r="A3524" s="388"/>
      <c r="B3524" s="388"/>
    </row>
    <row r="3525" spans="1:2" x14ac:dyDescent="0.25">
      <c r="A3525" s="388"/>
      <c r="B3525" s="388"/>
    </row>
    <row r="3526" spans="1:2" x14ac:dyDescent="0.25">
      <c r="A3526" s="388"/>
      <c r="B3526" s="388"/>
    </row>
    <row r="3527" spans="1:2" x14ac:dyDescent="0.25">
      <c r="A3527" s="388"/>
      <c r="B3527" s="388"/>
    </row>
    <row r="3528" spans="1:2" x14ac:dyDescent="0.25">
      <c r="A3528" s="388"/>
      <c r="B3528" s="388"/>
    </row>
    <row r="3529" spans="1:2" x14ac:dyDescent="0.25">
      <c r="A3529" s="388"/>
      <c r="B3529" s="388"/>
    </row>
    <row r="3530" spans="1:2" x14ac:dyDescent="0.25">
      <c r="A3530" s="388"/>
      <c r="B3530" s="388"/>
    </row>
    <row r="3531" spans="1:2" x14ac:dyDescent="0.25">
      <c r="A3531" s="388"/>
      <c r="B3531" s="388"/>
    </row>
    <row r="3532" spans="1:2" x14ac:dyDescent="0.25">
      <c r="A3532" s="388"/>
      <c r="B3532" s="388"/>
    </row>
    <row r="3533" spans="1:2" x14ac:dyDescent="0.25">
      <c r="A3533" s="388"/>
      <c r="B3533" s="388"/>
    </row>
    <row r="3534" spans="1:2" x14ac:dyDescent="0.25">
      <c r="A3534" s="388"/>
      <c r="B3534" s="388"/>
    </row>
    <row r="3535" spans="1:2" x14ac:dyDescent="0.25">
      <c r="A3535" s="388"/>
      <c r="B3535" s="388"/>
    </row>
    <row r="3536" spans="1:2" x14ac:dyDescent="0.25">
      <c r="A3536" s="388"/>
      <c r="B3536" s="388"/>
    </row>
    <row r="3537" spans="1:2" x14ac:dyDescent="0.25">
      <c r="A3537" s="388"/>
      <c r="B3537" s="388"/>
    </row>
    <row r="3538" spans="1:2" x14ac:dyDescent="0.25">
      <c r="A3538" s="388"/>
      <c r="B3538" s="388"/>
    </row>
    <row r="3539" spans="1:2" x14ac:dyDescent="0.25">
      <c r="A3539" s="388"/>
      <c r="B3539" s="388"/>
    </row>
    <row r="3540" spans="1:2" x14ac:dyDescent="0.25">
      <c r="A3540" s="388"/>
      <c r="B3540" s="388"/>
    </row>
    <row r="3541" spans="1:2" x14ac:dyDescent="0.25">
      <c r="A3541" s="388"/>
      <c r="B3541" s="388"/>
    </row>
    <row r="3542" spans="1:2" x14ac:dyDescent="0.25">
      <c r="A3542" s="388"/>
      <c r="B3542" s="388"/>
    </row>
    <row r="3543" spans="1:2" x14ac:dyDescent="0.25">
      <c r="A3543" s="388"/>
      <c r="B3543" s="388"/>
    </row>
    <row r="3544" spans="1:2" x14ac:dyDescent="0.25">
      <c r="A3544" s="388"/>
      <c r="B3544" s="388"/>
    </row>
    <row r="3545" spans="1:2" x14ac:dyDescent="0.25">
      <c r="A3545" s="388"/>
      <c r="B3545" s="388"/>
    </row>
    <row r="3546" spans="1:2" x14ac:dyDescent="0.25">
      <c r="A3546" s="388"/>
      <c r="B3546" s="388"/>
    </row>
    <row r="3547" spans="1:2" x14ac:dyDescent="0.25">
      <c r="A3547" s="388"/>
      <c r="B3547" s="388"/>
    </row>
    <row r="3548" spans="1:2" x14ac:dyDescent="0.25">
      <c r="A3548" s="388"/>
      <c r="B3548" s="388"/>
    </row>
    <row r="3549" spans="1:2" x14ac:dyDescent="0.25">
      <c r="A3549" s="388"/>
      <c r="B3549" s="388"/>
    </row>
    <row r="3550" spans="1:2" x14ac:dyDescent="0.25">
      <c r="A3550" s="388"/>
      <c r="B3550" s="388"/>
    </row>
    <row r="3551" spans="1:2" x14ac:dyDescent="0.25">
      <c r="A3551" s="388"/>
      <c r="B3551" s="388"/>
    </row>
    <row r="3552" spans="1:2" x14ac:dyDescent="0.25">
      <c r="A3552" s="388"/>
      <c r="B3552" s="388"/>
    </row>
    <row r="3553" spans="1:2" x14ac:dyDescent="0.25">
      <c r="A3553" s="388"/>
      <c r="B3553" s="388"/>
    </row>
    <row r="3554" spans="1:2" x14ac:dyDescent="0.25">
      <c r="A3554" s="388"/>
      <c r="B3554" s="388"/>
    </row>
    <row r="3555" spans="1:2" x14ac:dyDescent="0.25">
      <c r="A3555" s="388"/>
      <c r="B3555" s="388"/>
    </row>
    <row r="3556" spans="1:2" x14ac:dyDescent="0.25">
      <c r="A3556" s="388"/>
      <c r="B3556" s="388"/>
    </row>
    <row r="3557" spans="1:2" x14ac:dyDescent="0.25">
      <c r="A3557" s="388"/>
      <c r="B3557" s="388"/>
    </row>
    <row r="3558" spans="1:2" x14ac:dyDescent="0.25">
      <c r="A3558" s="388"/>
      <c r="B3558" s="388"/>
    </row>
    <row r="3559" spans="1:2" x14ac:dyDescent="0.25">
      <c r="A3559" s="388"/>
      <c r="B3559" s="388"/>
    </row>
    <row r="3560" spans="1:2" x14ac:dyDescent="0.25">
      <c r="A3560" s="388"/>
      <c r="B3560" s="388"/>
    </row>
    <row r="3561" spans="1:2" x14ac:dyDescent="0.25">
      <c r="A3561" s="388"/>
      <c r="B3561" s="388"/>
    </row>
    <row r="3562" spans="1:2" x14ac:dyDescent="0.25">
      <c r="A3562" s="388"/>
      <c r="B3562" s="388"/>
    </row>
    <row r="3563" spans="1:2" x14ac:dyDescent="0.25">
      <c r="A3563" s="388"/>
      <c r="B3563" s="388"/>
    </row>
    <row r="3564" spans="1:2" x14ac:dyDescent="0.25">
      <c r="A3564" s="388"/>
      <c r="B3564" s="388"/>
    </row>
    <row r="3565" spans="1:2" x14ac:dyDescent="0.25">
      <c r="A3565" s="388"/>
      <c r="B3565" s="388"/>
    </row>
    <row r="3566" spans="1:2" x14ac:dyDescent="0.25">
      <c r="A3566" s="388"/>
      <c r="B3566" s="388"/>
    </row>
    <row r="3567" spans="1:2" x14ac:dyDescent="0.25">
      <c r="A3567" s="388"/>
      <c r="B3567" s="388"/>
    </row>
    <row r="3568" spans="1:2" x14ac:dyDescent="0.25">
      <c r="A3568" s="388"/>
      <c r="B3568" s="388"/>
    </row>
    <row r="3569" spans="1:2" x14ac:dyDescent="0.25">
      <c r="A3569" s="388"/>
      <c r="B3569" s="388"/>
    </row>
    <row r="3570" spans="1:2" x14ac:dyDescent="0.25">
      <c r="A3570" s="388"/>
      <c r="B3570" s="388"/>
    </row>
    <row r="3571" spans="1:2" x14ac:dyDescent="0.25">
      <c r="A3571" s="388"/>
      <c r="B3571" s="388"/>
    </row>
    <row r="3572" spans="1:2" x14ac:dyDescent="0.25">
      <c r="A3572" s="388"/>
      <c r="B3572" s="388"/>
    </row>
    <row r="3573" spans="1:2" x14ac:dyDescent="0.25">
      <c r="A3573" s="388"/>
      <c r="B3573" s="388"/>
    </row>
    <row r="3574" spans="1:2" x14ac:dyDescent="0.25">
      <c r="A3574" s="388"/>
      <c r="B3574" s="388"/>
    </row>
    <row r="3575" spans="1:2" x14ac:dyDescent="0.25">
      <c r="A3575" s="388"/>
      <c r="B3575" s="388"/>
    </row>
    <row r="3576" spans="1:2" x14ac:dyDescent="0.25">
      <c r="A3576" s="388"/>
      <c r="B3576" s="388"/>
    </row>
    <row r="3577" spans="1:2" x14ac:dyDescent="0.25">
      <c r="A3577" s="388"/>
      <c r="B3577" s="388"/>
    </row>
    <row r="3578" spans="1:2" x14ac:dyDescent="0.25">
      <c r="A3578" s="388"/>
      <c r="B3578" s="388"/>
    </row>
    <row r="3579" spans="1:2" x14ac:dyDescent="0.25">
      <c r="A3579" s="388"/>
      <c r="B3579" s="388"/>
    </row>
    <row r="3580" spans="1:2" x14ac:dyDescent="0.25">
      <c r="A3580" s="388"/>
      <c r="B3580" s="388"/>
    </row>
    <row r="3581" spans="1:2" x14ac:dyDescent="0.25">
      <c r="A3581" s="388"/>
      <c r="B3581" s="388"/>
    </row>
    <row r="3582" spans="1:2" x14ac:dyDescent="0.25">
      <c r="A3582" s="388"/>
      <c r="B3582" s="388"/>
    </row>
    <row r="3583" spans="1:2" x14ac:dyDescent="0.25">
      <c r="A3583" s="388"/>
      <c r="B3583" s="388"/>
    </row>
    <row r="3584" spans="1:2" x14ac:dyDescent="0.25">
      <c r="A3584" s="388"/>
      <c r="B3584" s="388"/>
    </row>
    <row r="3585" spans="1:2" x14ac:dyDescent="0.25">
      <c r="A3585" s="388"/>
      <c r="B3585" s="388"/>
    </row>
    <row r="3586" spans="1:2" x14ac:dyDescent="0.25">
      <c r="A3586" s="388"/>
      <c r="B3586" s="388"/>
    </row>
    <row r="3587" spans="1:2" x14ac:dyDescent="0.25">
      <c r="A3587" s="388"/>
      <c r="B3587" s="388"/>
    </row>
    <row r="3588" spans="1:2" x14ac:dyDescent="0.25">
      <c r="A3588" s="388"/>
      <c r="B3588" s="388"/>
    </row>
    <row r="3589" spans="1:2" x14ac:dyDescent="0.25">
      <c r="A3589" s="388"/>
      <c r="B3589" s="388"/>
    </row>
    <row r="3590" spans="1:2" x14ac:dyDescent="0.25">
      <c r="A3590" s="388"/>
      <c r="B3590" s="388"/>
    </row>
    <row r="3591" spans="1:2" x14ac:dyDescent="0.25">
      <c r="A3591" s="388"/>
      <c r="B3591" s="388"/>
    </row>
    <row r="3592" spans="1:2" x14ac:dyDescent="0.25">
      <c r="A3592" s="388"/>
      <c r="B3592" s="388"/>
    </row>
    <row r="3593" spans="1:2" x14ac:dyDescent="0.25">
      <c r="A3593" s="388"/>
      <c r="B3593" s="388"/>
    </row>
    <row r="3594" spans="1:2" x14ac:dyDescent="0.25">
      <c r="A3594" s="388"/>
      <c r="B3594" s="388"/>
    </row>
    <row r="3595" spans="1:2" x14ac:dyDescent="0.25">
      <c r="A3595" s="388"/>
      <c r="B3595" s="388"/>
    </row>
    <row r="3596" spans="1:2" x14ac:dyDescent="0.25">
      <c r="A3596" s="388"/>
      <c r="B3596" s="388"/>
    </row>
    <row r="3597" spans="1:2" x14ac:dyDescent="0.25">
      <c r="A3597" s="388"/>
      <c r="B3597" s="388"/>
    </row>
    <row r="3598" spans="1:2" x14ac:dyDescent="0.25">
      <c r="A3598" s="388"/>
      <c r="B3598" s="388"/>
    </row>
    <row r="3599" spans="1:2" x14ac:dyDescent="0.25">
      <c r="A3599" s="388"/>
      <c r="B3599" s="388"/>
    </row>
    <row r="3600" spans="1:2" x14ac:dyDescent="0.25">
      <c r="A3600" s="388"/>
      <c r="B3600" s="388"/>
    </row>
    <row r="3601" spans="1:2" x14ac:dyDescent="0.25">
      <c r="A3601" s="388"/>
      <c r="B3601" s="388"/>
    </row>
    <row r="3602" spans="1:2" x14ac:dyDescent="0.25">
      <c r="A3602" s="388"/>
      <c r="B3602" s="388"/>
    </row>
    <row r="3603" spans="1:2" x14ac:dyDescent="0.25">
      <c r="A3603" s="388"/>
      <c r="B3603" s="388"/>
    </row>
    <row r="3604" spans="1:2" x14ac:dyDescent="0.25">
      <c r="A3604" s="388"/>
      <c r="B3604" s="388"/>
    </row>
    <row r="3605" spans="1:2" x14ac:dyDescent="0.25">
      <c r="A3605" s="388"/>
      <c r="B3605" s="388"/>
    </row>
    <row r="3606" spans="1:2" x14ac:dyDescent="0.25">
      <c r="A3606" s="388"/>
      <c r="B3606" s="388"/>
    </row>
    <row r="3607" spans="1:2" x14ac:dyDescent="0.25">
      <c r="A3607" s="388"/>
      <c r="B3607" s="388"/>
    </row>
    <row r="3608" spans="1:2" x14ac:dyDescent="0.25">
      <c r="A3608" s="388"/>
      <c r="B3608" s="388"/>
    </row>
    <row r="3609" spans="1:2" x14ac:dyDescent="0.25">
      <c r="A3609" s="388"/>
      <c r="B3609" s="388"/>
    </row>
    <row r="3610" spans="1:2" x14ac:dyDescent="0.25">
      <c r="A3610" s="388"/>
      <c r="B3610" s="388"/>
    </row>
    <row r="3611" spans="1:2" x14ac:dyDescent="0.25">
      <c r="A3611" s="388"/>
      <c r="B3611" s="388"/>
    </row>
    <row r="3612" spans="1:2" x14ac:dyDescent="0.25">
      <c r="A3612" s="388"/>
      <c r="B3612" s="388"/>
    </row>
    <row r="3613" spans="1:2" x14ac:dyDescent="0.25">
      <c r="A3613" s="388"/>
      <c r="B3613" s="388"/>
    </row>
    <row r="3614" spans="1:2" x14ac:dyDescent="0.25">
      <c r="A3614" s="388"/>
      <c r="B3614" s="388"/>
    </row>
    <row r="3615" spans="1:2" x14ac:dyDescent="0.25">
      <c r="A3615" s="388"/>
      <c r="B3615" s="388"/>
    </row>
    <row r="3616" spans="1:2" x14ac:dyDescent="0.25">
      <c r="A3616" s="388"/>
      <c r="B3616" s="388"/>
    </row>
    <row r="3617" spans="1:2" x14ac:dyDescent="0.25">
      <c r="A3617" s="388"/>
      <c r="B3617" s="388"/>
    </row>
    <row r="3618" spans="1:2" x14ac:dyDescent="0.25">
      <c r="A3618" s="388"/>
      <c r="B3618" s="388"/>
    </row>
    <row r="3619" spans="1:2" x14ac:dyDescent="0.25">
      <c r="A3619" s="388"/>
      <c r="B3619" s="388"/>
    </row>
    <row r="3620" spans="1:2" x14ac:dyDescent="0.25">
      <c r="A3620" s="388"/>
      <c r="B3620" s="388"/>
    </row>
    <row r="3621" spans="1:2" x14ac:dyDescent="0.25">
      <c r="A3621" s="388"/>
      <c r="B3621" s="388"/>
    </row>
    <row r="3622" spans="1:2" x14ac:dyDescent="0.25">
      <c r="A3622" s="388"/>
      <c r="B3622" s="388"/>
    </row>
    <row r="3623" spans="1:2" x14ac:dyDescent="0.25">
      <c r="A3623" s="388"/>
      <c r="B3623" s="388"/>
    </row>
    <row r="3624" spans="1:2" x14ac:dyDescent="0.25">
      <c r="A3624" s="388"/>
      <c r="B3624" s="388"/>
    </row>
    <row r="3625" spans="1:2" x14ac:dyDescent="0.25">
      <c r="A3625" s="388"/>
      <c r="B3625" s="388"/>
    </row>
    <row r="3626" spans="1:2" x14ac:dyDescent="0.25">
      <c r="A3626" s="388"/>
      <c r="B3626" s="388"/>
    </row>
    <row r="3627" spans="1:2" x14ac:dyDescent="0.25">
      <c r="A3627" s="388"/>
      <c r="B3627" s="388"/>
    </row>
    <row r="3628" spans="1:2" x14ac:dyDescent="0.25">
      <c r="A3628" s="388"/>
      <c r="B3628" s="388"/>
    </row>
    <row r="3629" spans="1:2" x14ac:dyDescent="0.25">
      <c r="A3629" s="388"/>
      <c r="B3629" s="388"/>
    </row>
    <row r="3630" spans="1:2" x14ac:dyDescent="0.25">
      <c r="A3630" s="388"/>
      <c r="B3630" s="388"/>
    </row>
    <row r="3631" spans="1:2" x14ac:dyDescent="0.25">
      <c r="A3631" s="388"/>
      <c r="B3631" s="388"/>
    </row>
    <row r="3632" spans="1:2" x14ac:dyDescent="0.25">
      <c r="A3632" s="388"/>
      <c r="B3632" s="388"/>
    </row>
    <row r="3633" spans="1:2" x14ac:dyDescent="0.25">
      <c r="A3633" s="388"/>
      <c r="B3633" s="388"/>
    </row>
    <row r="3634" spans="1:2" x14ac:dyDescent="0.25">
      <c r="A3634" s="388"/>
      <c r="B3634" s="388"/>
    </row>
    <row r="3635" spans="1:2" x14ac:dyDescent="0.25">
      <c r="A3635" s="388"/>
      <c r="B3635" s="388"/>
    </row>
    <row r="3636" spans="1:2" x14ac:dyDescent="0.25">
      <c r="A3636" s="388"/>
      <c r="B3636" s="388"/>
    </row>
    <row r="3637" spans="1:2" x14ac:dyDescent="0.25">
      <c r="A3637" s="388"/>
      <c r="B3637" s="388"/>
    </row>
    <row r="3638" spans="1:2" x14ac:dyDescent="0.25">
      <c r="A3638" s="388"/>
      <c r="B3638" s="388"/>
    </row>
    <row r="3639" spans="1:2" x14ac:dyDescent="0.25">
      <c r="A3639" s="388"/>
      <c r="B3639" s="388"/>
    </row>
    <row r="3640" spans="1:2" x14ac:dyDescent="0.25">
      <c r="A3640" s="388"/>
      <c r="B3640" s="388"/>
    </row>
    <row r="3641" spans="1:2" x14ac:dyDescent="0.25">
      <c r="A3641" s="388"/>
      <c r="B3641" s="388"/>
    </row>
    <row r="3642" spans="1:2" x14ac:dyDescent="0.25">
      <c r="A3642" s="388"/>
      <c r="B3642" s="388"/>
    </row>
    <row r="3643" spans="1:2" x14ac:dyDescent="0.25">
      <c r="A3643" s="388"/>
      <c r="B3643" s="388"/>
    </row>
    <row r="3644" spans="1:2" x14ac:dyDescent="0.25">
      <c r="A3644" s="388"/>
      <c r="B3644" s="388"/>
    </row>
    <row r="3645" spans="1:2" x14ac:dyDescent="0.25">
      <c r="A3645" s="388"/>
      <c r="B3645" s="388"/>
    </row>
    <row r="3646" spans="1:2" x14ac:dyDescent="0.25">
      <c r="A3646" s="388"/>
      <c r="B3646" s="388"/>
    </row>
    <row r="3647" spans="1:2" x14ac:dyDescent="0.25">
      <c r="A3647" s="388"/>
      <c r="B3647" s="388"/>
    </row>
    <row r="3648" spans="1:2" x14ac:dyDescent="0.25">
      <c r="A3648" s="388"/>
      <c r="B3648" s="388"/>
    </row>
    <row r="3649" spans="1:2" x14ac:dyDescent="0.25">
      <c r="A3649" s="388"/>
      <c r="B3649" s="388"/>
    </row>
    <row r="3650" spans="1:2" x14ac:dyDescent="0.25">
      <c r="A3650" s="388"/>
      <c r="B3650" s="388"/>
    </row>
    <row r="3651" spans="1:2" x14ac:dyDescent="0.25">
      <c r="A3651" s="388"/>
      <c r="B3651" s="388"/>
    </row>
    <row r="3652" spans="1:2" x14ac:dyDescent="0.25">
      <c r="A3652" s="388"/>
      <c r="B3652" s="388"/>
    </row>
    <row r="3653" spans="1:2" x14ac:dyDescent="0.25">
      <c r="A3653" s="388"/>
      <c r="B3653" s="388"/>
    </row>
    <row r="3654" spans="1:2" x14ac:dyDescent="0.25">
      <c r="A3654" s="388"/>
      <c r="B3654" s="388"/>
    </row>
    <row r="3655" spans="1:2" x14ac:dyDescent="0.25">
      <c r="A3655" s="388"/>
      <c r="B3655" s="388"/>
    </row>
    <row r="3656" spans="1:2" x14ac:dyDescent="0.25">
      <c r="A3656" s="388"/>
      <c r="B3656" s="388"/>
    </row>
    <row r="3657" spans="1:2" x14ac:dyDescent="0.25">
      <c r="A3657" s="388"/>
      <c r="B3657" s="388"/>
    </row>
    <row r="3658" spans="1:2" x14ac:dyDescent="0.25">
      <c r="A3658" s="388"/>
      <c r="B3658" s="388"/>
    </row>
    <row r="3659" spans="1:2" x14ac:dyDescent="0.25">
      <c r="A3659" s="388"/>
      <c r="B3659" s="388"/>
    </row>
    <row r="3660" spans="1:2" x14ac:dyDescent="0.25">
      <c r="A3660" s="388"/>
      <c r="B3660" s="388"/>
    </row>
    <row r="3661" spans="1:2" x14ac:dyDescent="0.25">
      <c r="A3661" s="388"/>
      <c r="B3661" s="388"/>
    </row>
    <row r="3662" spans="1:2" x14ac:dyDescent="0.25">
      <c r="A3662" s="388"/>
      <c r="B3662" s="388"/>
    </row>
    <row r="3663" spans="1:2" x14ac:dyDescent="0.25">
      <c r="A3663" s="388"/>
      <c r="B3663" s="388"/>
    </row>
    <row r="3664" spans="1:2" x14ac:dyDescent="0.25">
      <c r="A3664" s="388"/>
      <c r="B3664" s="388"/>
    </row>
    <row r="3665" spans="1:2" x14ac:dyDescent="0.25">
      <c r="A3665" s="388"/>
      <c r="B3665" s="388"/>
    </row>
    <row r="3666" spans="1:2" x14ac:dyDescent="0.25">
      <c r="A3666" s="388"/>
      <c r="B3666" s="388"/>
    </row>
    <row r="3667" spans="1:2" x14ac:dyDescent="0.25">
      <c r="A3667" s="388"/>
      <c r="B3667" s="388"/>
    </row>
    <row r="3668" spans="1:2" x14ac:dyDescent="0.25">
      <c r="A3668" s="388"/>
      <c r="B3668" s="388"/>
    </row>
    <row r="3669" spans="1:2" x14ac:dyDescent="0.25">
      <c r="A3669" s="388"/>
      <c r="B3669" s="388"/>
    </row>
    <row r="3670" spans="1:2" x14ac:dyDescent="0.25">
      <c r="A3670" s="388"/>
      <c r="B3670" s="388"/>
    </row>
    <row r="3671" spans="1:2" x14ac:dyDescent="0.25">
      <c r="A3671" s="388"/>
      <c r="B3671" s="388"/>
    </row>
    <row r="3672" spans="1:2" x14ac:dyDescent="0.25">
      <c r="A3672" s="388"/>
      <c r="B3672" s="388"/>
    </row>
    <row r="3673" spans="1:2" x14ac:dyDescent="0.25">
      <c r="A3673" s="388"/>
      <c r="B3673" s="388"/>
    </row>
    <row r="3674" spans="1:2" x14ac:dyDescent="0.25">
      <c r="A3674" s="388"/>
      <c r="B3674" s="388"/>
    </row>
    <row r="3675" spans="1:2" x14ac:dyDescent="0.25">
      <c r="A3675" s="388"/>
      <c r="B3675" s="388"/>
    </row>
    <row r="3676" spans="1:2" x14ac:dyDescent="0.25">
      <c r="A3676" s="388"/>
      <c r="B3676" s="388"/>
    </row>
    <row r="3677" spans="1:2" x14ac:dyDescent="0.25">
      <c r="A3677" s="388"/>
      <c r="B3677" s="388"/>
    </row>
    <row r="3678" spans="1:2" x14ac:dyDescent="0.25">
      <c r="A3678" s="388"/>
      <c r="B3678" s="388"/>
    </row>
    <row r="3679" spans="1:2" x14ac:dyDescent="0.25">
      <c r="A3679" s="388"/>
      <c r="B3679" s="388"/>
    </row>
    <row r="3680" spans="1:2" x14ac:dyDescent="0.25">
      <c r="A3680" s="388"/>
      <c r="B3680" s="388"/>
    </row>
    <row r="3681" spans="1:2" x14ac:dyDescent="0.25">
      <c r="A3681" s="388"/>
      <c r="B3681" s="388"/>
    </row>
    <row r="3682" spans="1:2" x14ac:dyDescent="0.25">
      <c r="A3682" s="388"/>
      <c r="B3682" s="388"/>
    </row>
    <row r="3683" spans="1:2" x14ac:dyDescent="0.25">
      <c r="A3683" s="388"/>
      <c r="B3683" s="388"/>
    </row>
    <row r="3684" spans="1:2" x14ac:dyDescent="0.25">
      <c r="A3684" s="388"/>
      <c r="B3684" s="388"/>
    </row>
    <row r="3685" spans="1:2" x14ac:dyDescent="0.25">
      <c r="A3685" s="388"/>
      <c r="B3685" s="388"/>
    </row>
    <row r="3686" spans="1:2" x14ac:dyDescent="0.25">
      <c r="A3686" s="388"/>
      <c r="B3686" s="388"/>
    </row>
    <row r="3687" spans="1:2" x14ac:dyDescent="0.25">
      <c r="A3687" s="388"/>
      <c r="B3687" s="388"/>
    </row>
    <row r="3688" spans="1:2" x14ac:dyDescent="0.25">
      <c r="A3688" s="388"/>
      <c r="B3688" s="388"/>
    </row>
    <row r="3689" spans="1:2" x14ac:dyDescent="0.25">
      <c r="A3689" s="388"/>
      <c r="B3689" s="388"/>
    </row>
    <row r="3690" spans="1:2" x14ac:dyDescent="0.25">
      <c r="A3690" s="388"/>
      <c r="B3690" s="388"/>
    </row>
    <row r="3691" spans="1:2" x14ac:dyDescent="0.25">
      <c r="A3691" s="388"/>
      <c r="B3691" s="388"/>
    </row>
    <row r="3692" spans="1:2" x14ac:dyDescent="0.25">
      <c r="A3692" s="388"/>
      <c r="B3692" s="388"/>
    </row>
    <row r="3693" spans="1:2" x14ac:dyDescent="0.25">
      <c r="A3693" s="388"/>
      <c r="B3693" s="388"/>
    </row>
    <row r="3694" spans="1:2" x14ac:dyDescent="0.25">
      <c r="A3694" s="388"/>
      <c r="B3694" s="388"/>
    </row>
    <row r="3695" spans="1:2" x14ac:dyDescent="0.25">
      <c r="A3695" s="388"/>
      <c r="B3695" s="388"/>
    </row>
    <row r="3696" spans="1:2" x14ac:dyDescent="0.25">
      <c r="A3696" s="388"/>
      <c r="B3696" s="388"/>
    </row>
    <row r="3697" spans="1:2" x14ac:dyDescent="0.25">
      <c r="A3697" s="388"/>
      <c r="B3697" s="388"/>
    </row>
    <row r="3698" spans="1:2" x14ac:dyDescent="0.25">
      <c r="A3698" s="388"/>
      <c r="B3698" s="388"/>
    </row>
    <row r="3699" spans="1:2" x14ac:dyDescent="0.25">
      <c r="A3699" s="388"/>
      <c r="B3699" s="388"/>
    </row>
    <row r="3700" spans="1:2" x14ac:dyDescent="0.25">
      <c r="A3700" s="388"/>
      <c r="B3700" s="388"/>
    </row>
    <row r="3701" spans="1:2" x14ac:dyDescent="0.25">
      <c r="A3701" s="388"/>
      <c r="B3701" s="388"/>
    </row>
    <row r="3702" spans="1:2" x14ac:dyDescent="0.25">
      <c r="A3702" s="388"/>
      <c r="B3702" s="388"/>
    </row>
    <row r="3703" spans="1:2" x14ac:dyDescent="0.25">
      <c r="A3703" s="388"/>
      <c r="B3703" s="388"/>
    </row>
    <row r="3704" spans="1:2" x14ac:dyDescent="0.25">
      <c r="A3704" s="388"/>
      <c r="B3704" s="388"/>
    </row>
    <row r="3705" spans="1:2" x14ac:dyDescent="0.25">
      <c r="A3705" s="388"/>
      <c r="B3705" s="388"/>
    </row>
    <row r="3706" spans="1:2" x14ac:dyDescent="0.25">
      <c r="A3706" s="388"/>
      <c r="B3706" s="388"/>
    </row>
    <row r="3707" spans="1:2" x14ac:dyDescent="0.25">
      <c r="A3707" s="388"/>
      <c r="B3707" s="388"/>
    </row>
    <row r="3708" spans="1:2" x14ac:dyDescent="0.25">
      <c r="A3708" s="388"/>
      <c r="B3708" s="388"/>
    </row>
    <row r="3709" spans="1:2" x14ac:dyDescent="0.25">
      <c r="A3709" s="388"/>
      <c r="B3709" s="388"/>
    </row>
    <row r="3710" spans="1:2" x14ac:dyDescent="0.25">
      <c r="A3710" s="388"/>
      <c r="B3710" s="388"/>
    </row>
    <row r="3711" spans="1:2" x14ac:dyDescent="0.25">
      <c r="A3711" s="388"/>
      <c r="B3711" s="388"/>
    </row>
    <row r="3712" spans="1:2" x14ac:dyDescent="0.25">
      <c r="A3712" s="388"/>
      <c r="B3712" s="388"/>
    </row>
    <row r="3713" spans="1:2" x14ac:dyDescent="0.25">
      <c r="A3713" s="388"/>
      <c r="B3713" s="388"/>
    </row>
    <row r="3714" spans="1:2" x14ac:dyDescent="0.25">
      <c r="A3714" s="388"/>
      <c r="B3714" s="388"/>
    </row>
    <row r="3715" spans="1:2" x14ac:dyDescent="0.25">
      <c r="A3715" s="388"/>
      <c r="B3715" s="388"/>
    </row>
    <row r="3716" spans="1:2" x14ac:dyDescent="0.25">
      <c r="A3716" s="388"/>
      <c r="B3716" s="388"/>
    </row>
    <row r="3717" spans="1:2" x14ac:dyDescent="0.25">
      <c r="A3717" s="388"/>
      <c r="B3717" s="388"/>
    </row>
    <row r="3718" spans="1:2" x14ac:dyDescent="0.25">
      <c r="A3718" s="388"/>
      <c r="B3718" s="388"/>
    </row>
    <row r="3719" spans="1:2" x14ac:dyDescent="0.25">
      <c r="A3719" s="388"/>
      <c r="B3719" s="388"/>
    </row>
    <row r="3720" spans="1:2" x14ac:dyDescent="0.25">
      <c r="A3720" s="388"/>
      <c r="B3720" s="388"/>
    </row>
    <row r="3721" spans="1:2" x14ac:dyDescent="0.25">
      <c r="A3721" s="388"/>
      <c r="B3721" s="388"/>
    </row>
    <row r="3722" spans="1:2" x14ac:dyDescent="0.25">
      <c r="A3722" s="388"/>
      <c r="B3722" s="388"/>
    </row>
    <row r="3723" spans="1:2" x14ac:dyDescent="0.25">
      <c r="A3723" s="388"/>
      <c r="B3723" s="388"/>
    </row>
    <row r="3724" spans="1:2" x14ac:dyDescent="0.25">
      <c r="A3724" s="388"/>
      <c r="B3724" s="388"/>
    </row>
    <row r="3725" spans="1:2" x14ac:dyDescent="0.25">
      <c r="A3725" s="388"/>
      <c r="B3725" s="388"/>
    </row>
    <row r="3726" spans="1:2" x14ac:dyDescent="0.25">
      <c r="A3726" s="388"/>
      <c r="B3726" s="388"/>
    </row>
    <row r="3727" spans="1:2" x14ac:dyDescent="0.25">
      <c r="A3727" s="388"/>
      <c r="B3727" s="388"/>
    </row>
    <row r="3728" spans="1:2" x14ac:dyDescent="0.25">
      <c r="A3728" s="388"/>
      <c r="B3728" s="388"/>
    </row>
    <row r="3729" spans="1:2" x14ac:dyDescent="0.25">
      <c r="A3729" s="388"/>
      <c r="B3729" s="388"/>
    </row>
    <row r="3730" spans="1:2" x14ac:dyDescent="0.25">
      <c r="A3730" s="388"/>
      <c r="B3730" s="388"/>
    </row>
    <row r="3731" spans="1:2" x14ac:dyDescent="0.25">
      <c r="A3731" s="388"/>
      <c r="B3731" s="388"/>
    </row>
    <row r="3732" spans="1:2" x14ac:dyDescent="0.25">
      <c r="A3732" s="388"/>
      <c r="B3732" s="388"/>
    </row>
    <row r="3733" spans="1:2" x14ac:dyDescent="0.25">
      <c r="A3733" s="388"/>
      <c r="B3733" s="388"/>
    </row>
    <row r="3734" spans="1:2" x14ac:dyDescent="0.25">
      <c r="A3734" s="388"/>
      <c r="B3734" s="388"/>
    </row>
    <row r="3735" spans="1:2" x14ac:dyDescent="0.25">
      <c r="A3735" s="388"/>
      <c r="B3735" s="388"/>
    </row>
    <row r="3736" spans="1:2" x14ac:dyDescent="0.25">
      <c r="A3736" s="388"/>
      <c r="B3736" s="388"/>
    </row>
    <row r="3737" spans="1:2" x14ac:dyDescent="0.25">
      <c r="A3737" s="388"/>
      <c r="B3737" s="388"/>
    </row>
    <row r="3738" spans="1:2" x14ac:dyDescent="0.25">
      <c r="A3738" s="388"/>
      <c r="B3738" s="388"/>
    </row>
    <row r="3739" spans="1:2" x14ac:dyDescent="0.25">
      <c r="A3739" s="388"/>
      <c r="B3739" s="388"/>
    </row>
    <row r="3740" spans="1:2" x14ac:dyDescent="0.25">
      <c r="A3740" s="388"/>
      <c r="B3740" s="388"/>
    </row>
    <row r="3741" spans="1:2" x14ac:dyDescent="0.25">
      <c r="A3741" s="388"/>
      <c r="B3741" s="388"/>
    </row>
    <row r="3742" spans="1:2" x14ac:dyDescent="0.25">
      <c r="A3742" s="388"/>
      <c r="B3742" s="388"/>
    </row>
    <row r="3743" spans="1:2" x14ac:dyDescent="0.25">
      <c r="A3743" s="388"/>
      <c r="B3743" s="388"/>
    </row>
    <row r="3744" spans="1:2" x14ac:dyDescent="0.25">
      <c r="A3744" s="388"/>
      <c r="B3744" s="388"/>
    </row>
    <row r="3745" spans="1:2" x14ac:dyDescent="0.25">
      <c r="A3745" s="388"/>
      <c r="B3745" s="388"/>
    </row>
    <row r="3746" spans="1:2" x14ac:dyDescent="0.25">
      <c r="A3746" s="388"/>
      <c r="B3746" s="388"/>
    </row>
    <row r="3747" spans="1:2" x14ac:dyDescent="0.25">
      <c r="A3747" s="388"/>
      <c r="B3747" s="388"/>
    </row>
    <row r="3748" spans="1:2" x14ac:dyDescent="0.25">
      <c r="A3748" s="388"/>
      <c r="B3748" s="388"/>
    </row>
    <row r="3749" spans="1:2" x14ac:dyDescent="0.25">
      <c r="A3749" s="388"/>
      <c r="B3749" s="388"/>
    </row>
    <row r="3750" spans="1:2" x14ac:dyDescent="0.25">
      <c r="A3750" s="388"/>
      <c r="B3750" s="388"/>
    </row>
    <row r="3751" spans="1:2" x14ac:dyDescent="0.25">
      <c r="A3751" s="388"/>
      <c r="B3751" s="388"/>
    </row>
    <row r="3752" spans="1:2" x14ac:dyDescent="0.25">
      <c r="A3752" s="388"/>
      <c r="B3752" s="388"/>
    </row>
    <row r="3753" spans="1:2" x14ac:dyDescent="0.25">
      <c r="A3753" s="388"/>
      <c r="B3753" s="388"/>
    </row>
    <row r="3754" spans="1:2" x14ac:dyDescent="0.25">
      <c r="A3754" s="388"/>
      <c r="B3754" s="388"/>
    </row>
    <row r="3755" spans="1:2" x14ac:dyDescent="0.25">
      <c r="A3755" s="388"/>
      <c r="B3755" s="388"/>
    </row>
    <row r="3756" spans="1:2" x14ac:dyDescent="0.25">
      <c r="A3756" s="388"/>
      <c r="B3756" s="388"/>
    </row>
    <row r="3757" spans="1:2" x14ac:dyDescent="0.25">
      <c r="A3757" s="388"/>
      <c r="B3757" s="388"/>
    </row>
    <row r="3758" spans="1:2" x14ac:dyDescent="0.25">
      <c r="A3758" s="388"/>
      <c r="B3758" s="388"/>
    </row>
    <row r="3759" spans="1:2" x14ac:dyDescent="0.25">
      <c r="A3759" s="388"/>
      <c r="B3759" s="388"/>
    </row>
    <row r="3760" spans="1:2" x14ac:dyDescent="0.25">
      <c r="A3760" s="388"/>
      <c r="B3760" s="388"/>
    </row>
    <row r="3761" spans="1:2" x14ac:dyDescent="0.25">
      <c r="A3761" s="388"/>
      <c r="B3761" s="388"/>
    </row>
    <row r="3762" spans="1:2" x14ac:dyDescent="0.25">
      <c r="A3762" s="388"/>
      <c r="B3762" s="388"/>
    </row>
    <row r="3763" spans="1:2" x14ac:dyDescent="0.25">
      <c r="A3763" s="388"/>
      <c r="B3763" s="388"/>
    </row>
    <row r="3764" spans="1:2" x14ac:dyDescent="0.25">
      <c r="A3764" s="388"/>
      <c r="B3764" s="388"/>
    </row>
    <row r="3765" spans="1:2" x14ac:dyDescent="0.25">
      <c r="A3765" s="388"/>
      <c r="B3765" s="388"/>
    </row>
    <row r="3766" spans="1:2" x14ac:dyDescent="0.25">
      <c r="A3766" s="388"/>
      <c r="B3766" s="388"/>
    </row>
    <row r="3767" spans="1:2" x14ac:dyDescent="0.25">
      <c r="A3767" s="388"/>
      <c r="B3767" s="388"/>
    </row>
    <row r="3768" spans="1:2" x14ac:dyDescent="0.25">
      <c r="A3768" s="388"/>
      <c r="B3768" s="388"/>
    </row>
    <row r="3769" spans="1:2" x14ac:dyDescent="0.25">
      <c r="A3769" s="388"/>
      <c r="B3769" s="388"/>
    </row>
    <row r="3770" spans="1:2" x14ac:dyDescent="0.25">
      <c r="A3770" s="388"/>
      <c r="B3770" s="388"/>
    </row>
    <row r="3771" spans="1:2" x14ac:dyDescent="0.25">
      <c r="A3771" s="388"/>
      <c r="B3771" s="388"/>
    </row>
    <row r="3772" spans="1:2" x14ac:dyDescent="0.25">
      <c r="A3772" s="388"/>
      <c r="B3772" s="388"/>
    </row>
    <row r="3773" spans="1:2" x14ac:dyDescent="0.25">
      <c r="A3773" s="388"/>
      <c r="B3773" s="388"/>
    </row>
    <row r="3774" spans="1:2" x14ac:dyDescent="0.25">
      <c r="A3774" s="388"/>
      <c r="B3774" s="388"/>
    </row>
    <row r="3775" spans="1:2" x14ac:dyDescent="0.25">
      <c r="A3775" s="388"/>
      <c r="B3775" s="388"/>
    </row>
    <row r="3776" spans="1:2" x14ac:dyDescent="0.25">
      <c r="A3776" s="388"/>
      <c r="B3776" s="388"/>
    </row>
    <row r="3777" spans="1:2" x14ac:dyDescent="0.25">
      <c r="A3777" s="388"/>
      <c r="B3777" s="388"/>
    </row>
    <row r="3778" spans="1:2" x14ac:dyDescent="0.25">
      <c r="A3778" s="388"/>
      <c r="B3778" s="388"/>
    </row>
    <row r="3779" spans="1:2" x14ac:dyDescent="0.25">
      <c r="A3779" s="388"/>
      <c r="B3779" s="388"/>
    </row>
    <row r="3780" spans="1:2" x14ac:dyDescent="0.25">
      <c r="A3780" s="388"/>
      <c r="B3780" s="388"/>
    </row>
    <row r="3781" spans="1:2" x14ac:dyDescent="0.25">
      <c r="A3781" s="388"/>
      <c r="B3781" s="388"/>
    </row>
    <row r="3782" spans="1:2" x14ac:dyDescent="0.25">
      <c r="A3782" s="388"/>
      <c r="B3782" s="388"/>
    </row>
    <row r="3783" spans="1:2" x14ac:dyDescent="0.25">
      <c r="A3783" s="388"/>
      <c r="B3783" s="388"/>
    </row>
    <row r="3784" spans="1:2" x14ac:dyDescent="0.25">
      <c r="A3784" s="388"/>
      <c r="B3784" s="388"/>
    </row>
    <row r="3785" spans="1:2" x14ac:dyDescent="0.25">
      <c r="A3785" s="388"/>
      <c r="B3785" s="388"/>
    </row>
    <row r="3786" spans="1:2" x14ac:dyDescent="0.25">
      <c r="A3786" s="388"/>
      <c r="B3786" s="388"/>
    </row>
    <row r="3787" spans="1:2" x14ac:dyDescent="0.25">
      <c r="A3787" s="388"/>
      <c r="B3787" s="388"/>
    </row>
    <row r="3788" spans="1:2" x14ac:dyDescent="0.25">
      <c r="A3788" s="388"/>
      <c r="B3788" s="388"/>
    </row>
    <row r="3789" spans="1:2" x14ac:dyDescent="0.25">
      <c r="A3789" s="388"/>
      <c r="B3789" s="388"/>
    </row>
    <row r="3790" spans="1:2" x14ac:dyDescent="0.25">
      <c r="A3790" s="388"/>
      <c r="B3790" s="388"/>
    </row>
    <row r="3791" spans="1:2" x14ac:dyDescent="0.25">
      <c r="A3791" s="388"/>
      <c r="B3791" s="388"/>
    </row>
    <row r="3792" spans="1:2" x14ac:dyDescent="0.25">
      <c r="A3792" s="388"/>
      <c r="B3792" s="388"/>
    </row>
    <row r="3793" spans="1:2" x14ac:dyDescent="0.25">
      <c r="A3793" s="388"/>
      <c r="B3793" s="388"/>
    </row>
    <row r="3794" spans="1:2" x14ac:dyDescent="0.25">
      <c r="A3794" s="388"/>
      <c r="B3794" s="388"/>
    </row>
    <row r="3795" spans="1:2" x14ac:dyDescent="0.25">
      <c r="A3795" s="388"/>
      <c r="B3795" s="388"/>
    </row>
    <row r="3796" spans="1:2" x14ac:dyDescent="0.25">
      <c r="A3796" s="388"/>
      <c r="B3796" s="388"/>
    </row>
    <row r="3797" spans="1:2" x14ac:dyDescent="0.25">
      <c r="A3797" s="388"/>
      <c r="B3797" s="388"/>
    </row>
    <row r="3798" spans="1:2" x14ac:dyDescent="0.25">
      <c r="A3798" s="388"/>
      <c r="B3798" s="388"/>
    </row>
    <row r="3799" spans="1:2" x14ac:dyDescent="0.25">
      <c r="A3799" s="388"/>
      <c r="B3799" s="388"/>
    </row>
    <row r="3800" spans="1:2" x14ac:dyDescent="0.25">
      <c r="A3800" s="388"/>
      <c r="B3800" s="388"/>
    </row>
    <row r="3801" spans="1:2" x14ac:dyDescent="0.25">
      <c r="A3801" s="388"/>
      <c r="B3801" s="388"/>
    </row>
    <row r="3802" spans="1:2" x14ac:dyDescent="0.25">
      <c r="A3802" s="388"/>
      <c r="B3802" s="388"/>
    </row>
    <row r="3803" spans="1:2" x14ac:dyDescent="0.25">
      <c r="A3803" s="388"/>
      <c r="B3803" s="388"/>
    </row>
    <row r="3804" spans="1:2" x14ac:dyDescent="0.25">
      <c r="A3804" s="388"/>
      <c r="B3804" s="388"/>
    </row>
    <row r="3805" spans="1:2" x14ac:dyDescent="0.25">
      <c r="A3805" s="388"/>
      <c r="B3805" s="388"/>
    </row>
    <row r="3806" spans="1:2" x14ac:dyDescent="0.25">
      <c r="A3806" s="388"/>
      <c r="B3806" s="388"/>
    </row>
    <row r="3807" spans="1:2" x14ac:dyDescent="0.25">
      <c r="A3807" s="388"/>
      <c r="B3807" s="388"/>
    </row>
    <row r="3808" spans="1:2" x14ac:dyDescent="0.25">
      <c r="A3808" s="388"/>
      <c r="B3808" s="388"/>
    </row>
    <row r="3809" spans="1:2" x14ac:dyDescent="0.25">
      <c r="A3809" s="388"/>
      <c r="B3809" s="388"/>
    </row>
    <row r="3810" spans="1:2" x14ac:dyDescent="0.25">
      <c r="A3810" s="388"/>
      <c r="B3810" s="388"/>
    </row>
    <row r="3811" spans="1:2" x14ac:dyDescent="0.25">
      <c r="A3811" s="388"/>
      <c r="B3811" s="388"/>
    </row>
    <row r="3812" spans="1:2" x14ac:dyDescent="0.25">
      <c r="A3812" s="388"/>
      <c r="B3812" s="388"/>
    </row>
    <row r="3813" spans="1:2" x14ac:dyDescent="0.25">
      <c r="A3813" s="388"/>
      <c r="B3813" s="388"/>
    </row>
    <row r="3814" spans="1:2" x14ac:dyDescent="0.25">
      <c r="A3814" s="388"/>
      <c r="B3814" s="388"/>
    </row>
    <row r="3815" spans="1:2" x14ac:dyDescent="0.25">
      <c r="A3815" s="388"/>
      <c r="B3815" s="388"/>
    </row>
    <row r="3816" spans="1:2" x14ac:dyDescent="0.25">
      <c r="A3816" s="388"/>
      <c r="B3816" s="388"/>
    </row>
    <row r="3817" spans="1:2" x14ac:dyDescent="0.25">
      <c r="A3817" s="388"/>
      <c r="B3817" s="388"/>
    </row>
    <row r="3818" spans="1:2" x14ac:dyDescent="0.25">
      <c r="A3818" s="388"/>
      <c r="B3818" s="388"/>
    </row>
    <row r="3819" spans="1:2" x14ac:dyDescent="0.25">
      <c r="A3819" s="388"/>
      <c r="B3819" s="388"/>
    </row>
    <row r="3820" spans="1:2" x14ac:dyDescent="0.25">
      <c r="A3820" s="388"/>
      <c r="B3820" s="388"/>
    </row>
    <row r="3821" spans="1:2" x14ac:dyDescent="0.25">
      <c r="A3821" s="388"/>
      <c r="B3821" s="388"/>
    </row>
    <row r="3822" spans="1:2" x14ac:dyDescent="0.25">
      <c r="A3822" s="388"/>
      <c r="B3822" s="388"/>
    </row>
    <row r="3823" spans="1:2" x14ac:dyDescent="0.25">
      <c r="A3823" s="388"/>
      <c r="B3823" s="388"/>
    </row>
    <row r="3824" spans="1:2" x14ac:dyDescent="0.25">
      <c r="A3824" s="388"/>
      <c r="B3824" s="388"/>
    </row>
    <row r="3825" spans="1:2" x14ac:dyDescent="0.25">
      <c r="A3825" s="388"/>
      <c r="B3825" s="388"/>
    </row>
    <row r="3826" spans="1:2" x14ac:dyDescent="0.25">
      <c r="A3826" s="388"/>
      <c r="B3826" s="388"/>
    </row>
    <row r="3827" spans="1:2" x14ac:dyDescent="0.25">
      <c r="A3827" s="388"/>
      <c r="B3827" s="388"/>
    </row>
    <row r="3828" spans="1:2" x14ac:dyDescent="0.25">
      <c r="A3828" s="388"/>
      <c r="B3828" s="388"/>
    </row>
    <row r="3829" spans="1:2" x14ac:dyDescent="0.25">
      <c r="A3829" s="388"/>
      <c r="B3829" s="388"/>
    </row>
    <row r="3830" spans="1:2" x14ac:dyDescent="0.25">
      <c r="A3830" s="388"/>
      <c r="B3830" s="388"/>
    </row>
    <row r="3831" spans="1:2" x14ac:dyDescent="0.25">
      <c r="A3831" s="388"/>
      <c r="B3831" s="388"/>
    </row>
    <row r="3832" spans="1:2" x14ac:dyDescent="0.25">
      <c r="A3832" s="388"/>
      <c r="B3832" s="388"/>
    </row>
    <row r="3833" spans="1:2" x14ac:dyDescent="0.25">
      <c r="A3833" s="388"/>
      <c r="B3833" s="388"/>
    </row>
    <row r="3834" spans="1:2" x14ac:dyDescent="0.25">
      <c r="A3834" s="388"/>
      <c r="B3834" s="388"/>
    </row>
    <row r="3835" spans="1:2" x14ac:dyDescent="0.25">
      <c r="A3835" s="388"/>
      <c r="B3835" s="388"/>
    </row>
    <row r="3836" spans="1:2" x14ac:dyDescent="0.25">
      <c r="A3836" s="388"/>
      <c r="B3836" s="388"/>
    </row>
    <row r="3837" spans="1:2" x14ac:dyDescent="0.25">
      <c r="A3837" s="388"/>
      <c r="B3837" s="388"/>
    </row>
    <row r="3838" spans="1:2" x14ac:dyDescent="0.25">
      <c r="A3838" s="388"/>
      <c r="B3838" s="388"/>
    </row>
    <row r="3839" spans="1:2" x14ac:dyDescent="0.25">
      <c r="A3839" s="388"/>
      <c r="B3839" s="388"/>
    </row>
    <row r="3840" spans="1:2" x14ac:dyDescent="0.25">
      <c r="A3840" s="388"/>
      <c r="B3840" s="388"/>
    </row>
    <row r="3841" spans="1:2" x14ac:dyDescent="0.25">
      <c r="A3841" s="388"/>
      <c r="B3841" s="388"/>
    </row>
    <row r="3842" spans="1:2" x14ac:dyDescent="0.25">
      <c r="A3842" s="388"/>
      <c r="B3842" s="388"/>
    </row>
    <row r="3843" spans="1:2" x14ac:dyDescent="0.25">
      <c r="A3843" s="388"/>
      <c r="B3843" s="388"/>
    </row>
    <row r="3844" spans="1:2" x14ac:dyDescent="0.25">
      <c r="A3844" s="388"/>
      <c r="B3844" s="388"/>
    </row>
    <row r="3845" spans="1:2" x14ac:dyDescent="0.25">
      <c r="A3845" s="388"/>
      <c r="B3845" s="388"/>
    </row>
    <row r="3846" spans="1:2" x14ac:dyDescent="0.25">
      <c r="A3846" s="388"/>
      <c r="B3846" s="388"/>
    </row>
    <row r="3847" spans="1:2" x14ac:dyDescent="0.25">
      <c r="A3847" s="388"/>
      <c r="B3847" s="388"/>
    </row>
    <row r="3848" spans="1:2" x14ac:dyDescent="0.25">
      <c r="A3848" s="388"/>
      <c r="B3848" s="388"/>
    </row>
    <row r="3849" spans="1:2" x14ac:dyDescent="0.25">
      <c r="A3849" s="388"/>
      <c r="B3849" s="388"/>
    </row>
    <row r="3850" spans="1:2" x14ac:dyDescent="0.25">
      <c r="A3850" s="388"/>
      <c r="B3850" s="388"/>
    </row>
    <row r="3851" spans="1:2" x14ac:dyDescent="0.25">
      <c r="A3851" s="388"/>
      <c r="B3851" s="388"/>
    </row>
    <row r="3852" spans="1:2" x14ac:dyDescent="0.25">
      <c r="A3852" s="388"/>
      <c r="B3852" s="388"/>
    </row>
    <row r="3853" spans="1:2" x14ac:dyDescent="0.25">
      <c r="A3853" s="388"/>
      <c r="B3853" s="388"/>
    </row>
    <row r="3854" spans="1:2" x14ac:dyDescent="0.25">
      <c r="A3854" s="388"/>
      <c r="B3854" s="388"/>
    </row>
    <row r="3855" spans="1:2" x14ac:dyDescent="0.25">
      <c r="A3855" s="388"/>
      <c r="B3855" s="388"/>
    </row>
    <row r="3856" spans="1:2" x14ac:dyDescent="0.25">
      <c r="A3856" s="388"/>
      <c r="B3856" s="388"/>
    </row>
    <row r="3857" spans="1:2" x14ac:dyDescent="0.25">
      <c r="A3857" s="388"/>
      <c r="B3857" s="388"/>
    </row>
    <row r="3858" spans="1:2" x14ac:dyDescent="0.25">
      <c r="A3858" s="388"/>
      <c r="B3858" s="388"/>
    </row>
    <row r="3859" spans="1:2" x14ac:dyDescent="0.25">
      <c r="A3859" s="388"/>
      <c r="B3859" s="388"/>
    </row>
    <row r="3860" spans="1:2" x14ac:dyDescent="0.25">
      <c r="A3860" s="388"/>
      <c r="B3860" s="388"/>
    </row>
    <row r="3861" spans="1:2" x14ac:dyDescent="0.25">
      <c r="A3861" s="388"/>
      <c r="B3861" s="388"/>
    </row>
    <row r="3862" spans="1:2" x14ac:dyDescent="0.25">
      <c r="A3862" s="388"/>
      <c r="B3862" s="388"/>
    </row>
    <row r="3863" spans="1:2" x14ac:dyDescent="0.25">
      <c r="A3863" s="388"/>
      <c r="B3863" s="388"/>
    </row>
    <row r="3864" spans="1:2" x14ac:dyDescent="0.25">
      <c r="A3864" s="388"/>
      <c r="B3864" s="388"/>
    </row>
    <row r="3865" spans="1:2" x14ac:dyDescent="0.25">
      <c r="A3865" s="388"/>
      <c r="B3865" s="388"/>
    </row>
    <row r="3866" spans="1:2" x14ac:dyDescent="0.25">
      <c r="A3866" s="388"/>
      <c r="B3866" s="388"/>
    </row>
    <row r="3867" spans="1:2" x14ac:dyDescent="0.25">
      <c r="A3867" s="388"/>
      <c r="B3867" s="388"/>
    </row>
    <row r="3868" spans="1:2" x14ac:dyDescent="0.25">
      <c r="A3868" s="388"/>
      <c r="B3868" s="388"/>
    </row>
    <row r="3869" spans="1:2" x14ac:dyDescent="0.25">
      <c r="A3869" s="388"/>
      <c r="B3869" s="388"/>
    </row>
    <row r="3870" spans="1:2" x14ac:dyDescent="0.25">
      <c r="A3870" s="388"/>
      <c r="B3870" s="388"/>
    </row>
    <row r="3871" spans="1:2" x14ac:dyDescent="0.25">
      <c r="A3871" s="388"/>
      <c r="B3871" s="388"/>
    </row>
    <row r="3872" spans="1:2" x14ac:dyDescent="0.25">
      <c r="A3872" s="388"/>
      <c r="B3872" s="388"/>
    </row>
    <row r="3873" spans="1:2" x14ac:dyDescent="0.25">
      <c r="A3873" s="388"/>
      <c r="B3873" s="388"/>
    </row>
    <row r="3874" spans="1:2" x14ac:dyDescent="0.25">
      <c r="A3874" s="388"/>
      <c r="B3874" s="388"/>
    </row>
    <row r="3875" spans="1:2" x14ac:dyDescent="0.25">
      <c r="A3875" s="388"/>
      <c r="B3875" s="388"/>
    </row>
    <row r="3876" spans="1:2" x14ac:dyDescent="0.25">
      <c r="A3876" s="388"/>
      <c r="B3876" s="388"/>
    </row>
    <row r="3877" spans="1:2" x14ac:dyDescent="0.25">
      <c r="A3877" s="388"/>
      <c r="B3877" s="388"/>
    </row>
    <row r="3878" spans="1:2" x14ac:dyDescent="0.25">
      <c r="A3878" s="388"/>
      <c r="B3878" s="388"/>
    </row>
    <row r="3879" spans="1:2" x14ac:dyDescent="0.25">
      <c r="A3879" s="388"/>
      <c r="B3879" s="388"/>
    </row>
    <row r="3880" spans="1:2" x14ac:dyDescent="0.25">
      <c r="A3880" s="388"/>
      <c r="B3880" s="388"/>
    </row>
    <row r="3881" spans="1:2" x14ac:dyDescent="0.25">
      <c r="A3881" s="388"/>
      <c r="B3881" s="388"/>
    </row>
    <row r="3882" spans="1:2" x14ac:dyDescent="0.25">
      <c r="A3882" s="388"/>
      <c r="B3882" s="388"/>
    </row>
    <row r="3883" spans="1:2" x14ac:dyDescent="0.25">
      <c r="A3883" s="388"/>
      <c r="B3883" s="388"/>
    </row>
    <row r="3884" spans="1:2" x14ac:dyDescent="0.25">
      <c r="A3884" s="388"/>
      <c r="B3884" s="388"/>
    </row>
    <row r="3885" spans="1:2" x14ac:dyDescent="0.25">
      <c r="A3885" s="388"/>
      <c r="B3885" s="388"/>
    </row>
    <row r="3886" spans="1:2" x14ac:dyDescent="0.25">
      <c r="A3886" s="388"/>
      <c r="B3886" s="388"/>
    </row>
    <row r="3887" spans="1:2" x14ac:dyDescent="0.25">
      <c r="A3887" s="388"/>
      <c r="B3887" s="388"/>
    </row>
    <row r="3888" spans="1:2" x14ac:dyDescent="0.25">
      <c r="A3888" s="388"/>
      <c r="B3888" s="388"/>
    </row>
    <row r="3889" spans="1:2" x14ac:dyDescent="0.25">
      <c r="A3889" s="388"/>
      <c r="B3889" s="388"/>
    </row>
    <row r="3890" spans="1:2" x14ac:dyDescent="0.25">
      <c r="A3890" s="388"/>
      <c r="B3890" s="388"/>
    </row>
    <row r="3891" spans="1:2" x14ac:dyDescent="0.25">
      <c r="A3891" s="388"/>
      <c r="B3891" s="388"/>
    </row>
    <row r="3892" spans="1:2" x14ac:dyDescent="0.25">
      <c r="A3892" s="388"/>
      <c r="B3892" s="388"/>
    </row>
    <row r="3893" spans="1:2" x14ac:dyDescent="0.25">
      <c r="A3893" s="388"/>
      <c r="B3893" s="388"/>
    </row>
    <row r="3894" spans="1:2" x14ac:dyDescent="0.25">
      <c r="A3894" s="388"/>
      <c r="B3894" s="388"/>
    </row>
    <row r="3895" spans="1:2" x14ac:dyDescent="0.25">
      <c r="A3895" s="388"/>
      <c r="B3895" s="388"/>
    </row>
    <row r="3896" spans="1:2" x14ac:dyDescent="0.25">
      <c r="A3896" s="388"/>
      <c r="B3896" s="388"/>
    </row>
    <row r="3897" spans="1:2" x14ac:dyDescent="0.25">
      <c r="A3897" s="388"/>
      <c r="B3897" s="388"/>
    </row>
    <row r="3898" spans="1:2" x14ac:dyDescent="0.25">
      <c r="A3898" s="388"/>
      <c r="B3898" s="388"/>
    </row>
    <row r="3899" spans="1:2" x14ac:dyDescent="0.25">
      <c r="A3899" s="388"/>
      <c r="B3899" s="388"/>
    </row>
    <row r="3900" spans="1:2" x14ac:dyDescent="0.25">
      <c r="A3900" s="388"/>
      <c r="B3900" s="388"/>
    </row>
    <row r="3901" spans="1:2" x14ac:dyDescent="0.25">
      <c r="A3901" s="388"/>
      <c r="B3901" s="388"/>
    </row>
    <row r="3902" spans="1:2" x14ac:dyDescent="0.25">
      <c r="A3902" s="388"/>
      <c r="B3902" s="388"/>
    </row>
    <row r="3903" spans="1:2" x14ac:dyDescent="0.25">
      <c r="A3903" s="388"/>
      <c r="B3903" s="388"/>
    </row>
    <row r="3904" spans="1:2" x14ac:dyDescent="0.25">
      <c r="A3904" s="388"/>
      <c r="B3904" s="388"/>
    </row>
    <row r="3905" spans="1:2" x14ac:dyDescent="0.25">
      <c r="A3905" s="388"/>
      <c r="B3905" s="388"/>
    </row>
    <row r="3906" spans="1:2" x14ac:dyDescent="0.25">
      <c r="A3906" s="388"/>
      <c r="B3906" s="388"/>
    </row>
    <row r="3907" spans="1:2" x14ac:dyDescent="0.25">
      <c r="A3907" s="388"/>
      <c r="B3907" s="388"/>
    </row>
    <row r="3908" spans="1:2" x14ac:dyDescent="0.25">
      <c r="A3908" s="388"/>
      <c r="B3908" s="388"/>
    </row>
    <row r="3909" spans="1:2" x14ac:dyDescent="0.25">
      <c r="A3909" s="388"/>
      <c r="B3909" s="388"/>
    </row>
    <row r="3910" spans="1:2" x14ac:dyDescent="0.25">
      <c r="A3910" s="388"/>
      <c r="B3910" s="388"/>
    </row>
    <row r="3911" spans="1:2" x14ac:dyDescent="0.25">
      <c r="A3911" s="388"/>
      <c r="B3911" s="388"/>
    </row>
    <row r="3912" spans="1:2" x14ac:dyDescent="0.25">
      <c r="A3912" s="388"/>
      <c r="B3912" s="388"/>
    </row>
    <row r="3913" spans="1:2" x14ac:dyDescent="0.25">
      <c r="A3913" s="388"/>
      <c r="B3913" s="388"/>
    </row>
    <row r="3914" spans="1:2" x14ac:dyDescent="0.25">
      <c r="A3914" s="388"/>
      <c r="B3914" s="388"/>
    </row>
    <row r="3915" spans="1:2" x14ac:dyDescent="0.25">
      <c r="A3915" s="388"/>
      <c r="B3915" s="388"/>
    </row>
    <row r="3916" spans="1:2" x14ac:dyDescent="0.25">
      <c r="A3916" s="388"/>
      <c r="B3916" s="388"/>
    </row>
    <row r="3917" spans="1:2" x14ac:dyDescent="0.25">
      <c r="A3917" s="388"/>
      <c r="B3917" s="388"/>
    </row>
    <row r="3918" spans="1:2" x14ac:dyDescent="0.25">
      <c r="A3918" s="388"/>
      <c r="B3918" s="388"/>
    </row>
    <row r="3919" spans="1:2" x14ac:dyDescent="0.25">
      <c r="A3919" s="388"/>
      <c r="B3919" s="388"/>
    </row>
    <row r="3920" spans="1:2" x14ac:dyDescent="0.25">
      <c r="A3920" s="388"/>
      <c r="B3920" s="388"/>
    </row>
    <row r="3921" spans="1:2" x14ac:dyDescent="0.25">
      <c r="A3921" s="388"/>
      <c r="B3921" s="388"/>
    </row>
    <row r="3922" spans="1:2" x14ac:dyDescent="0.25">
      <c r="A3922" s="388"/>
      <c r="B3922" s="388"/>
    </row>
    <row r="3923" spans="1:2" x14ac:dyDescent="0.25">
      <c r="A3923" s="388"/>
      <c r="B3923" s="388"/>
    </row>
    <row r="3924" spans="1:2" x14ac:dyDescent="0.25">
      <c r="A3924" s="388"/>
      <c r="B3924" s="388"/>
    </row>
    <row r="3925" spans="1:2" x14ac:dyDescent="0.25">
      <c r="A3925" s="388"/>
      <c r="B3925" s="388"/>
    </row>
    <row r="3926" spans="1:2" x14ac:dyDescent="0.25">
      <c r="A3926" s="388"/>
      <c r="B3926" s="388"/>
    </row>
    <row r="3927" spans="1:2" x14ac:dyDescent="0.25">
      <c r="A3927" s="388"/>
      <c r="B3927" s="388"/>
    </row>
    <row r="3928" spans="1:2" x14ac:dyDescent="0.25">
      <c r="A3928" s="388"/>
      <c r="B3928" s="388"/>
    </row>
    <row r="3929" spans="1:2" x14ac:dyDescent="0.25">
      <c r="A3929" s="388"/>
      <c r="B3929" s="388"/>
    </row>
    <row r="3930" spans="1:2" x14ac:dyDescent="0.25">
      <c r="A3930" s="388"/>
      <c r="B3930" s="388"/>
    </row>
    <row r="3931" spans="1:2" x14ac:dyDescent="0.25">
      <c r="A3931" s="388"/>
      <c r="B3931" s="388"/>
    </row>
    <row r="3932" spans="1:2" x14ac:dyDescent="0.25">
      <c r="A3932" s="388"/>
      <c r="B3932" s="388"/>
    </row>
    <row r="3933" spans="1:2" x14ac:dyDescent="0.25">
      <c r="A3933" s="388"/>
      <c r="B3933" s="388"/>
    </row>
    <row r="3934" spans="1:2" x14ac:dyDescent="0.25">
      <c r="A3934" s="388"/>
      <c r="B3934" s="388"/>
    </row>
    <row r="3935" spans="1:2" x14ac:dyDescent="0.25">
      <c r="A3935" s="388"/>
      <c r="B3935" s="388"/>
    </row>
    <row r="3936" spans="1:2" x14ac:dyDescent="0.25">
      <c r="A3936" s="388"/>
      <c r="B3936" s="388"/>
    </row>
    <row r="3937" spans="1:2" x14ac:dyDescent="0.25">
      <c r="A3937" s="388"/>
      <c r="B3937" s="388"/>
    </row>
    <row r="3938" spans="1:2" x14ac:dyDescent="0.25">
      <c r="A3938" s="388"/>
      <c r="B3938" s="388"/>
    </row>
    <row r="3939" spans="1:2" x14ac:dyDescent="0.25">
      <c r="A3939" s="388"/>
      <c r="B3939" s="388"/>
    </row>
    <row r="3940" spans="1:2" x14ac:dyDescent="0.25">
      <c r="A3940" s="388"/>
      <c r="B3940" s="388"/>
    </row>
    <row r="3941" spans="1:2" x14ac:dyDescent="0.25">
      <c r="A3941" s="388"/>
      <c r="B3941" s="388"/>
    </row>
    <row r="3942" spans="1:2" x14ac:dyDescent="0.25">
      <c r="A3942" s="388"/>
      <c r="B3942" s="388"/>
    </row>
    <row r="3943" spans="1:2" x14ac:dyDescent="0.25">
      <c r="A3943" s="388"/>
      <c r="B3943" s="388"/>
    </row>
    <row r="3944" spans="1:2" x14ac:dyDescent="0.25">
      <c r="A3944" s="388"/>
      <c r="B3944" s="388"/>
    </row>
    <row r="3945" spans="1:2" x14ac:dyDescent="0.25">
      <c r="A3945" s="388"/>
      <c r="B3945" s="388"/>
    </row>
    <row r="3946" spans="1:2" x14ac:dyDescent="0.25">
      <c r="A3946" s="388"/>
      <c r="B3946" s="388"/>
    </row>
    <row r="3947" spans="1:2" x14ac:dyDescent="0.25">
      <c r="A3947" s="388"/>
      <c r="B3947" s="388"/>
    </row>
    <row r="3948" spans="1:2" x14ac:dyDescent="0.25">
      <c r="A3948" s="388"/>
      <c r="B3948" s="388"/>
    </row>
    <row r="3949" spans="1:2" x14ac:dyDescent="0.25">
      <c r="A3949" s="388"/>
      <c r="B3949" s="388"/>
    </row>
    <row r="3950" spans="1:2" x14ac:dyDescent="0.25">
      <c r="A3950" s="388"/>
      <c r="B3950" s="388"/>
    </row>
    <row r="3951" spans="1:2" x14ac:dyDescent="0.25">
      <c r="A3951" s="388"/>
      <c r="B3951" s="388"/>
    </row>
    <row r="3952" spans="1:2" x14ac:dyDescent="0.25">
      <c r="A3952" s="388"/>
      <c r="B3952" s="388"/>
    </row>
    <row r="3953" spans="1:2" x14ac:dyDescent="0.25">
      <c r="A3953" s="388"/>
      <c r="B3953" s="388"/>
    </row>
    <row r="3954" spans="1:2" x14ac:dyDescent="0.25">
      <c r="A3954" s="388"/>
      <c r="B3954" s="388"/>
    </row>
    <row r="3955" spans="1:2" x14ac:dyDescent="0.25">
      <c r="A3955" s="388"/>
      <c r="B3955" s="388"/>
    </row>
    <row r="3956" spans="1:2" x14ac:dyDescent="0.25">
      <c r="A3956" s="388"/>
      <c r="B3956" s="388"/>
    </row>
    <row r="3957" spans="1:2" x14ac:dyDescent="0.25">
      <c r="A3957" s="388"/>
      <c r="B3957" s="388"/>
    </row>
    <row r="3958" spans="1:2" x14ac:dyDescent="0.25">
      <c r="A3958" s="388"/>
      <c r="B3958" s="388"/>
    </row>
    <row r="3959" spans="1:2" x14ac:dyDescent="0.25">
      <c r="A3959" s="388"/>
      <c r="B3959" s="388"/>
    </row>
    <row r="3960" spans="1:2" x14ac:dyDescent="0.25">
      <c r="A3960" s="388"/>
      <c r="B3960" s="388"/>
    </row>
    <row r="3961" spans="1:2" x14ac:dyDescent="0.25">
      <c r="A3961" s="388"/>
      <c r="B3961" s="388"/>
    </row>
    <row r="3962" spans="1:2" x14ac:dyDescent="0.25">
      <c r="A3962" s="388"/>
      <c r="B3962" s="388"/>
    </row>
    <row r="3963" spans="1:2" x14ac:dyDescent="0.25">
      <c r="A3963" s="388"/>
      <c r="B3963" s="388"/>
    </row>
    <row r="3964" spans="1:2" x14ac:dyDescent="0.25">
      <c r="A3964" s="388"/>
      <c r="B3964" s="388"/>
    </row>
    <row r="3965" spans="1:2" x14ac:dyDescent="0.25">
      <c r="A3965" s="388"/>
      <c r="B3965" s="388"/>
    </row>
    <row r="3966" spans="1:2" x14ac:dyDescent="0.25">
      <c r="A3966" s="388"/>
      <c r="B3966" s="388"/>
    </row>
    <row r="3967" spans="1:2" x14ac:dyDescent="0.25">
      <c r="A3967" s="388"/>
      <c r="B3967" s="388"/>
    </row>
    <row r="3968" spans="1:2" x14ac:dyDescent="0.25">
      <c r="A3968" s="388"/>
      <c r="B3968" s="388"/>
    </row>
    <row r="3969" spans="1:2" x14ac:dyDescent="0.25">
      <c r="A3969" s="388"/>
      <c r="B3969" s="388"/>
    </row>
    <row r="3970" spans="1:2" x14ac:dyDescent="0.25">
      <c r="A3970" s="388"/>
      <c r="B3970" s="388"/>
    </row>
    <row r="3971" spans="1:2" x14ac:dyDescent="0.25">
      <c r="A3971" s="388"/>
      <c r="B3971" s="388"/>
    </row>
    <row r="3972" spans="1:2" x14ac:dyDescent="0.25">
      <c r="A3972" s="388"/>
      <c r="B3972" s="388"/>
    </row>
    <row r="3973" spans="1:2" x14ac:dyDescent="0.25">
      <c r="A3973" s="388"/>
      <c r="B3973" s="388"/>
    </row>
    <row r="3974" spans="1:2" x14ac:dyDescent="0.25">
      <c r="A3974" s="388"/>
      <c r="B3974" s="388"/>
    </row>
    <row r="3975" spans="1:2" x14ac:dyDescent="0.25">
      <c r="A3975" s="388"/>
      <c r="B3975" s="388"/>
    </row>
    <row r="3976" spans="1:2" x14ac:dyDescent="0.25">
      <c r="A3976" s="388"/>
      <c r="B3976" s="388"/>
    </row>
    <row r="3977" spans="1:2" x14ac:dyDescent="0.25">
      <c r="A3977" s="388"/>
      <c r="B3977" s="388"/>
    </row>
    <row r="3978" spans="1:2" x14ac:dyDescent="0.25">
      <c r="A3978" s="388"/>
      <c r="B3978" s="388"/>
    </row>
    <row r="3979" spans="1:2" x14ac:dyDescent="0.25">
      <c r="A3979" s="388"/>
      <c r="B3979" s="388"/>
    </row>
    <row r="3980" spans="1:2" x14ac:dyDescent="0.25">
      <c r="A3980" s="388"/>
      <c r="B3980" s="388"/>
    </row>
    <row r="3981" spans="1:2" x14ac:dyDescent="0.25">
      <c r="A3981" s="388"/>
      <c r="B3981" s="388"/>
    </row>
    <row r="3982" spans="1:2" x14ac:dyDescent="0.25">
      <c r="A3982" s="388"/>
      <c r="B3982" s="388"/>
    </row>
    <row r="3983" spans="1:2" x14ac:dyDescent="0.25">
      <c r="A3983" s="388"/>
      <c r="B3983" s="388"/>
    </row>
    <row r="3984" spans="1:2" x14ac:dyDescent="0.25">
      <c r="A3984" s="388"/>
      <c r="B3984" s="388"/>
    </row>
    <row r="3985" spans="1:2" x14ac:dyDescent="0.25">
      <c r="A3985" s="388"/>
      <c r="B3985" s="388"/>
    </row>
    <row r="3986" spans="1:2" x14ac:dyDescent="0.25">
      <c r="A3986" s="388"/>
      <c r="B3986" s="388"/>
    </row>
    <row r="3987" spans="1:2" x14ac:dyDescent="0.25">
      <c r="A3987" s="388"/>
      <c r="B3987" s="388"/>
    </row>
    <row r="3988" spans="1:2" x14ac:dyDescent="0.25">
      <c r="A3988" s="388"/>
      <c r="B3988" s="388"/>
    </row>
    <row r="3989" spans="1:2" x14ac:dyDescent="0.25">
      <c r="A3989" s="388"/>
      <c r="B3989" s="388"/>
    </row>
    <row r="3990" spans="1:2" x14ac:dyDescent="0.25">
      <c r="A3990" s="388"/>
      <c r="B3990" s="388"/>
    </row>
    <row r="3991" spans="1:2" x14ac:dyDescent="0.25">
      <c r="A3991" s="388"/>
      <c r="B3991" s="388"/>
    </row>
    <row r="3992" spans="1:2" x14ac:dyDescent="0.25">
      <c r="A3992" s="388"/>
      <c r="B3992" s="388"/>
    </row>
    <row r="3993" spans="1:2" x14ac:dyDescent="0.25">
      <c r="A3993" s="388"/>
      <c r="B3993" s="388"/>
    </row>
    <row r="3994" spans="1:2" x14ac:dyDescent="0.25">
      <c r="A3994" s="388"/>
      <c r="B3994" s="388"/>
    </row>
    <row r="3995" spans="1:2" x14ac:dyDescent="0.25">
      <c r="A3995" s="388"/>
      <c r="B3995" s="388"/>
    </row>
    <row r="3996" spans="1:2" x14ac:dyDescent="0.25">
      <c r="A3996" s="388"/>
      <c r="B3996" s="388"/>
    </row>
    <row r="3997" spans="1:2" x14ac:dyDescent="0.25">
      <c r="A3997" s="388"/>
      <c r="B3997" s="388"/>
    </row>
    <row r="3998" spans="1:2" x14ac:dyDescent="0.25">
      <c r="A3998" s="388"/>
      <c r="B3998" s="388"/>
    </row>
    <row r="3999" spans="1:2" x14ac:dyDescent="0.25">
      <c r="A3999" s="388"/>
      <c r="B3999" s="388"/>
    </row>
    <row r="4000" spans="1:2" x14ac:dyDescent="0.25">
      <c r="A4000" s="388"/>
      <c r="B4000" s="388"/>
    </row>
    <row r="4001" spans="1:2" x14ac:dyDescent="0.25">
      <c r="A4001" s="388"/>
      <c r="B4001" s="388"/>
    </row>
    <row r="4002" spans="1:2" x14ac:dyDescent="0.25">
      <c r="A4002" s="388"/>
      <c r="B4002" s="388"/>
    </row>
    <row r="4003" spans="1:2" x14ac:dyDescent="0.25">
      <c r="A4003" s="388"/>
      <c r="B4003" s="388"/>
    </row>
    <row r="4004" spans="1:2" x14ac:dyDescent="0.25">
      <c r="A4004" s="388"/>
      <c r="B4004" s="388"/>
    </row>
    <row r="4005" spans="1:2" x14ac:dyDescent="0.25">
      <c r="A4005" s="388"/>
      <c r="B4005" s="388"/>
    </row>
    <row r="4006" spans="1:2" x14ac:dyDescent="0.25">
      <c r="A4006" s="388"/>
      <c r="B4006" s="388"/>
    </row>
    <row r="4007" spans="1:2" x14ac:dyDescent="0.25">
      <c r="A4007" s="388"/>
      <c r="B4007" s="388"/>
    </row>
    <row r="4008" spans="1:2" x14ac:dyDescent="0.25">
      <c r="A4008" s="388"/>
      <c r="B4008" s="388"/>
    </row>
    <row r="4009" spans="1:2" x14ac:dyDescent="0.25">
      <c r="A4009" s="388"/>
      <c r="B4009" s="388"/>
    </row>
    <row r="4010" spans="1:2" x14ac:dyDescent="0.25">
      <c r="A4010" s="388"/>
      <c r="B4010" s="388"/>
    </row>
    <row r="4011" spans="1:2" x14ac:dyDescent="0.25">
      <c r="A4011" s="388"/>
      <c r="B4011" s="388"/>
    </row>
    <row r="4012" spans="1:2" x14ac:dyDescent="0.25">
      <c r="A4012" s="388"/>
      <c r="B4012" s="388"/>
    </row>
    <row r="4013" spans="1:2" x14ac:dyDescent="0.25">
      <c r="A4013" s="388"/>
      <c r="B4013" s="388"/>
    </row>
    <row r="4014" spans="1:2" x14ac:dyDescent="0.25">
      <c r="A4014" s="388"/>
      <c r="B4014" s="388"/>
    </row>
    <row r="4015" spans="1:2" x14ac:dyDescent="0.25">
      <c r="A4015" s="388"/>
      <c r="B4015" s="388"/>
    </row>
    <row r="4016" spans="1:2" x14ac:dyDescent="0.25">
      <c r="A4016" s="388"/>
      <c r="B4016" s="388"/>
    </row>
    <row r="4017" spans="1:2" x14ac:dyDescent="0.25">
      <c r="A4017" s="388"/>
      <c r="B4017" s="388"/>
    </row>
    <row r="4018" spans="1:2" x14ac:dyDescent="0.25">
      <c r="A4018" s="388"/>
      <c r="B4018" s="388"/>
    </row>
    <row r="4019" spans="1:2" x14ac:dyDescent="0.25">
      <c r="A4019" s="388"/>
      <c r="B4019" s="388"/>
    </row>
    <row r="4020" spans="1:2" x14ac:dyDescent="0.25">
      <c r="A4020" s="388"/>
      <c r="B4020" s="388"/>
    </row>
    <row r="4021" spans="1:2" x14ac:dyDescent="0.25">
      <c r="A4021" s="388"/>
      <c r="B4021" s="388"/>
    </row>
    <row r="4022" spans="1:2" x14ac:dyDescent="0.25">
      <c r="A4022" s="388"/>
      <c r="B4022" s="388"/>
    </row>
    <row r="4023" spans="1:2" x14ac:dyDescent="0.25">
      <c r="A4023" s="388"/>
      <c r="B4023" s="388"/>
    </row>
    <row r="4024" spans="1:2" x14ac:dyDescent="0.25">
      <c r="A4024" s="388"/>
      <c r="B4024" s="388"/>
    </row>
    <row r="4025" spans="1:2" x14ac:dyDescent="0.25">
      <c r="A4025" s="388"/>
      <c r="B4025" s="388"/>
    </row>
    <row r="4026" spans="1:2" x14ac:dyDescent="0.25">
      <c r="A4026" s="388"/>
      <c r="B4026" s="388"/>
    </row>
    <row r="4027" spans="1:2" x14ac:dyDescent="0.25">
      <c r="A4027" s="388"/>
      <c r="B4027" s="388"/>
    </row>
    <row r="4028" spans="1:2" x14ac:dyDescent="0.25">
      <c r="A4028" s="388"/>
      <c r="B4028" s="388"/>
    </row>
    <row r="4029" spans="1:2" x14ac:dyDescent="0.25">
      <c r="A4029" s="388"/>
      <c r="B4029" s="388"/>
    </row>
    <row r="4030" spans="1:2" x14ac:dyDescent="0.25">
      <c r="A4030" s="388"/>
      <c r="B4030" s="388"/>
    </row>
    <row r="4031" spans="1:2" x14ac:dyDescent="0.25">
      <c r="A4031" s="388"/>
      <c r="B4031" s="388"/>
    </row>
    <row r="4032" spans="1:2" x14ac:dyDescent="0.25">
      <c r="A4032" s="388"/>
      <c r="B4032" s="388"/>
    </row>
    <row r="4033" spans="1:2" x14ac:dyDescent="0.25">
      <c r="A4033" s="388"/>
      <c r="B4033" s="388"/>
    </row>
    <row r="4034" spans="1:2" x14ac:dyDescent="0.25">
      <c r="A4034" s="388"/>
      <c r="B4034" s="388"/>
    </row>
    <row r="4035" spans="1:2" x14ac:dyDescent="0.25">
      <c r="A4035" s="388"/>
      <c r="B4035" s="388"/>
    </row>
    <row r="4036" spans="1:2" x14ac:dyDescent="0.25">
      <c r="A4036" s="388"/>
      <c r="B4036" s="388"/>
    </row>
    <row r="4037" spans="1:2" x14ac:dyDescent="0.25">
      <c r="A4037" s="388"/>
      <c r="B4037" s="388"/>
    </row>
    <row r="4038" spans="1:2" x14ac:dyDescent="0.25">
      <c r="A4038" s="388"/>
      <c r="B4038" s="388"/>
    </row>
    <row r="4039" spans="1:2" x14ac:dyDescent="0.25">
      <c r="A4039" s="388"/>
      <c r="B4039" s="388"/>
    </row>
    <row r="4040" spans="1:2" x14ac:dyDescent="0.25">
      <c r="A4040" s="388"/>
      <c r="B4040" s="388"/>
    </row>
    <row r="4041" spans="1:2" x14ac:dyDescent="0.25">
      <c r="A4041" s="388"/>
      <c r="B4041" s="388"/>
    </row>
    <row r="4042" spans="1:2" x14ac:dyDescent="0.25">
      <c r="A4042" s="388"/>
      <c r="B4042" s="388"/>
    </row>
    <row r="4043" spans="1:2" x14ac:dyDescent="0.25">
      <c r="A4043" s="388"/>
      <c r="B4043" s="388"/>
    </row>
    <row r="4044" spans="1:2" x14ac:dyDescent="0.25">
      <c r="A4044" s="388"/>
      <c r="B4044" s="388"/>
    </row>
    <row r="4045" spans="1:2" x14ac:dyDescent="0.25">
      <c r="A4045" s="388"/>
      <c r="B4045" s="388"/>
    </row>
    <row r="4046" spans="1:2" x14ac:dyDescent="0.25">
      <c r="A4046" s="388"/>
      <c r="B4046" s="388"/>
    </row>
    <row r="4047" spans="1:2" x14ac:dyDescent="0.25">
      <c r="A4047" s="388"/>
      <c r="B4047" s="388"/>
    </row>
    <row r="4048" spans="1:2" x14ac:dyDescent="0.25">
      <c r="A4048" s="388"/>
      <c r="B4048" s="388"/>
    </row>
    <row r="4049" spans="1:2" x14ac:dyDescent="0.25">
      <c r="A4049" s="388"/>
      <c r="B4049" s="388"/>
    </row>
    <row r="4050" spans="1:2" x14ac:dyDescent="0.25">
      <c r="A4050" s="388"/>
      <c r="B4050" s="388"/>
    </row>
    <row r="4051" spans="1:2" x14ac:dyDescent="0.25">
      <c r="A4051" s="388"/>
      <c r="B4051" s="388"/>
    </row>
    <row r="4052" spans="1:2" x14ac:dyDescent="0.25">
      <c r="A4052" s="388"/>
      <c r="B4052" s="388"/>
    </row>
    <row r="4053" spans="1:2" x14ac:dyDescent="0.25">
      <c r="A4053" s="388"/>
      <c r="B4053" s="388"/>
    </row>
    <row r="4054" spans="1:2" x14ac:dyDescent="0.25">
      <c r="A4054" s="388"/>
      <c r="B4054" s="388"/>
    </row>
    <row r="4055" spans="1:2" x14ac:dyDescent="0.25">
      <c r="A4055" s="388"/>
      <c r="B4055" s="388"/>
    </row>
    <row r="4056" spans="1:2" x14ac:dyDescent="0.25">
      <c r="A4056" s="388"/>
      <c r="B4056" s="388"/>
    </row>
    <row r="4057" spans="1:2" x14ac:dyDescent="0.25">
      <c r="A4057" s="388"/>
      <c r="B4057" s="388"/>
    </row>
    <row r="4058" spans="1:2" x14ac:dyDescent="0.25">
      <c r="A4058" s="388"/>
      <c r="B4058" s="388"/>
    </row>
    <row r="4059" spans="1:2" x14ac:dyDescent="0.25">
      <c r="A4059" s="388"/>
      <c r="B4059" s="388"/>
    </row>
    <row r="4060" spans="1:2" x14ac:dyDescent="0.25">
      <c r="A4060" s="388"/>
      <c r="B4060" s="388"/>
    </row>
    <row r="4061" spans="1:2" x14ac:dyDescent="0.25">
      <c r="A4061" s="388"/>
      <c r="B4061" s="388"/>
    </row>
    <row r="4062" spans="1:2" x14ac:dyDescent="0.25">
      <c r="A4062" s="388"/>
      <c r="B4062" s="388"/>
    </row>
    <row r="4063" spans="1:2" x14ac:dyDescent="0.25">
      <c r="A4063" s="388"/>
      <c r="B4063" s="388"/>
    </row>
    <row r="4064" spans="1:2" x14ac:dyDescent="0.25">
      <c r="A4064" s="388"/>
      <c r="B4064" s="388"/>
    </row>
    <row r="4065" spans="1:2" x14ac:dyDescent="0.25">
      <c r="A4065" s="388"/>
      <c r="B4065" s="388"/>
    </row>
    <row r="4066" spans="1:2" x14ac:dyDescent="0.25">
      <c r="A4066" s="388"/>
      <c r="B4066" s="388"/>
    </row>
    <row r="4067" spans="1:2" x14ac:dyDescent="0.25">
      <c r="A4067" s="388"/>
      <c r="B4067" s="388"/>
    </row>
    <row r="4068" spans="1:2" x14ac:dyDescent="0.25">
      <c r="A4068" s="388"/>
      <c r="B4068" s="388"/>
    </row>
    <row r="4069" spans="1:2" x14ac:dyDescent="0.25">
      <c r="A4069" s="388"/>
      <c r="B4069" s="388"/>
    </row>
    <row r="4070" spans="1:2" x14ac:dyDescent="0.25">
      <c r="A4070" s="388"/>
      <c r="B4070" s="388"/>
    </row>
    <row r="4071" spans="1:2" x14ac:dyDescent="0.25">
      <c r="A4071" s="388"/>
      <c r="B4071" s="388"/>
    </row>
    <row r="4072" spans="1:2" x14ac:dyDescent="0.25">
      <c r="A4072" s="388"/>
      <c r="B4072" s="388"/>
    </row>
    <row r="4073" spans="1:2" x14ac:dyDescent="0.25">
      <c r="A4073" s="388"/>
      <c r="B4073" s="388"/>
    </row>
    <row r="4074" spans="1:2" x14ac:dyDescent="0.25">
      <c r="A4074" s="388"/>
      <c r="B4074" s="388"/>
    </row>
    <row r="4075" spans="1:2" x14ac:dyDescent="0.25">
      <c r="A4075" s="388"/>
      <c r="B4075" s="388"/>
    </row>
    <row r="4076" spans="1:2" x14ac:dyDescent="0.25">
      <c r="A4076" s="388"/>
      <c r="B4076" s="388"/>
    </row>
    <row r="4077" spans="1:2" x14ac:dyDescent="0.25">
      <c r="A4077" s="388"/>
      <c r="B4077" s="388"/>
    </row>
    <row r="4078" spans="1:2" x14ac:dyDescent="0.25">
      <c r="A4078" s="388"/>
      <c r="B4078" s="388"/>
    </row>
    <row r="4079" spans="1:2" x14ac:dyDescent="0.25">
      <c r="A4079" s="388"/>
      <c r="B4079" s="388"/>
    </row>
    <row r="4080" spans="1:2" x14ac:dyDescent="0.25">
      <c r="A4080" s="388"/>
      <c r="B4080" s="388"/>
    </row>
    <row r="4081" spans="1:2" x14ac:dyDescent="0.25">
      <c r="A4081" s="388"/>
      <c r="B4081" s="388"/>
    </row>
    <row r="4082" spans="1:2" x14ac:dyDescent="0.25">
      <c r="A4082" s="388"/>
      <c r="B4082" s="388"/>
    </row>
    <row r="4083" spans="1:2" x14ac:dyDescent="0.25">
      <c r="A4083" s="388"/>
      <c r="B4083" s="388"/>
    </row>
    <row r="4084" spans="1:2" x14ac:dyDescent="0.25">
      <c r="A4084" s="388"/>
      <c r="B4084" s="388"/>
    </row>
    <row r="4085" spans="1:2" x14ac:dyDescent="0.25">
      <c r="A4085" s="388"/>
      <c r="B4085" s="388"/>
    </row>
    <row r="4086" spans="1:2" x14ac:dyDescent="0.25">
      <c r="A4086" s="388"/>
      <c r="B4086" s="388"/>
    </row>
    <row r="4087" spans="1:2" x14ac:dyDescent="0.25">
      <c r="A4087" s="388"/>
      <c r="B4087" s="388"/>
    </row>
    <row r="4088" spans="1:2" x14ac:dyDescent="0.25">
      <c r="A4088" s="388"/>
      <c r="B4088" s="388"/>
    </row>
    <row r="4089" spans="1:2" x14ac:dyDescent="0.25">
      <c r="A4089" s="388"/>
      <c r="B4089" s="388"/>
    </row>
    <row r="4090" spans="1:2" x14ac:dyDescent="0.25">
      <c r="A4090" s="388"/>
      <c r="B4090" s="388"/>
    </row>
    <row r="4091" spans="1:2" x14ac:dyDescent="0.25">
      <c r="A4091" s="388"/>
      <c r="B4091" s="388"/>
    </row>
    <row r="4092" spans="1:2" x14ac:dyDescent="0.25">
      <c r="A4092" s="388"/>
      <c r="B4092" s="388"/>
    </row>
    <row r="4093" spans="1:2" x14ac:dyDescent="0.25">
      <c r="A4093" s="388"/>
      <c r="B4093" s="388"/>
    </row>
    <row r="4094" spans="1:2" x14ac:dyDescent="0.25">
      <c r="A4094" s="388"/>
      <c r="B4094" s="388"/>
    </row>
    <row r="4095" spans="1:2" x14ac:dyDescent="0.25">
      <c r="A4095" s="388"/>
      <c r="B4095" s="388"/>
    </row>
    <row r="4096" spans="1:2" x14ac:dyDescent="0.25">
      <c r="A4096" s="388"/>
      <c r="B4096" s="388"/>
    </row>
    <row r="4097" spans="1:2" x14ac:dyDescent="0.25">
      <c r="A4097" s="388"/>
      <c r="B4097" s="388"/>
    </row>
    <row r="4098" spans="1:2" x14ac:dyDescent="0.25">
      <c r="A4098" s="388"/>
      <c r="B4098" s="388"/>
    </row>
    <row r="4099" spans="1:2" x14ac:dyDescent="0.25">
      <c r="A4099" s="388"/>
      <c r="B4099" s="388"/>
    </row>
    <row r="4100" spans="1:2" x14ac:dyDescent="0.25">
      <c r="A4100" s="388"/>
      <c r="B4100" s="388"/>
    </row>
    <row r="4101" spans="1:2" x14ac:dyDescent="0.25">
      <c r="A4101" s="388"/>
      <c r="B4101" s="388"/>
    </row>
    <row r="4102" spans="1:2" x14ac:dyDescent="0.25">
      <c r="A4102" s="388"/>
      <c r="B4102" s="388"/>
    </row>
    <row r="4103" spans="1:2" x14ac:dyDescent="0.25">
      <c r="A4103" s="388"/>
      <c r="B4103" s="388"/>
    </row>
    <row r="4104" spans="1:2" x14ac:dyDescent="0.25">
      <c r="A4104" s="388"/>
      <c r="B4104" s="388"/>
    </row>
    <row r="4105" spans="1:2" x14ac:dyDescent="0.25">
      <c r="A4105" s="388"/>
      <c r="B4105" s="388"/>
    </row>
    <row r="4106" spans="1:2" x14ac:dyDescent="0.25">
      <c r="A4106" s="388"/>
      <c r="B4106" s="388"/>
    </row>
    <row r="4107" spans="1:2" x14ac:dyDescent="0.25">
      <c r="A4107" s="388"/>
      <c r="B4107" s="388"/>
    </row>
    <row r="4108" spans="1:2" x14ac:dyDescent="0.25">
      <c r="A4108" s="388"/>
      <c r="B4108" s="388"/>
    </row>
    <row r="4109" spans="1:2" x14ac:dyDescent="0.25">
      <c r="A4109" s="388"/>
      <c r="B4109" s="388"/>
    </row>
    <row r="4110" spans="1:2" x14ac:dyDescent="0.25">
      <c r="A4110" s="388"/>
      <c r="B4110" s="388"/>
    </row>
    <row r="4111" spans="1:2" x14ac:dyDescent="0.25">
      <c r="A4111" s="388"/>
      <c r="B4111" s="388"/>
    </row>
    <row r="4112" spans="1:2" x14ac:dyDescent="0.25">
      <c r="A4112" s="388"/>
      <c r="B4112" s="388"/>
    </row>
    <row r="4113" spans="1:2" x14ac:dyDescent="0.25">
      <c r="A4113" s="388"/>
      <c r="B4113" s="388"/>
    </row>
    <row r="4114" spans="1:2" x14ac:dyDescent="0.25">
      <c r="A4114" s="388"/>
      <c r="B4114" s="388"/>
    </row>
    <row r="4115" spans="1:2" x14ac:dyDescent="0.25">
      <c r="A4115" s="388"/>
      <c r="B4115" s="388"/>
    </row>
    <row r="4116" spans="1:2" x14ac:dyDescent="0.25">
      <c r="A4116" s="388"/>
      <c r="B4116" s="388"/>
    </row>
    <row r="4117" spans="1:2" x14ac:dyDescent="0.25">
      <c r="A4117" s="388"/>
      <c r="B4117" s="388"/>
    </row>
    <row r="4118" spans="1:2" x14ac:dyDescent="0.25">
      <c r="A4118" s="388"/>
      <c r="B4118" s="388"/>
    </row>
    <row r="4119" spans="1:2" x14ac:dyDescent="0.25">
      <c r="A4119" s="388"/>
      <c r="B4119" s="388"/>
    </row>
    <row r="4120" spans="1:2" x14ac:dyDescent="0.25">
      <c r="A4120" s="388"/>
      <c r="B4120" s="388"/>
    </row>
    <row r="4121" spans="1:2" x14ac:dyDescent="0.25">
      <c r="A4121" s="388"/>
      <c r="B4121" s="388"/>
    </row>
    <row r="4122" spans="1:2" x14ac:dyDescent="0.25">
      <c r="A4122" s="388"/>
      <c r="B4122" s="388"/>
    </row>
    <row r="4123" spans="1:2" x14ac:dyDescent="0.25">
      <c r="A4123" s="388"/>
      <c r="B4123" s="388"/>
    </row>
    <row r="4124" spans="1:2" x14ac:dyDescent="0.25">
      <c r="A4124" s="388"/>
      <c r="B4124" s="388"/>
    </row>
    <row r="4125" spans="1:2" x14ac:dyDescent="0.25">
      <c r="A4125" s="388"/>
      <c r="B4125" s="388"/>
    </row>
    <row r="4126" spans="1:2" x14ac:dyDescent="0.25">
      <c r="A4126" s="388"/>
      <c r="B4126" s="388"/>
    </row>
    <row r="4127" spans="1:2" x14ac:dyDescent="0.25">
      <c r="A4127" s="388"/>
      <c r="B4127" s="388"/>
    </row>
    <row r="4128" spans="1:2" x14ac:dyDescent="0.25">
      <c r="A4128" s="388"/>
      <c r="B4128" s="388"/>
    </row>
    <row r="4129" spans="1:2" x14ac:dyDescent="0.25">
      <c r="A4129" s="388"/>
      <c r="B4129" s="388"/>
    </row>
    <row r="4130" spans="1:2" x14ac:dyDescent="0.25">
      <c r="A4130" s="388"/>
      <c r="B4130" s="388"/>
    </row>
    <row r="4131" spans="1:2" x14ac:dyDescent="0.25">
      <c r="A4131" s="388"/>
      <c r="B4131" s="388"/>
    </row>
    <row r="4132" spans="1:2" x14ac:dyDescent="0.25">
      <c r="A4132" s="388"/>
      <c r="B4132" s="388"/>
    </row>
    <row r="4133" spans="1:2" x14ac:dyDescent="0.25">
      <c r="A4133" s="388"/>
      <c r="B4133" s="388"/>
    </row>
    <row r="4134" spans="1:2" x14ac:dyDescent="0.25">
      <c r="A4134" s="388"/>
      <c r="B4134" s="388"/>
    </row>
    <row r="4135" spans="1:2" x14ac:dyDescent="0.25">
      <c r="A4135" s="388"/>
      <c r="B4135" s="388"/>
    </row>
    <row r="4136" spans="1:2" x14ac:dyDescent="0.25">
      <c r="A4136" s="388"/>
      <c r="B4136" s="388"/>
    </row>
    <row r="4137" spans="1:2" x14ac:dyDescent="0.25">
      <c r="A4137" s="388"/>
      <c r="B4137" s="388"/>
    </row>
    <row r="4138" spans="1:2" x14ac:dyDescent="0.25">
      <c r="A4138" s="388"/>
      <c r="B4138" s="388"/>
    </row>
    <row r="4139" spans="1:2" x14ac:dyDescent="0.25">
      <c r="A4139" s="388"/>
      <c r="B4139" s="388"/>
    </row>
    <row r="4140" spans="1:2" x14ac:dyDescent="0.25">
      <c r="A4140" s="388"/>
      <c r="B4140" s="388"/>
    </row>
    <row r="4141" spans="1:2" x14ac:dyDescent="0.25">
      <c r="A4141" s="388"/>
      <c r="B4141" s="388"/>
    </row>
    <row r="4142" spans="1:2" x14ac:dyDescent="0.25">
      <c r="A4142" s="388"/>
      <c r="B4142" s="388"/>
    </row>
    <row r="4143" spans="1:2" x14ac:dyDescent="0.25">
      <c r="A4143" s="388"/>
      <c r="B4143" s="388"/>
    </row>
    <row r="4144" spans="1:2" x14ac:dyDescent="0.25">
      <c r="A4144" s="388"/>
      <c r="B4144" s="388"/>
    </row>
    <row r="4145" spans="1:2" x14ac:dyDescent="0.25">
      <c r="A4145" s="388"/>
      <c r="B4145" s="388"/>
    </row>
    <row r="4146" spans="1:2" x14ac:dyDescent="0.25">
      <c r="A4146" s="388"/>
      <c r="B4146" s="388"/>
    </row>
    <row r="4147" spans="1:2" x14ac:dyDescent="0.25">
      <c r="A4147" s="388"/>
      <c r="B4147" s="388"/>
    </row>
    <row r="4148" spans="1:2" x14ac:dyDescent="0.25">
      <c r="A4148" s="388"/>
      <c r="B4148" s="388"/>
    </row>
    <row r="4149" spans="1:2" x14ac:dyDescent="0.25">
      <c r="A4149" s="388"/>
      <c r="B4149" s="388"/>
    </row>
    <row r="4150" spans="1:2" x14ac:dyDescent="0.25">
      <c r="A4150" s="388"/>
      <c r="B4150" s="388"/>
    </row>
    <row r="4151" spans="1:2" x14ac:dyDescent="0.25">
      <c r="A4151" s="388"/>
      <c r="B4151" s="388"/>
    </row>
    <row r="4152" spans="1:2" x14ac:dyDescent="0.25">
      <c r="A4152" s="388"/>
      <c r="B4152" s="388"/>
    </row>
    <row r="4153" spans="1:2" x14ac:dyDescent="0.25">
      <c r="A4153" s="388"/>
      <c r="B4153" s="388"/>
    </row>
    <row r="4154" spans="1:2" x14ac:dyDescent="0.25">
      <c r="A4154" s="388"/>
      <c r="B4154" s="388"/>
    </row>
    <row r="4155" spans="1:2" x14ac:dyDescent="0.25">
      <c r="A4155" s="388"/>
      <c r="B4155" s="388"/>
    </row>
    <row r="4156" spans="1:2" x14ac:dyDescent="0.25">
      <c r="A4156" s="388"/>
      <c r="B4156" s="388"/>
    </row>
    <row r="4157" spans="1:2" x14ac:dyDescent="0.25">
      <c r="A4157" s="388"/>
      <c r="B4157" s="388"/>
    </row>
    <row r="4158" spans="1:2" x14ac:dyDescent="0.25">
      <c r="A4158" s="388"/>
      <c r="B4158" s="388"/>
    </row>
    <row r="4159" spans="1:2" x14ac:dyDescent="0.25">
      <c r="A4159" s="388"/>
      <c r="B4159" s="388"/>
    </row>
    <row r="4160" spans="1:2" x14ac:dyDescent="0.25">
      <c r="A4160" s="388"/>
      <c r="B4160" s="388"/>
    </row>
    <row r="4161" spans="1:2" x14ac:dyDescent="0.25">
      <c r="A4161" s="388"/>
      <c r="B4161" s="388"/>
    </row>
    <row r="4162" spans="1:2" x14ac:dyDescent="0.25">
      <c r="A4162" s="388"/>
      <c r="B4162" s="388"/>
    </row>
    <row r="4163" spans="1:2" x14ac:dyDescent="0.25">
      <c r="A4163" s="388"/>
      <c r="B4163" s="388"/>
    </row>
    <row r="4164" spans="1:2" x14ac:dyDescent="0.25">
      <c r="A4164" s="388"/>
      <c r="B4164" s="388"/>
    </row>
    <row r="4165" spans="1:2" x14ac:dyDescent="0.25">
      <c r="A4165" s="388"/>
      <c r="B4165" s="388"/>
    </row>
    <row r="4166" spans="1:2" x14ac:dyDescent="0.25">
      <c r="A4166" s="388"/>
      <c r="B4166" s="388"/>
    </row>
    <row r="4167" spans="1:2" x14ac:dyDescent="0.25">
      <c r="A4167" s="388"/>
      <c r="B4167" s="388"/>
    </row>
    <row r="4168" spans="1:2" x14ac:dyDescent="0.25">
      <c r="A4168" s="388"/>
      <c r="B4168" s="388"/>
    </row>
    <row r="4169" spans="1:2" x14ac:dyDescent="0.25">
      <c r="A4169" s="388"/>
      <c r="B4169" s="388"/>
    </row>
    <row r="4170" spans="1:2" x14ac:dyDescent="0.25">
      <c r="A4170" s="388"/>
      <c r="B4170" s="388"/>
    </row>
    <row r="4171" spans="1:2" x14ac:dyDescent="0.25">
      <c r="A4171" s="388"/>
      <c r="B4171" s="388"/>
    </row>
    <row r="4172" spans="1:2" x14ac:dyDescent="0.25">
      <c r="A4172" s="388"/>
      <c r="B4172" s="388"/>
    </row>
    <row r="4173" spans="1:2" x14ac:dyDescent="0.25">
      <c r="A4173" s="388"/>
      <c r="B4173" s="388"/>
    </row>
    <row r="4174" spans="1:2" x14ac:dyDescent="0.25">
      <c r="A4174" s="388"/>
      <c r="B4174" s="388"/>
    </row>
    <row r="4175" spans="1:2" x14ac:dyDescent="0.25">
      <c r="A4175" s="388"/>
      <c r="B4175" s="388"/>
    </row>
    <row r="4176" spans="1:2" x14ac:dyDescent="0.25">
      <c r="A4176" s="388"/>
      <c r="B4176" s="388"/>
    </row>
    <row r="4177" spans="1:2" x14ac:dyDescent="0.25">
      <c r="A4177" s="388"/>
      <c r="B4177" s="388"/>
    </row>
    <row r="4178" spans="1:2" x14ac:dyDescent="0.25">
      <c r="A4178" s="388"/>
      <c r="B4178" s="388"/>
    </row>
    <row r="4179" spans="1:2" x14ac:dyDescent="0.25">
      <c r="A4179" s="388"/>
      <c r="B4179" s="388"/>
    </row>
    <row r="4180" spans="1:2" x14ac:dyDescent="0.25">
      <c r="A4180" s="388"/>
      <c r="B4180" s="388"/>
    </row>
    <row r="4181" spans="1:2" x14ac:dyDescent="0.25">
      <c r="A4181" s="388"/>
      <c r="B4181" s="388"/>
    </row>
    <row r="4182" spans="1:2" x14ac:dyDescent="0.25">
      <c r="A4182" s="388"/>
      <c r="B4182" s="388"/>
    </row>
    <row r="4183" spans="1:2" x14ac:dyDescent="0.25">
      <c r="A4183" s="388"/>
      <c r="B4183" s="388"/>
    </row>
    <row r="4184" spans="1:2" x14ac:dyDescent="0.25">
      <c r="A4184" s="388"/>
      <c r="B4184" s="388"/>
    </row>
    <row r="4185" spans="1:2" x14ac:dyDescent="0.25">
      <c r="A4185" s="388"/>
      <c r="B4185" s="388"/>
    </row>
    <row r="4186" spans="1:2" x14ac:dyDescent="0.25">
      <c r="A4186" s="388"/>
      <c r="B4186" s="388"/>
    </row>
    <row r="4187" spans="1:2" x14ac:dyDescent="0.25">
      <c r="A4187" s="388"/>
      <c r="B4187" s="388"/>
    </row>
    <row r="4188" spans="1:2" x14ac:dyDescent="0.25">
      <c r="A4188" s="388"/>
      <c r="B4188" s="388"/>
    </row>
    <row r="4189" spans="1:2" x14ac:dyDescent="0.25">
      <c r="A4189" s="388"/>
      <c r="B4189" s="388"/>
    </row>
    <row r="4190" spans="1:2" x14ac:dyDescent="0.25">
      <c r="A4190" s="388"/>
      <c r="B4190" s="388"/>
    </row>
    <row r="4191" spans="1:2" x14ac:dyDescent="0.25">
      <c r="A4191" s="388"/>
      <c r="B4191" s="388"/>
    </row>
    <row r="4192" spans="1:2" x14ac:dyDescent="0.25">
      <c r="A4192" s="388"/>
      <c r="B4192" s="388"/>
    </row>
    <row r="4193" spans="1:2" x14ac:dyDescent="0.25">
      <c r="A4193" s="388"/>
      <c r="B4193" s="388"/>
    </row>
    <row r="4194" spans="1:2" x14ac:dyDescent="0.25">
      <c r="A4194" s="388"/>
      <c r="B4194" s="388"/>
    </row>
    <row r="4195" spans="1:2" x14ac:dyDescent="0.25">
      <c r="A4195" s="388"/>
      <c r="B4195" s="388"/>
    </row>
    <row r="4196" spans="1:2" x14ac:dyDescent="0.25">
      <c r="A4196" s="388"/>
      <c r="B4196" s="388"/>
    </row>
    <row r="4197" spans="1:2" x14ac:dyDescent="0.25">
      <c r="A4197" s="388"/>
      <c r="B4197" s="388"/>
    </row>
    <row r="4198" spans="1:2" x14ac:dyDescent="0.25">
      <c r="A4198" s="388"/>
      <c r="B4198" s="388"/>
    </row>
    <row r="4199" spans="1:2" x14ac:dyDescent="0.25">
      <c r="A4199" s="388"/>
      <c r="B4199" s="388"/>
    </row>
    <row r="4200" spans="1:2" x14ac:dyDescent="0.25">
      <c r="A4200" s="388"/>
      <c r="B4200" s="388"/>
    </row>
    <row r="4201" spans="1:2" x14ac:dyDescent="0.25">
      <c r="A4201" s="388"/>
      <c r="B4201" s="388"/>
    </row>
    <row r="4202" spans="1:2" x14ac:dyDescent="0.25">
      <c r="A4202" s="388"/>
      <c r="B4202" s="388"/>
    </row>
    <row r="4203" spans="1:2" x14ac:dyDescent="0.25">
      <c r="A4203" s="388"/>
      <c r="B4203" s="388"/>
    </row>
    <row r="4204" spans="1:2" x14ac:dyDescent="0.25">
      <c r="A4204" s="388"/>
      <c r="B4204" s="388"/>
    </row>
    <row r="4205" spans="1:2" x14ac:dyDescent="0.25">
      <c r="A4205" s="388"/>
      <c r="B4205" s="388"/>
    </row>
    <row r="4206" spans="1:2" x14ac:dyDescent="0.25">
      <c r="A4206" s="388"/>
      <c r="B4206" s="388"/>
    </row>
    <row r="4207" spans="1:2" x14ac:dyDescent="0.25">
      <c r="A4207" s="388"/>
      <c r="B4207" s="388"/>
    </row>
    <row r="4208" spans="1:2" x14ac:dyDescent="0.25">
      <c r="A4208" s="388"/>
      <c r="B4208" s="388"/>
    </row>
    <row r="4209" spans="1:2" x14ac:dyDescent="0.25">
      <c r="A4209" s="388"/>
      <c r="B4209" s="388"/>
    </row>
    <row r="4210" spans="1:2" x14ac:dyDescent="0.25">
      <c r="A4210" s="388"/>
      <c r="B4210" s="388"/>
    </row>
    <row r="4211" spans="1:2" x14ac:dyDescent="0.25">
      <c r="A4211" s="388"/>
      <c r="B4211" s="388"/>
    </row>
    <row r="4212" spans="1:2" x14ac:dyDescent="0.25">
      <c r="A4212" s="388"/>
      <c r="B4212" s="388"/>
    </row>
    <row r="4213" spans="1:2" x14ac:dyDescent="0.25">
      <c r="A4213" s="388"/>
      <c r="B4213" s="388"/>
    </row>
    <row r="4214" spans="1:2" x14ac:dyDescent="0.25">
      <c r="A4214" s="388"/>
      <c r="B4214" s="388"/>
    </row>
    <row r="4215" spans="1:2" x14ac:dyDescent="0.25">
      <c r="A4215" s="388"/>
      <c r="B4215" s="388"/>
    </row>
    <row r="4216" spans="1:2" x14ac:dyDescent="0.25">
      <c r="A4216" s="388"/>
      <c r="B4216" s="388"/>
    </row>
    <row r="4217" spans="1:2" x14ac:dyDescent="0.25">
      <c r="A4217" s="388"/>
      <c r="B4217" s="388"/>
    </row>
    <row r="4218" spans="1:2" x14ac:dyDescent="0.25">
      <c r="A4218" s="388"/>
      <c r="B4218" s="388"/>
    </row>
    <row r="4219" spans="1:2" x14ac:dyDescent="0.25">
      <c r="A4219" s="388"/>
      <c r="B4219" s="388"/>
    </row>
    <row r="4220" spans="1:2" x14ac:dyDescent="0.25">
      <c r="A4220" s="388"/>
      <c r="B4220" s="388"/>
    </row>
    <row r="4221" spans="1:2" x14ac:dyDescent="0.25">
      <c r="A4221" s="388"/>
      <c r="B4221" s="388"/>
    </row>
    <row r="4222" spans="1:2" x14ac:dyDescent="0.25">
      <c r="A4222" s="388"/>
      <c r="B4222" s="388"/>
    </row>
    <row r="4223" spans="1:2" x14ac:dyDescent="0.25">
      <c r="A4223" s="388"/>
      <c r="B4223" s="388"/>
    </row>
    <row r="4224" spans="1:2" x14ac:dyDescent="0.25">
      <c r="A4224" s="388"/>
      <c r="B4224" s="388"/>
    </row>
    <row r="4225" spans="1:2" x14ac:dyDescent="0.25">
      <c r="A4225" s="388"/>
      <c r="B4225" s="388"/>
    </row>
    <row r="4226" spans="1:2" x14ac:dyDescent="0.25">
      <c r="A4226" s="388"/>
      <c r="B4226" s="388"/>
    </row>
    <row r="4227" spans="1:2" x14ac:dyDescent="0.25">
      <c r="A4227" s="388"/>
      <c r="B4227" s="388"/>
    </row>
    <row r="4228" spans="1:2" x14ac:dyDescent="0.25">
      <c r="A4228" s="388"/>
      <c r="B4228" s="388"/>
    </row>
    <row r="4229" spans="1:2" x14ac:dyDescent="0.25">
      <c r="A4229" s="388"/>
      <c r="B4229" s="388"/>
    </row>
    <row r="4230" spans="1:2" x14ac:dyDescent="0.25">
      <c r="A4230" s="388"/>
      <c r="B4230" s="388"/>
    </row>
    <row r="4231" spans="1:2" x14ac:dyDescent="0.25">
      <c r="A4231" s="388"/>
      <c r="B4231" s="388"/>
    </row>
    <row r="4232" spans="1:2" x14ac:dyDescent="0.25">
      <c r="A4232" s="388"/>
      <c r="B4232" s="388"/>
    </row>
    <row r="4233" spans="1:2" x14ac:dyDescent="0.25">
      <c r="A4233" s="388"/>
      <c r="B4233" s="388"/>
    </row>
    <row r="4234" spans="1:2" x14ac:dyDescent="0.25">
      <c r="A4234" s="388"/>
      <c r="B4234" s="388"/>
    </row>
    <row r="4235" spans="1:2" x14ac:dyDescent="0.25">
      <c r="A4235" s="388"/>
      <c r="B4235" s="388"/>
    </row>
    <row r="4236" spans="1:2" x14ac:dyDescent="0.25">
      <c r="A4236" s="388"/>
      <c r="B4236" s="388"/>
    </row>
    <row r="4237" spans="1:2" x14ac:dyDescent="0.25">
      <c r="A4237" s="388"/>
      <c r="B4237" s="388"/>
    </row>
    <row r="4238" spans="1:2" x14ac:dyDescent="0.25">
      <c r="A4238" s="388"/>
      <c r="B4238" s="388"/>
    </row>
    <row r="4239" spans="1:2" x14ac:dyDescent="0.25">
      <c r="A4239" s="388"/>
      <c r="B4239" s="388"/>
    </row>
    <row r="4240" spans="1:2" x14ac:dyDescent="0.25">
      <c r="A4240" s="388"/>
      <c r="B4240" s="388"/>
    </row>
    <row r="4241" spans="1:2" x14ac:dyDescent="0.25">
      <c r="A4241" s="388"/>
      <c r="B4241" s="388"/>
    </row>
    <row r="4242" spans="1:2" x14ac:dyDescent="0.25">
      <c r="A4242" s="388"/>
      <c r="B4242" s="388"/>
    </row>
    <row r="4243" spans="1:2" x14ac:dyDescent="0.25">
      <c r="A4243" s="388"/>
      <c r="B4243" s="388"/>
    </row>
    <row r="4244" spans="1:2" x14ac:dyDescent="0.25">
      <c r="A4244" s="388"/>
      <c r="B4244" s="388"/>
    </row>
    <row r="4245" spans="1:2" x14ac:dyDescent="0.25">
      <c r="A4245" s="388"/>
      <c r="B4245" s="388"/>
    </row>
    <row r="4246" spans="1:2" x14ac:dyDescent="0.25">
      <c r="A4246" s="388"/>
      <c r="B4246" s="388"/>
    </row>
    <row r="4247" spans="1:2" x14ac:dyDescent="0.25">
      <c r="A4247" s="388"/>
      <c r="B4247" s="388"/>
    </row>
    <row r="4248" spans="1:2" x14ac:dyDescent="0.25">
      <c r="A4248" s="388"/>
      <c r="B4248" s="388"/>
    </row>
    <row r="4249" spans="1:2" x14ac:dyDescent="0.25">
      <c r="A4249" s="388"/>
      <c r="B4249" s="388"/>
    </row>
    <row r="4250" spans="1:2" x14ac:dyDescent="0.25">
      <c r="A4250" s="388"/>
      <c r="B4250" s="388"/>
    </row>
    <row r="4251" spans="1:2" x14ac:dyDescent="0.25">
      <c r="A4251" s="388"/>
      <c r="B4251" s="388"/>
    </row>
    <row r="4252" spans="1:2" x14ac:dyDescent="0.25">
      <c r="A4252" s="388"/>
      <c r="B4252" s="388"/>
    </row>
    <row r="4253" spans="1:2" x14ac:dyDescent="0.25">
      <c r="A4253" s="388"/>
      <c r="B4253" s="388"/>
    </row>
    <row r="4254" spans="1:2" x14ac:dyDescent="0.25">
      <c r="A4254" s="388"/>
      <c r="B4254" s="388"/>
    </row>
    <row r="4255" spans="1:2" x14ac:dyDescent="0.25">
      <c r="A4255" s="388"/>
      <c r="B4255" s="388"/>
    </row>
    <row r="4256" spans="1:2" x14ac:dyDescent="0.25">
      <c r="A4256" s="388"/>
      <c r="B4256" s="388"/>
    </row>
    <row r="4257" spans="1:2" x14ac:dyDescent="0.25">
      <c r="A4257" s="388"/>
      <c r="B4257" s="388"/>
    </row>
    <row r="4258" spans="1:2" x14ac:dyDescent="0.25">
      <c r="A4258" s="388"/>
      <c r="B4258" s="388"/>
    </row>
    <row r="4259" spans="1:2" x14ac:dyDescent="0.25">
      <c r="A4259" s="388"/>
      <c r="B4259" s="388"/>
    </row>
    <row r="4260" spans="1:2" x14ac:dyDescent="0.25">
      <c r="A4260" s="388"/>
      <c r="B4260" s="388"/>
    </row>
    <row r="4261" spans="1:2" x14ac:dyDescent="0.25">
      <c r="A4261" s="388"/>
      <c r="B4261" s="388"/>
    </row>
    <row r="4262" spans="1:2" x14ac:dyDescent="0.25">
      <c r="A4262" s="388"/>
      <c r="B4262" s="388"/>
    </row>
    <row r="4263" spans="1:2" x14ac:dyDescent="0.25">
      <c r="A4263" s="388"/>
      <c r="B4263" s="388"/>
    </row>
    <row r="4264" spans="1:2" x14ac:dyDescent="0.25">
      <c r="A4264" s="388"/>
      <c r="B4264" s="388"/>
    </row>
    <row r="4265" spans="1:2" x14ac:dyDescent="0.25">
      <c r="A4265" s="388"/>
      <c r="B4265" s="388"/>
    </row>
    <row r="4266" spans="1:2" x14ac:dyDescent="0.25">
      <c r="A4266" s="388"/>
      <c r="B4266" s="388"/>
    </row>
    <row r="4267" spans="1:2" x14ac:dyDescent="0.25">
      <c r="A4267" s="388"/>
      <c r="B4267" s="388"/>
    </row>
    <row r="4268" spans="1:2" x14ac:dyDescent="0.25">
      <c r="A4268" s="388"/>
      <c r="B4268" s="388"/>
    </row>
    <row r="4269" spans="1:2" x14ac:dyDescent="0.25">
      <c r="A4269" s="388"/>
      <c r="B4269" s="388"/>
    </row>
    <row r="4270" spans="1:2" x14ac:dyDescent="0.25">
      <c r="A4270" s="388"/>
      <c r="B4270" s="388"/>
    </row>
    <row r="4271" spans="1:2" x14ac:dyDescent="0.25">
      <c r="A4271" s="388"/>
      <c r="B4271" s="388"/>
    </row>
    <row r="4272" spans="1:2" x14ac:dyDescent="0.25">
      <c r="A4272" s="388"/>
      <c r="B4272" s="388"/>
    </row>
    <row r="4273" spans="1:2" x14ac:dyDescent="0.25">
      <c r="A4273" s="388"/>
      <c r="B4273" s="388"/>
    </row>
    <row r="4274" spans="1:2" x14ac:dyDescent="0.25">
      <c r="A4274" s="388"/>
      <c r="B4274" s="388"/>
    </row>
    <row r="4275" spans="1:2" x14ac:dyDescent="0.25">
      <c r="A4275" s="388"/>
      <c r="B4275" s="388"/>
    </row>
    <row r="4276" spans="1:2" x14ac:dyDescent="0.25">
      <c r="A4276" s="388"/>
      <c r="B4276" s="388"/>
    </row>
    <row r="4277" spans="1:2" x14ac:dyDescent="0.25">
      <c r="A4277" s="388"/>
      <c r="B4277" s="388"/>
    </row>
    <row r="4278" spans="1:2" x14ac:dyDescent="0.25">
      <c r="A4278" s="388"/>
      <c r="B4278" s="388"/>
    </row>
    <row r="4279" spans="1:2" x14ac:dyDescent="0.25">
      <c r="A4279" s="388"/>
      <c r="B4279" s="388"/>
    </row>
    <row r="4280" spans="1:2" x14ac:dyDescent="0.25">
      <c r="A4280" s="388"/>
      <c r="B4280" s="388"/>
    </row>
    <row r="4281" spans="1:2" x14ac:dyDescent="0.25">
      <c r="A4281" s="388"/>
      <c r="B4281" s="388"/>
    </row>
    <row r="4282" spans="1:2" x14ac:dyDescent="0.25">
      <c r="A4282" s="388"/>
      <c r="B4282" s="388"/>
    </row>
    <row r="4283" spans="1:2" x14ac:dyDescent="0.25">
      <c r="A4283" s="388"/>
      <c r="B4283" s="388"/>
    </row>
    <row r="4284" spans="1:2" x14ac:dyDescent="0.25">
      <c r="A4284" s="388"/>
      <c r="B4284" s="388"/>
    </row>
    <row r="4285" spans="1:2" x14ac:dyDescent="0.25">
      <c r="A4285" s="388"/>
      <c r="B4285" s="388"/>
    </row>
    <row r="4286" spans="1:2" x14ac:dyDescent="0.25">
      <c r="A4286" s="388"/>
      <c r="B4286" s="388"/>
    </row>
    <row r="4287" spans="1:2" x14ac:dyDescent="0.25">
      <c r="A4287" s="388"/>
      <c r="B4287" s="388"/>
    </row>
    <row r="4288" spans="1:2" x14ac:dyDescent="0.25">
      <c r="A4288" s="388"/>
      <c r="B4288" s="388"/>
    </row>
    <row r="4289" spans="1:2" x14ac:dyDescent="0.25">
      <c r="A4289" s="388"/>
      <c r="B4289" s="388"/>
    </row>
    <row r="4290" spans="1:2" x14ac:dyDescent="0.25">
      <c r="A4290" s="388"/>
      <c r="B4290" s="388"/>
    </row>
    <row r="4291" spans="1:2" x14ac:dyDescent="0.25">
      <c r="A4291" s="388"/>
      <c r="B4291" s="388"/>
    </row>
    <row r="4292" spans="1:2" x14ac:dyDescent="0.25">
      <c r="A4292" s="388"/>
      <c r="B4292" s="388"/>
    </row>
    <row r="4293" spans="1:2" x14ac:dyDescent="0.25">
      <c r="A4293" s="388"/>
      <c r="B4293" s="388"/>
    </row>
    <row r="4294" spans="1:2" x14ac:dyDescent="0.25">
      <c r="A4294" s="388"/>
      <c r="B4294" s="388"/>
    </row>
    <row r="4295" spans="1:2" x14ac:dyDescent="0.25">
      <c r="A4295" s="388"/>
      <c r="B4295" s="388"/>
    </row>
    <row r="4296" spans="1:2" x14ac:dyDescent="0.25">
      <c r="A4296" s="388"/>
      <c r="B4296" s="388"/>
    </row>
    <row r="4297" spans="1:2" x14ac:dyDescent="0.25">
      <c r="A4297" s="388"/>
      <c r="B4297" s="388"/>
    </row>
    <row r="4298" spans="1:2" x14ac:dyDescent="0.25">
      <c r="A4298" s="388"/>
      <c r="B4298" s="388"/>
    </row>
    <row r="4299" spans="1:2" x14ac:dyDescent="0.25">
      <c r="A4299" s="388"/>
      <c r="B4299" s="388"/>
    </row>
    <row r="4300" spans="1:2" x14ac:dyDescent="0.25">
      <c r="A4300" s="388"/>
      <c r="B4300" s="388"/>
    </row>
    <row r="4301" spans="1:2" x14ac:dyDescent="0.25">
      <c r="A4301" s="388"/>
      <c r="B4301" s="388"/>
    </row>
    <row r="4302" spans="1:2" x14ac:dyDescent="0.25">
      <c r="A4302" s="388"/>
      <c r="B4302" s="388"/>
    </row>
    <row r="4303" spans="1:2" x14ac:dyDescent="0.25">
      <c r="A4303" s="388"/>
      <c r="B4303" s="388"/>
    </row>
    <row r="4304" spans="1:2" x14ac:dyDescent="0.25">
      <c r="A4304" s="388"/>
      <c r="B4304" s="388"/>
    </row>
    <row r="4305" spans="1:2" x14ac:dyDescent="0.25">
      <c r="A4305" s="388"/>
      <c r="B4305" s="388"/>
    </row>
    <row r="4306" spans="1:2" x14ac:dyDescent="0.25">
      <c r="A4306" s="388"/>
      <c r="B4306" s="388"/>
    </row>
    <row r="4307" spans="1:2" x14ac:dyDescent="0.25">
      <c r="A4307" s="388"/>
      <c r="B4307" s="388"/>
    </row>
    <row r="4308" spans="1:2" x14ac:dyDescent="0.25">
      <c r="A4308" s="388"/>
      <c r="B4308" s="388"/>
    </row>
    <row r="4309" spans="1:2" x14ac:dyDescent="0.25">
      <c r="A4309" s="388"/>
      <c r="B4309" s="388"/>
    </row>
    <row r="4310" spans="1:2" x14ac:dyDescent="0.25">
      <c r="A4310" s="388"/>
      <c r="B4310" s="388"/>
    </row>
    <row r="4311" spans="1:2" x14ac:dyDescent="0.25">
      <c r="A4311" s="388"/>
      <c r="B4311" s="388"/>
    </row>
    <row r="4312" spans="1:2" x14ac:dyDescent="0.25">
      <c r="A4312" s="388"/>
      <c r="B4312" s="388"/>
    </row>
    <row r="4313" spans="1:2" x14ac:dyDescent="0.25">
      <c r="A4313" s="388"/>
      <c r="B4313" s="388"/>
    </row>
    <row r="4314" spans="1:2" x14ac:dyDescent="0.25">
      <c r="A4314" s="388"/>
      <c r="B4314" s="388"/>
    </row>
    <row r="4315" spans="1:2" x14ac:dyDescent="0.25">
      <c r="A4315" s="388"/>
      <c r="B4315" s="388"/>
    </row>
    <row r="4316" spans="1:2" x14ac:dyDescent="0.25">
      <c r="A4316" s="388"/>
      <c r="B4316" s="388"/>
    </row>
    <row r="4317" spans="1:2" x14ac:dyDescent="0.25">
      <c r="A4317" s="388"/>
      <c r="B4317" s="388"/>
    </row>
    <row r="4318" spans="1:2" x14ac:dyDescent="0.25">
      <c r="A4318" s="388"/>
      <c r="B4318" s="388"/>
    </row>
    <row r="4319" spans="1:2" x14ac:dyDescent="0.25">
      <c r="A4319" s="388"/>
      <c r="B4319" s="388"/>
    </row>
    <row r="4320" spans="1:2" x14ac:dyDescent="0.25">
      <c r="A4320" s="388"/>
      <c r="B4320" s="388"/>
    </row>
    <row r="4321" spans="1:2" x14ac:dyDescent="0.25">
      <c r="A4321" s="388"/>
      <c r="B4321" s="388"/>
    </row>
    <row r="4322" spans="1:2" x14ac:dyDescent="0.25">
      <c r="A4322" s="388"/>
      <c r="B4322" s="388"/>
    </row>
    <row r="4323" spans="1:2" x14ac:dyDescent="0.25">
      <c r="A4323" s="388"/>
      <c r="B4323" s="388"/>
    </row>
    <row r="4324" spans="1:2" x14ac:dyDescent="0.25">
      <c r="A4324" s="388"/>
      <c r="B4324" s="388"/>
    </row>
    <row r="4325" spans="1:2" x14ac:dyDescent="0.25">
      <c r="A4325" s="388"/>
      <c r="B4325" s="388"/>
    </row>
    <row r="4326" spans="1:2" x14ac:dyDescent="0.25">
      <c r="A4326" s="388"/>
      <c r="B4326" s="388"/>
    </row>
    <row r="4327" spans="1:2" x14ac:dyDescent="0.25">
      <c r="A4327" s="388"/>
      <c r="B4327" s="388"/>
    </row>
    <row r="4328" spans="1:2" x14ac:dyDescent="0.25">
      <c r="A4328" s="388"/>
      <c r="B4328" s="388"/>
    </row>
    <row r="4329" spans="1:2" x14ac:dyDescent="0.25">
      <c r="A4329" s="388"/>
      <c r="B4329" s="388"/>
    </row>
    <row r="4330" spans="1:2" x14ac:dyDescent="0.25">
      <c r="A4330" s="388"/>
      <c r="B4330" s="388"/>
    </row>
    <row r="4331" spans="1:2" x14ac:dyDescent="0.25">
      <c r="A4331" s="388"/>
      <c r="B4331" s="388"/>
    </row>
    <row r="4332" spans="1:2" x14ac:dyDescent="0.25">
      <c r="A4332" s="388"/>
      <c r="B4332" s="388"/>
    </row>
    <row r="4333" spans="1:2" x14ac:dyDescent="0.25">
      <c r="A4333" s="388"/>
      <c r="B4333" s="388"/>
    </row>
    <row r="4334" spans="1:2" x14ac:dyDescent="0.25">
      <c r="A4334" s="388"/>
      <c r="B4334" s="388"/>
    </row>
    <row r="4335" spans="1:2" x14ac:dyDescent="0.25">
      <c r="A4335" s="388"/>
      <c r="B4335" s="388"/>
    </row>
    <row r="4336" spans="1:2" x14ac:dyDescent="0.25">
      <c r="A4336" s="388"/>
      <c r="B4336" s="388"/>
    </row>
    <row r="4337" spans="1:2" x14ac:dyDescent="0.25">
      <c r="A4337" s="388"/>
      <c r="B4337" s="388"/>
    </row>
    <row r="4338" spans="1:2" x14ac:dyDescent="0.25">
      <c r="A4338" s="388"/>
      <c r="B4338" s="388"/>
    </row>
    <row r="4339" spans="1:2" x14ac:dyDescent="0.25">
      <c r="A4339" s="388"/>
      <c r="B4339" s="388"/>
    </row>
    <row r="4340" spans="1:2" x14ac:dyDescent="0.25">
      <c r="A4340" s="388"/>
      <c r="B4340" s="388"/>
    </row>
    <row r="4341" spans="1:2" x14ac:dyDescent="0.25">
      <c r="A4341" s="388"/>
      <c r="B4341" s="388"/>
    </row>
    <row r="4342" spans="1:2" x14ac:dyDescent="0.25">
      <c r="A4342" s="388"/>
      <c r="B4342" s="388"/>
    </row>
    <row r="4343" spans="1:2" x14ac:dyDescent="0.25">
      <c r="A4343" s="388"/>
      <c r="B4343" s="388"/>
    </row>
    <row r="4344" spans="1:2" x14ac:dyDescent="0.25">
      <c r="A4344" s="388"/>
      <c r="B4344" s="388"/>
    </row>
    <row r="4345" spans="1:2" x14ac:dyDescent="0.25">
      <c r="A4345" s="388"/>
      <c r="B4345" s="388"/>
    </row>
    <row r="4346" spans="1:2" x14ac:dyDescent="0.25">
      <c r="A4346" s="388"/>
      <c r="B4346" s="388"/>
    </row>
    <row r="4347" spans="1:2" x14ac:dyDescent="0.25">
      <c r="A4347" s="388"/>
      <c r="B4347" s="388"/>
    </row>
    <row r="4348" spans="1:2" x14ac:dyDescent="0.25">
      <c r="A4348" s="388"/>
      <c r="B4348" s="388"/>
    </row>
    <row r="4349" spans="1:2" x14ac:dyDescent="0.25">
      <c r="A4349" s="388"/>
      <c r="B4349" s="388"/>
    </row>
    <row r="4350" spans="1:2" x14ac:dyDescent="0.25">
      <c r="A4350" s="388"/>
      <c r="B4350" s="388"/>
    </row>
    <row r="4351" spans="1:2" x14ac:dyDescent="0.25">
      <c r="A4351" s="388"/>
      <c r="B4351" s="388"/>
    </row>
    <row r="4352" spans="1:2" x14ac:dyDescent="0.25">
      <c r="A4352" s="388"/>
      <c r="B4352" s="388"/>
    </row>
    <row r="4353" spans="1:2" x14ac:dyDescent="0.25">
      <c r="A4353" s="388"/>
      <c r="B4353" s="388"/>
    </row>
    <row r="4354" spans="1:2" x14ac:dyDescent="0.25">
      <c r="A4354" s="388"/>
      <c r="B4354" s="388"/>
    </row>
    <row r="4355" spans="1:2" x14ac:dyDescent="0.25">
      <c r="A4355" s="388"/>
      <c r="B4355" s="388"/>
    </row>
    <row r="4356" spans="1:2" x14ac:dyDescent="0.25">
      <c r="A4356" s="388"/>
      <c r="B4356" s="388"/>
    </row>
    <row r="4357" spans="1:2" x14ac:dyDescent="0.25">
      <c r="A4357" s="388"/>
      <c r="B4357" s="388"/>
    </row>
    <row r="4358" spans="1:2" x14ac:dyDescent="0.25">
      <c r="A4358" s="388"/>
      <c r="B4358" s="388"/>
    </row>
    <row r="4359" spans="1:2" x14ac:dyDescent="0.25">
      <c r="A4359" s="388"/>
      <c r="B4359" s="388"/>
    </row>
    <row r="4360" spans="1:2" x14ac:dyDescent="0.25">
      <c r="A4360" s="388"/>
      <c r="B4360" s="388"/>
    </row>
    <row r="4361" spans="1:2" x14ac:dyDescent="0.25">
      <c r="A4361" s="388"/>
      <c r="B4361" s="388"/>
    </row>
    <row r="4362" spans="1:2" x14ac:dyDescent="0.25">
      <c r="A4362" s="388"/>
      <c r="B4362" s="388"/>
    </row>
    <row r="4363" spans="1:2" x14ac:dyDescent="0.25">
      <c r="A4363" s="388"/>
      <c r="B4363" s="388"/>
    </row>
    <row r="4364" spans="1:2" x14ac:dyDescent="0.25">
      <c r="A4364" s="388"/>
      <c r="B4364" s="388"/>
    </row>
    <row r="4365" spans="1:2" x14ac:dyDescent="0.25">
      <c r="A4365" s="388"/>
      <c r="B4365" s="388"/>
    </row>
    <row r="4366" spans="1:2" x14ac:dyDescent="0.25">
      <c r="A4366" s="388"/>
      <c r="B4366" s="388"/>
    </row>
    <row r="4367" spans="1:2" x14ac:dyDescent="0.25">
      <c r="A4367" s="388"/>
      <c r="B4367" s="388"/>
    </row>
    <row r="4368" spans="1:2" x14ac:dyDescent="0.25">
      <c r="A4368" s="388"/>
      <c r="B4368" s="388"/>
    </row>
    <row r="4369" spans="1:2" x14ac:dyDescent="0.25">
      <c r="A4369" s="388"/>
      <c r="B4369" s="388"/>
    </row>
    <row r="4370" spans="1:2" x14ac:dyDescent="0.25">
      <c r="A4370" s="388"/>
      <c r="B4370" s="388"/>
    </row>
    <row r="4371" spans="1:2" x14ac:dyDescent="0.25">
      <c r="A4371" s="388"/>
      <c r="B4371" s="388"/>
    </row>
    <row r="4372" spans="1:2" x14ac:dyDescent="0.25">
      <c r="A4372" s="388"/>
      <c r="B4372" s="388"/>
    </row>
    <row r="4373" spans="1:2" x14ac:dyDescent="0.25">
      <c r="A4373" s="388"/>
      <c r="B4373" s="388"/>
    </row>
    <row r="4374" spans="1:2" x14ac:dyDescent="0.25">
      <c r="A4374" s="388"/>
      <c r="B4374" s="388"/>
    </row>
    <row r="4375" spans="1:2" x14ac:dyDescent="0.25">
      <c r="A4375" s="388"/>
      <c r="B4375" s="388"/>
    </row>
    <row r="4376" spans="1:2" x14ac:dyDescent="0.25">
      <c r="A4376" s="388"/>
      <c r="B4376" s="388"/>
    </row>
    <row r="4377" spans="1:2" x14ac:dyDescent="0.25">
      <c r="A4377" s="388"/>
      <c r="B4377" s="388"/>
    </row>
    <row r="4378" spans="1:2" x14ac:dyDescent="0.25">
      <c r="A4378" s="388"/>
      <c r="B4378" s="388"/>
    </row>
    <row r="4379" spans="1:2" x14ac:dyDescent="0.25">
      <c r="A4379" s="388"/>
      <c r="B4379" s="388"/>
    </row>
    <row r="4380" spans="1:2" x14ac:dyDescent="0.25">
      <c r="A4380" s="388"/>
      <c r="B4380" s="388"/>
    </row>
    <row r="4381" spans="1:2" x14ac:dyDescent="0.25">
      <c r="A4381" s="388"/>
      <c r="B4381" s="388"/>
    </row>
    <row r="4382" spans="1:2" x14ac:dyDescent="0.25">
      <c r="A4382" s="388"/>
      <c r="B4382" s="388"/>
    </row>
    <row r="4383" spans="1:2" x14ac:dyDescent="0.25">
      <c r="A4383" s="388"/>
      <c r="B4383" s="388"/>
    </row>
    <row r="4384" spans="1:2" x14ac:dyDescent="0.25">
      <c r="A4384" s="388"/>
      <c r="B4384" s="388"/>
    </row>
    <row r="4385" spans="1:2" x14ac:dyDescent="0.25">
      <c r="A4385" s="388"/>
      <c r="B4385" s="388"/>
    </row>
    <row r="4386" spans="1:2" x14ac:dyDescent="0.25">
      <c r="A4386" s="388"/>
      <c r="B4386" s="388"/>
    </row>
    <row r="4387" spans="1:2" x14ac:dyDescent="0.25">
      <c r="A4387" s="388"/>
      <c r="B4387" s="388"/>
    </row>
    <row r="4388" spans="1:2" x14ac:dyDescent="0.25">
      <c r="A4388" s="388"/>
      <c r="B4388" s="388"/>
    </row>
    <row r="4389" spans="1:2" x14ac:dyDescent="0.25">
      <c r="A4389" s="388"/>
      <c r="B4389" s="388"/>
    </row>
    <row r="4390" spans="1:2" x14ac:dyDescent="0.25">
      <c r="A4390" s="388"/>
      <c r="B4390" s="388"/>
    </row>
    <row r="4391" spans="1:2" x14ac:dyDescent="0.25">
      <c r="A4391" s="388"/>
      <c r="B4391" s="388"/>
    </row>
    <row r="4392" spans="1:2" x14ac:dyDescent="0.25">
      <c r="A4392" s="388"/>
      <c r="B4392" s="388"/>
    </row>
    <row r="4393" spans="1:2" x14ac:dyDescent="0.25">
      <c r="A4393" s="388"/>
      <c r="B4393" s="388"/>
    </row>
    <row r="4394" spans="1:2" x14ac:dyDescent="0.25">
      <c r="A4394" s="388"/>
      <c r="B4394" s="388"/>
    </row>
    <row r="4395" spans="1:2" x14ac:dyDescent="0.25">
      <c r="A4395" s="388"/>
      <c r="B4395" s="388"/>
    </row>
    <row r="4396" spans="1:2" x14ac:dyDescent="0.25">
      <c r="A4396" s="388"/>
      <c r="B4396" s="388"/>
    </row>
    <row r="4397" spans="1:2" x14ac:dyDescent="0.25">
      <c r="A4397" s="388"/>
      <c r="B4397" s="388"/>
    </row>
    <row r="4398" spans="1:2" x14ac:dyDescent="0.25">
      <c r="A4398" s="388"/>
      <c r="B4398" s="388"/>
    </row>
    <row r="4399" spans="1:2" x14ac:dyDescent="0.25">
      <c r="A4399" s="388"/>
      <c r="B4399" s="388"/>
    </row>
    <row r="4400" spans="1:2" x14ac:dyDescent="0.25">
      <c r="A4400" s="388"/>
      <c r="B4400" s="388"/>
    </row>
    <row r="4401" spans="1:2" x14ac:dyDescent="0.25">
      <c r="A4401" s="388"/>
      <c r="B4401" s="388"/>
    </row>
    <row r="4402" spans="1:2" x14ac:dyDescent="0.25">
      <c r="A4402" s="388"/>
      <c r="B4402" s="388"/>
    </row>
    <row r="4403" spans="1:2" x14ac:dyDescent="0.25">
      <c r="A4403" s="388"/>
      <c r="B4403" s="388"/>
    </row>
    <row r="4404" spans="1:2" x14ac:dyDescent="0.25">
      <c r="A4404" s="388"/>
      <c r="B4404" s="388"/>
    </row>
    <row r="4405" spans="1:2" x14ac:dyDescent="0.25">
      <c r="A4405" s="388"/>
      <c r="B4405" s="388"/>
    </row>
    <row r="4406" spans="1:2" x14ac:dyDescent="0.25">
      <c r="A4406" s="388"/>
      <c r="B4406" s="388"/>
    </row>
    <row r="4407" spans="1:2" x14ac:dyDescent="0.25">
      <c r="A4407" s="388"/>
      <c r="B4407" s="388"/>
    </row>
    <row r="4408" spans="1:2" x14ac:dyDescent="0.25">
      <c r="A4408" s="388"/>
      <c r="B4408" s="388"/>
    </row>
    <row r="4409" spans="1:2" x14ac:dyDescent="0.25">
      <c r="A4409" s="388"/>
      <c r="B4409" s="388"/>
    </row>
    <row r="4410" spans="1:2" x14ac:dyDescent="0.25">
      <c r="A4410" s="388"/>
      <c r="B4410" s="388"/>
    </row>
    <row r="4411" spans="1:2" x14ac:dyDescent="0.25">
      <c r="A4411" s="388"/>
      <c r="B4411" s="388"/>
    </row>
    <row r="4412" spans="1:2" x14ac:dyDescent="0.25">
      <c r="A4412" s="388"/>
      <c r="B4412" s="388"/>
    </row>
    <row r="4413" spans="1:2" x14ac:dyDescent="0.25">
      <c r="A4413" s="388"/>
      <c r="B4413" s="388"/>
    </row>
    <row r="4414" spans="1:2" x14ac:dyDescent="0.25">
      <c r="A4414" s="388"/>
      <c r="B4414" s="388"/>
    </row>
    <row r="4415" spans="1:2" x14ac:dyDescent="0.25">
      <c r="A4415" s="388"/>
      <c r="B4415" s="388"/>
    </row>
    <row r="4416" spans="1:2" x14ac:dyDescent="0.25">
      <c r="A4416" s="388"/>
      <c r="B4416" s="388"/>
    </row>
    <row r="4417" spans="1:2" x14ac:dyDescent="0.25">
      <c r="A4417" s="388"/>
      <c r="B4417" s="388"/>
    </row>
    <row r="4418" spans="1:2" x14ac:dyDescent="0.25">
      <c r="A4418" s="388"/>
      <c r="B4418" s="388"/>
    </row>
    <row r="4419" spans="1:2" x14ac:dyDescent="0.25">
      <c r="A4419" s="388"/>
      <c r="B4419" s="388"/>
    </row>
    <row r="4420" spans="1:2" x14ac:dyDescent="0.25">
      <c r="A4420" s="388"/>
      <c r="B4420" s="388"/>
    </row>
    <row r="4421" spans="1:2" x14ac:dyDescent="0.25">
      <c r="A4421" s="388"/>
      <c r="B4421" s="388"/>
    </row>
    <row r="4422" spans="1:2" x14ac:dyDescent="0.25">
      <c r="A4422" s="388"/>
      <c r="B4422" s="388"/>
    </row>
    <row r="4423" spans="1:2" x14ac:dyDescent="0.25">
      <c r="A4423" s="388"/>
      <c r="B4423" s="388"/>
    </row>
    <row r="4424" spans="1:2" x14ac:dyDescent="0.25">
      <c r="A4424" s="388"/>
      <c r="B4424" s="388"/>
    </row>
    <row r="4425" spans="1:2" x14ac:dyDescent="0.25">
      <c r="A4425" s="388"/>
      <c r="B4425" s="388"/>
    </row>
    <row r="4426" spans="1:2" x14ac:dyDescent="0.25">
      <c r="A4426" s="388"/>
      <c r="B4426" s="388"/>
    </row>
    <row r="4427" spans="1:2" x14ac:dyDescent="0.25">
      <c r="A4427" s="388"/>
      <c r="B4427" s="388"/>
    </row>
    <row r="4428" spans="1:2" x14ac:dyDescent="0.25">
      <c r="A4428" s="388"/>
      <c r="B4428" s="388"/>
    </row>
    <row r="4429" spans="1:2" x14ac:dyDescent="0.25">
      <c r="A4429" s="388"/>
      <c r="B4429" s="388"/>
    </row>
    <row r="4430" spans="1:2" x14ac:dyDescent="0.25">
      <c r="A4430" s="388"/>
      <c r="B4430" s="388"/>
    </row>
    <row r="4431" spans="1:2" x14ac:dyDescent="0.25">
      <c r="A4431" s="388"/>
      <c r="B4431" s="388"/>
    </row>
    <row r="4432" spans="1:2" x14ac:dyDescent="0.25">
      <c r="A4432" s="388"/>
      <c r="B4432" s="388"/>
    </row>
    <row r="4433" spans="1:2" x14ac:dyDescent="0.25">
      <c r="A4433" s="388"/>
      <c r="B4433" s="388"/>
    </row>
    <row r="4434" spans="1:2" x14ac:dyDescent="0.25">
      <c r="A4434" s="388"/>
      <c r="B4434" s="388"/>
    </row>
    <row r="4435" spans="1:2" x14ac:dyDescent="0.25">
      <c r="A4435" s="388"/>
      <c r="B4435" s="388"/>
    </row>
    <row r="4436" spans="1:2" x14ac:dyDescent="0.25">
      <c r="A4436" s="388"/>
      <c r="B4436" s="388"/>
    </row>
    <row r="4437" spans="1:2" x14ac:dyDescent="0.25">
      <c r="A4437" s="388"/>
      <c r="B4437" s="388"/>
    </row>
    <row r="4438" spans="1:2" x14ac:dyDescent="0.25">
      <c r="A4438" s="388"/>
      <c r="B4438" s="388"/>
    </row>
    <row r="4439" spans="1:2" x14ac:dyDescent="0.25">
      <c r="A4439" s="388"/>
      <c r="B4439" s="388"/>
    </row>
    <row r="4440" spans="1:2" x14ac:dyDescent="0.25">
      <c r="A4440" s="388"/>
      <c r="B4440" s="388"/>
    </row>
    <row r="4441" spans="1:2" x14ac:dyDescent="0.25">
      <c r="A4441" s="388"/>
      <c r="B4441" s="388"/>
    </row>
    <row r="4442" spans="1:2" x14ac:dyDescent="0.25">
      <c r="A4442" s="388"/>
      <c r="B4442" s="388"/>
    </row>
    <row r="4443" spans="1:2" x14ac:dyDescent="0.25">
      <c r="A4443" s="388"/>
      <c r="B4443" s="388"/>
    </row>
    <row r="4444" spans="1:2" x14ac:dyDescent="0.25">
      <c r="A4444" s="388"/>
      <c r="B4444" s="388"/>
    </row>
    <row r="4445" spans="1:2" x14ac:dyDescent="0.25">
      <c r="A4445" s="388"/>
      <c r="B4445" s="388"/>
    </row>
    <row r="4446" spans="1:2" x14ac:dyDescent="0.25">
      <c r="A4446" s="388"/>
      <c r="B4446" s="388"/>
    </row>
    <row r="4447" spans="1:2" x14ac:dyDescent="0.25">
      <c r="A4447" s="388"/>
      <c r="B4447" s="388"/>
    </row>
    <row r="4448" spans="1:2" x14ac:dyDescent="0.25">
      <c r="A4448" s="388"/>
      <c r="B4448" s="388"/>
    </row>
    <row r="4449" spans="1:2" x14ac:dyDescent="0.25">
      <c r="A4449" s="388"/>
      <c r="B4449" s="388"/>
    </row>
    <row r="4450" spans="1:2" x14ac:dyDescent="0.25">
      <c r="A4450" s="388"/>
      <c r="B4450" s="388"/>
    </row>
    <row r="4451" spans="1:2" x14ac:dyDescent="0.25">
      <c r="A4451" s="388"/>
      <c r="B4451" s="388"/>
    </row>
    <row r="4452" spans="1:2" x14ac:dyDescent="0.25">
      <c r="A4452" s="388"/>
      <c r="B4452" s="388"/>
    </row>
    <row r="4453" spans="1:2" x14ac:dyDescent="0.25">
      <c r="A4453" s="388"/>
      <c r="B4453" s="388"/>
    </row>
    <row r="4454" spans="1:2" x14ac:dyDescent="0.25">
      <c r="A4454" s="388"/>
      <c r="B4454" s="388"/>
    </row>
    <row r="4455" spans="1:2" x14ac:dyDescent="0.25">
      <c r="A4455" s="388"/>
      <c r="B4455" s="388"/>
    </row>
    <row r="4456" spans="1:2" x14ac:dyDescent="0.25">
      <c r="A4456" s="388"/>
      <c r="B4456" s="388"/>
    </row>
    <row r="4457" spans="1:2" x14ac:dyDescent="0.25">
      <c r="A4457" s="388"/>
      <c r="B4457" s="388"/>
    </row>
    <row r="4458" spans="1:2" x14ac:dyDescent="0.25">
      <c r="A4458" s="388"/>
      <c r="B4458" s="388"/>
    </row>
    <row r="4459" spans="1:2" x14ac:dyDescent="0.25">
      <c r="A4459" s="388"/>
      <c r="B4459" s="388"/>
    </row>
    <row r="4460" spans="1:2" x14ac:dyDescent="0.25">
      <c r="A4460" s="388"/>
      <c r="B4460" s="388"/>
    </row>
    <row r="4461" spans="1:2" x14ac:dyDescent="0.25">
      <c r="A4461" s="388"/>
      <c r="B4461" s="388"/>
    </row>
    <row r="4462" spans="1:2" x14ac:dyDescent="0.25">
      <c r="A4462" s="388"/>
      <c r="B4462" s="388"/>
    </row>
    <row r="4463" spans="1:2" x14ac:dyDescent="0.25">
      <c r="A4463" s="388"/>
      <c r="B4463" s="388"/>
    </row>
    <row r="4464" spans="1:2" x14ac:dyDescent="0.25">
      <c r="A4464" s="388"/>
      <c r="B4464" s="388"/>
    </row>
    <row r="4465" spans="1:2" x14ac:dyDescent="0.25">
      <c r="A4465" s="388"/>
      <c r="B4465" s="388"/>
    </row>
    <row r="4466" spans="1:2" x14ac:dyDescent="0.25">
      <c r="A4466" s="388"/>
      <c r="B4466" s="388"/>
    </row>
    <row r="4467" spans="1:2" x14ac:dyDescent="0.25">
      <c r="A4467" s="388"/>
      <c r="B4467" s="388"/>
    </row>
    <row r="4468" spans="1:2" x14ac:dyDescent="0.25">
      <c r="A4468" s="388"/>
      <c r="B4468" s="388"/>
    </row>
    <row r="4469" spans="1:2" x14ac:dyDescent="0.25">
      <c r="A4469" s="388"/>
      <c r="B4469" s="388"/>
    </row>
    <row r="4470" spans="1:2" x14ac:dyDescent="0.25">
      <c r="A4470" s="388"/>
      <c r="B4470" s="388"/>
    </row>
    <row r="4471" spans="1:2" x14ac:dyDescent="0.25">
      <c r="A4471" s="388"/>
      <c r="B4471" s="388"/>
    </row>
    <row r="4472" spans="1:2" x14ac:dyDescent="0.25">
      <c r="A4472" s="388"/>
      <c r="B4472" s="388"/>
    </row>
    <row r="4473" spans="1:2" x14ac:dyDescent="0.25">
      <c r="A4473" s="388"/>
      <c r="B4473" s="388"/>
    </row>
    <row r="4474" spans="1:2" x14ac:dyDescent="0.25">
      <c r="A4474" s="388"/>
      <c r="B4474" s="388"/>
    </row>
    <row r="4475" spans="1:2" x14ac:dyDescent="0.25">
      <c r="A4475" s="388"/>
      <c r="B4475" s="388"/>
    </row>
    <row r="4476" spans="1:2" x14ac:dyDescent="0.25">
      <c r="A4476" s="388"/>
      <c r="B4476" s="388"/>
    </row>
    <row r="4477" spans="1:2" x14ac:dyDescent="0.25">
      <c r="A4477" s="388"/>
      <c r="B4477" s="388"/>
    </row>
    <row r="4478" spans="1:2" x14ac:dyDescent="0.25">
      <c r="A4478" s="388"/>
      <c r="B4478" s="388"/>
    </row>
    <row r="4479" spans="1:2" x14ac:dyDescent="0.25">
      <c r="A4479" s="388"/>
      <c r="B4479" s="388"/>
    </row>
    <row r="4480" spans="1:2" x14ac:dyDescent="0.25">
      <c r="A4480" s="388"/>
      <c r="B4480" s="388"/>
    </row>
    <row r="4481" spans="1:2" x14ac:dyDescent="0.25">
      <c r="A4481" s="388"/>
      <c r="B4481" s="388"/>
    </row>
    <row r="4482" spans="1:2" x14ac:dyDescent="0.25">
      <c r="A4482" s="388"/>
      <c r="B4482" s="388"/>
    </row>
    <row r="4483" spans="1:2" x14ac:dyDescent="0.25">
      <c r="A4483" s="388"/>
      <c r="B4483" s="388"/>
    </row>
    <row r="4484" spans="1:2" x14ac:dyDescent="0.25">
      <c r="A4484" s="388"/>
      <c r="B4484" s="388"/>
    </row>
    <row r="4485" spans="1:2" x14ac:dyDescent="0.25">
      <c r="A4485" s="388"/>
      <c r="B4485" s="388"/>
    </row>
    <row r="4486" spans="1:2" x14ac:dyDescent="0.25">
      <c r="A4486" s="388"/>
      <c r="B4486" s="388"/>
    </row>
    <row r="4487" spans="1:2" x14ac:dyDescent="0.25">
      <c r="A4487" s="388"/>
      <c r="B4487" s="388"/>
    </row>
    <row r="4488" spans="1:2" x14ac:dyDescent="0.25">
      <c r="A4488" s="388"/>
      <c r="B4488" s="388"/>
    </row>
    <row r="4489" spans="1:2" x14ac:dyDescent="0.25">
      <c r="A4489" s="388"/>
      <c r="B4489" s="388"/>
    </row>
    <row r="4490" spans="1:2" x14ac:dyDescent="0.25">
      <c r="A4490" s="388"/>
      <c r="B4490" s="388"/>
    </row>
    <row r="4491" spans="1:2" x14ac:dyDescent="0.25">
      <c r="A4491" s="388"/>
      <c r="B4491" s="388"/>
    </row>
    <row r="4492" spans="1:2" x14ac:dyDescent="0.25">
      <c r="A4492" s="388"/>
      <c r="B4492" s="388"/>
    </row>
    <row r="4493" spans="1:2" x14ac:dyDescent="0.25">
      <c r="A4493" s="388"/>
      <c r="B4493" s="388"/>
    </row>
    <row r="4494" spans="1:2" x14ac:dyDescent="0.25">
      <c r="A4494" s="388"/>
      <c r="B4494" s="388"/>
    </row>
    <row r="4495" spans="1:2" x14ac:dyDescent="0.25">
      <c r="A4495" s="388"/>
      <c r="B4495" s="388"/>
    </row>
    <row r="4496" spans="1:2" x14ac:dyDescent="0.25">
      <c r="A4496" s="388"/>
      <c r="B4496" s="388"/>
    </row>
    <row r="4497" spans="1:2" x14ac:dyDescent="0.25">
      <c r="A4497" s="388"/>
      <c r="B4497" s="388"/>
    </row>
    <row r="4498" spans="1:2" x14ac:dyDescent="0.25">
      <c r="A4498" s="388"/>
      <c r="B4498" s="388"/>
    </row>
    <row r="4499" spans="1:2" x14ac:dyDescent="0.25">
      <c r="A4499" s="388"/>
      <c r="B4499" s="388"/>
    </row>
    <row r="4500" spans="1:2" x14ac:dyDescent="0.25">
      <c r="A4500" s="388"/>
      <c r="B4500" s="388"/>
    </row>
    <row r="4501" spans="1:2" x14ac:dyDescent="0.25">
      <c r="A4501" s="388"/>
      <c r="B4501" s="388"/>
    </row>
    <row r="4502" spans="1:2" x14ac:dyDescent="0.25">
      <c r="A4502" s="388"/>
      <c r="B4502" s="388"/>
    </row>
    <row r="4503" spans="1:2" x14ac:dyDescent="0.25">
      <c r="A4503" s="388"/>
      <c r="B4503" s="388"/>
    </row>
    <row r="4504" spans="1:2" x14ac:dyDescent="0.25">
      <c r="A4504" s="388"/>
      <c r="B4504" s="388"/>
    </row>
    <row r="4505" spans="1:2" x14ac:dyDescent="0.25">
      <c r="A4505" s="388"/>
      <c r="B4505" s="388"/>
    </row>
    <row r="4506" spans="1:2" x14ac:dyDescent="0.25">
      <c r="A4506" s="388"/>
      <c r="B4506" s="388"/>
    </row>
    <row r="4507" spans="1:2" x14ac:dyDescent="0.25">
      <c r="A4507" s="388"/>
      <c r="B4507" s="388"/>
    </row>
    <row r="4508" spans="1:2" x14ac:dyDescent="0.25">
      <c r="A4508" s="388"/>
      <c r="B4508" s="388"/>
    </row>
    <row r="4509" spans="1:2" x14ac:dyDescent="0.25">
      <c r="A4509" s="388"/>
      <c r="B4509" s="388"/>
    </row>
    <row r="4510" spans="1:2" x14ac:dyDescent="0.25">
      <c r="A4510" s="388"/>
      <c r="B4510" s="388"/>
    </row>
    <row r="4511" spans="1:2" x14ac:dyDescent="0.25">
      <c r="A4511" s="388"/>
      <c r="B4511" s="388"/>
    </row>
    <row r="4512" spans="1:2" x14ac:dyDescent="0.25">
      <c r="A4512" s="388"/>
      <c r="B4512" s="388"/>
    </row>
    <row r="4513" spans="1:2" x14ac:dyDescent="0.25">
      <c r="A4513" s="388"/>
      <c r="B4513" s="388"/>
    </row>
    <row r="4514" spans="1:2" x14ac:dyDescent="0.25">
      <c r="A4514" s="388"/>
      <c r="B4514" s="388"/>
    </row>
    <row r="4515" spans="1:2" x14ac:dyDescent="0.25">
      <c r="A4515" s="388"/>
      <c r="B4515" s="388"/>
    </row>
    <row r="4516" spans="1:2" x14ac:dyDescent="0.25">
      <c r="A4516" s="388"/>
      <c r="B4516" s="388"/>
    </row>
    <row r="4517" spans="1:2" x14ac:dyDescent="0.25">
      <c r="A4517" s="388"/>
      <c r="B4517" s="388"/>
    </row>
    <row r="4518" spans="1:2" x14ac:dyDescent="0.25">
      <c r="A4518" s="388"/>
      <c r="B4518" s="388"/>
    </row>
    <row r="4519" spans="1:2" x14ac:dyDescent="0.25">
      <c r="A4519" s="388"/>
      <c r="B4519" s="388"/>
    </row>
    <row r="4520" spans="1:2" x14ac:dyDescent="0.25">
      <c r="A4520" s="388"/>
      <c r="B4520" s="388"/>
    </row>
    <row r="4521" spans="1:2" x14ac:dyDescent="0.25">
      <c r="A4521" s="388"/>
      <c r="B4521" s="388"/>
    </row>
    <row r="4522" spans="1:2" x14ac:dyDescent="0.25">
      <c r="A4522" s="388"/>
      <c r="B4522" s="388"/>
    </row>
    <row r="4523" spans="1:2" x14ac:dyDescent="0.25">
      <c r="A4523" s="388"/>
      <c r="B4523" s="388"/>
    </row>
    <row r="4524" spans="1:2" x14ac:dyDescent="0.25">
      <c r="A4524" s="388"/>
      <c r="B4524" s="388"/>
    </row>
    <row r="4525" spans="1:2" x14ac:dyDescent="0.25">
      <c r="A4525" s="388"/>
      <c r="B4525" s="388"/>
    </row>
    <row r="4526" spans="1:2" x14ac:dyDescent="0.25">
      <c r="A4526" s="388"/>
      <c r="B4526" s="388"/>
    </row>
    <row r="4527" spans="1:2" x14ac:dyDescent="0.25">
      <c r="A4527" s="388"/>
      <c r="B4527" s="388"/>
    </row>
    <row r="4528" spans="1:2" x14ac:dyDescent="0.25">
      <c r="A4528" s="388"/>
      <c r="B4528" s="388"/>
    </row>
    <row r="4529" spans="1:2" x14ac:dyDescent="0.25">
      <c r="A4529" s="388"/>
      <c r="B4529" s="388"/>
    </row>
    <row r="4530" spans="1:2" x14ac:dyDescent="0.25">
      <c r="A4530" s="388"/>
      <c r="B4530" s="388"/>
    </row>
    <row r="4531" spans="1:2" x14ac:dyDescent="0.25">
      <c r="A4531" s="388"/>
      <c r="B4531" s="388"/>
    </row>
    <row r="4532" spans="1:2" x14ac:dyDescent="0.25">
      <c r="A4532" s="388"/>
      <c r="B4532" s="388"/>
    </row>
    <row r="4533" spans="1:2" x14ac:dyDescent="0.25">
      <c r="A4533" s="388"/>
      <c r="B4533" s="388"/>
    </row>
    <row r="4534" spans="1:2" x14ac:dyDescent="0.25">
      <c r="A4534" s="388"/>
      <c r="B4534" s="388"/>
    </row>
    <row r="4535" spans="1:2" x14ac:dyDescent="0.25">
      <c r="A4535" s="388"/>
      <c r="B4535" s="388"/>
    </row>
    <row r="4536" spans="1:2" x14ac:dyDescent="0.25">
      <c r="A4536" s="388"/>
      <c r="B4536" s="388"/>
    </row>
    <row r="4537" spans="1:2" x14ac:dyDescent="0.25">
      <c r="A4537" s="388"/>
      <c r="B4537" s="388"/>
    </row>
    <row r="4538" spans="1:2" x14ac:dyDescent="0.25">
      <c r="A4538" s="388"/>
      <c r="B4538" s="388"/>
    </row>
    <row r="4539" spans="1:2" x14ac:dyDescent="0.25">
      <c r="A4539" s="388"/>
      <c r="B4539" s="388"/>
    </row>
    <row r="4540" spans="1:2" x14ac:dyDescent="0.25">
      <c r="A4540" s="388"/>
      <c r="B4540" s="388"/>
    </row>
    <row r="4541" spans="1:2" x14ac:dyDescent="0.25">
      <c r="A4541" s="388"/>
      <c r="B4541" s="388"/>
    </row>
    <row r="4542" spans="1:2" x14ac:dyDescent="0.25">
      <c r="A4542" s="388"/>
      <c r="B4542" s="388"/>
    </row>
    <row r="4543" spans="1:2" x14ac:dyDescent="0.25">
      <c r="A4543" s="388"/>
      <c r="B4543" s="388"/>
    </row>
    <row r="4544" spans="1:2" x14ac:dyDescent="0.25">
      <c r="A4544" s="388"/>
      <c r="B4544" s="388"/>
    </row>
    <row r="4545" spans="1:2" x14ac:dyDescent="0.25">
      <c r="A4545" s="388"/>
      <c r="B4545" s="388"/>
    </row>
    <row r="4546" spans="1:2" x14ac:dyDescent="0.25">
      <c r="A4546" s="388"/>
      <c r="B4546" s="388"/>
    </row>
    <row r="4547" spans="1:2" x14ac:dyDescent="0.25">
      <c r="A4547" s="388"/>
      <c r="B4547" s="388"/>
    </row>
    <row r="4548" spans="1:2" x14ac:dyDescent="0.25">
      <c r="A4548" s="388"/>
      <c r="B4548" s="388"/>
    </row>
    <row r="4549" spans="1:2" x14ac:dyDescent="0.25">
      <c r="A4549" s="388"/>
      <c r="B4549" s="388"/>
    </row>
    <row r="4550" spans="1:2" x14ac:dyDescent="0.25">
      <c r="A4550" s="388"/>
      <c r="B4550" s="388"/>
    </row>
    <row r="4551" spans="1:2" x14ac:dyDescent="0.25">
      <c r="A4551" s="388"/>
      <c r="B4551" s="388"/>
    </row>
    <row r="4552" spans="1:2" x14ac:dyDescent="0.25">
      <c r="A4552" s="388"/>
      <c r="B4552" s="388"/>
    </row>
    <row r="4553" spans="1:2" x14ac:dyDescent="0.25">
      <c r="A4553" s="388"/>
      <c r="B4553" s="388"/>
    </row>
    <row r="4554" spans="1:2" x14ac:dyDescent="0.25">
      <c r="A4554" s="388"/>
      <c r="B4554" s="388"/>
    </row>
    <row r="4555" spans="1:2" x14ac:dyDescent="0.25">
      <c r="A4555" s="388"/>
      <c r="B4555" s="388"/>
    </row>
    <row r="4556" spans="1:2" x14ac:dyDescent="0.25">
      <c r="A4556" s="388"/>
      <c r="B4556" s="388"/>
    </row>
    <row r="4557" spans="1:2" x14ac:dyDescent="0.25">
      <c r="A4557" s="388"/>
      <c r="B4557" s="388"/>
    </row>
    <row r="4558" spans="1:2" x14ac:dyDescent="0.25">
      <c r="A4558" s="388"/>
      <c r="B4558" s="388"/>
    </row>
    <row r="4559" spans="1:2" x14ac:dyDescent="0.25">
      <c r="A4559" s="388"/>
      <c r="B4559" s="388"/>
    </row>
    <row r="4560" spans="1:2" x14ac:dyDescent="0.25">
      <c r="A4560" s="388"/>
      <c r="B4560" s="388"/>
    </row>
    <row r="4561" spans="1:2" x14ac:dyDescent="0.25">
      <c r="A4561" s="388"/>
      <c r="B4561" s="388"/>
    </row>
    <row r="4562" spans="1:2" x14ac:dyDescent="0.25">
      <c r="A4562" s="388"/>
      <c r="B4562" s="388"/>
    </row>
    <row r="4563" spans="1:2" x14ac:dyDescent="0.25">
      <c r="A4563" s="388"/>
      <c r="B4563" s="388"/>
    </row>
    <row r="4564" spans="1:2" x14ac:dyDescent="0.25">
      <c r="A4564" s="388"/>
      <c r="B4564" s="388"/>
    </row>
    <row r="4565" spans="1:2" x14ac:dyDescent="0.25">
      <c r="A4565" s="388"/>
      <c r="B4565" s="388"/>
    </row>
    <row r="4566" spans="1:2" x14ac:dyDescent="0.25">
      <c r="A4566" s="388"/>
      <c r="B4566" s="388"/>
    </row>
    <row r="4567" spans="1:2" x14ac:dyDescent="0.25">
      <c r="A4567" s="388"/>
      <c r="B4567" s="388"/>
    </row>
    <row r="4568" spans="1:2" x14ac:dyDescent="0.25">
      <c r="A4568" s="388"/>
      <c r="B4568" s="388"/>
    </row>
    <row r="4569" spans="1:2" x14ac:dyDescent="0.25">
      <c r="A4569" s="388"/>
      <c r="B4569" s="388"/>
    </row>
    <row r="4570" spans="1:2" x14ac:dyDescent="0.25">
      <c r="A4570" s="388"/>
      <c r="B4570" s="388"/>
    </row>
    <row r="4571" spans="1:2" x14ac:dyDescent="0.25">
      <c r="A4571" s="388"/>
      <c r="B4571" s="388"/>
    </row>
    <row r="4572" spans="1:2" x14ac:dyDescent="0.25">
      <c r="A4572" s="388"/>
      <c r="B4572" s="388"/>
    </row>
    <row r="4573" spans="1:2" x14ac:dyDescent="0.25">
      <c r="A4573" s="388"/>
      <c r="B4573" s="388"/>
    </row>
    <row r="4574" spans="1:2" x14ac:dyDescent="0.25">
      <c r="A4574" s="388"/>
      <c r="B4574" s="388"/>
    </row>
    <row r="4575" spans="1:2" x14ac:dyDescent="0.25">
      <c r="A4575" s="388"/>
      <c r="B4575" s="388"/>
    </row>
    <row r="4576" spans="1:2" x14ac:dyDescent="0.25">
      <c r="A4576" s="388"/>
      <c r="B4576" s="388"/>
    </row>
    <row r="4577" spans="1:2" x14ac:dyDescent="0.25">
      <c r="A4577" s="388"/>
      <c r="B4577" s="388"/>
    </row>
    <row r="4578" spans="1:2" x14ac:dyDescent="0.25">
      <c r="A4578" s="388"/>
      <c r="B4578" s="388"/>
    </row>
    <row r="4579" spans="1:2" x14ac:dyDescent="0.25">
      <c r="A4579" s="388"/>
      <c r="B4579" s="388"/>
    </row>
    <row r="4580" spans="1:2" x14ac:dyDescent="0.25">
      <c r="A4580" s="388"/>
      <c r="B4580" s="388"/>
    </row>
    <row r="4581" spans="1:2" x14ac:dyDescent="0.25">
      <c r="A4581" s="388"/>
      <c r="B4581" s="388"/>
    </row>
    <row r="4582" spans="1:2" x14ac:dyDescent="0.25">
      <c r="A4582" s="388"/>
      <c r="B4582" s="388"/>
    </row>
    <row r="4583" spans="1:2" x14ac:dyDescent="0.25">
      <c r="A4583" s="388"/>
      <c r="B4583" s="388"/>
    </row>
    <row r="4584" spans="1:2" x14ac:dyDescent="0.25">
      <c r="A4584" s="388"/>
      <c r="B4584" s="388"/>
    </row>
    <row r="4585" spans="1:2" x14ac:dyDescent="0.25">
      <c r="A4585" s="388"/>
      <c r="B4585" s="388"/>
    </row>
    <row r="4586" spans="1:2" x14ac:dyDescent="0.25">
      <c r="A4586" s="388"/>
      <c r="B4586" s="388"/>
    </row>
    <row r="4587" spans="1:2" x14ac:dyDescent="0.25">
      <c r="A4587" s="388"/>
      <c r="B4587" s="388"/>
    </row>
    <row r="4588" spans="1:2" x14ac:dyDescent="0.25">
      <c r="A4588" s="388"/>
      <c r="B4588" s="388"/>
    </row>
    <row r="4589" spans="1:2" x14ac:dyDescent="0.25">
      <c r="A4589" s="388"/>
      <c r="B4589" s="388"/>
    </row>
    <row r="4590" spans="1:2" x14ac:dyDescent="0.25">
      <c r="A4590" s="388"/>
      <c r="B4590" s="388"/>
    </row>
    <row r="4591" spans="1:2" x14ac:dyDescent="0.25">
      <c r="A4591" s="388"/>
      <c r="B4591" s="388"/>
    </row>
    <row r="4592" spans="1:2" x14ac:dyDescent="0.25">
      <c r="A4592" s="388"/>
      <c r="B4592" s="388"/>
    </row>
    <row r="4593" spans="1:2" x14ac:dyDescent="0.25">
      <c r="A4593" s="388"/>
      <c r="B4593" s="388"/>
    </row>
    <row r="4594" spans="1:2" x14ac:dyDescent="0.25">
      <c r="A4594" s="388"/>
      <c r="B4594" s="388"/>
    </row>
    <row r="4595" spans="1:2" x14ac:dyDescent="0.25">
      <c r="A4595" s="388"/>
      <c r="B4595" s="388"/>
    </row>
    <row r="4596" spans="1:2" x14ac:dyDescent="0.25">
      <c r="A4596" s="388"/>
      <c r="B4596" s="388"/>
    </row>
    <row r="4597" spans="1:2" x14ac:dyDescent="0.25">
      <c r="A4597" s="388"/>
      <c r="B4597" s="388"/>
    </row>
    <row r="4598" spans="1:2" x14ac:dyDescent="0.25">
      <c r="A4598" s="388"/>
      <c r="B4598" s="388"/>
    </row>
    <row r="4599" spans="1:2" x14ac:dyDescent="0.25">
      <c r="A4599" s="388"/>
      <c r="B4599" s="388"/>
    </row>
    <row r="4600" spans="1:2" x14ac:dyDescent="0.25">
      <c r="A4600" s="388"/>
      <c r="B4600" s="388"/>
    </row>
    <row r="4601" spans="1:2" x14ac:dyDescent="0.25">
      <c r="A4601" s="388"/>
      <c r="B4601" s="388"/>
    </row>
    <row r="4602" spans="1:2" x14ac:dyDescent="0.25">
      <c r="A4602" s="388"/>
      <c r="B4602" s="388"/>
    </row>
    <row r="4603" spans="1:2" x14ac:dyDescent="0.25">
      <c r="A4603" s="388"/>
      <c r="B4603" s="388"/>
    </row>
    <row r="4604" spans="1:2" x14ac:dyDescent="0.25">
      <c r="A4604" s="388"/>
      <c r="B4604" s="388"/>
    </row>
    <row r="4605" spans="1:2" x14ac:dyDescent="0.25">
      <c r="A4605" s="388"/>
      <c r="B4605" s="388"/>
    </row>
    <row r="4606" spans="1:2" x14ac:dyDescent="0.25">
      <c r="A4606" s="388"/>
      <c r="B4606" s="388"/>
    </row>
    <row r="4607" spans="1:2" x14ac:dyDescent="0.25">
      <c r="A4607" s="388"/>
      <c r="B4607" s="388"/>
    </row>
    <row r="4608" spans="1:2" x14ac:dyDescent="0.25">
      <c r="A4608" s="388"/>
      <c r="B4608" s="388"/>
    </row>
    <row r="4609" spans="1:2" x14ac:dyDescent="0.25">
      <c r="A4609" s="388"/>
      <c r="B4609" s="388"/>
    </row>
    <row r="4610" spans="1:2" x14ac:dyDescent="0.25">
      <c r="A4610" s="388"/>
      <c r="B4610" s="388"/>
    </row>
    <row r="4611" spans="1:2" x14ac:dyDescent="0.25">
      <c r="A4611" s="388"/>
      <c r="B4611" s="388"/>
    </row>
    <row r="4612" spans="1:2" x14ac:dyDescent="0.25">
      <c r="A4612" s="388"/>
      <c r="B4612" s="388"/>
    </row>
    <row r="4613" spans="1:2" x14ac:dyDescent="0.25">
      <c r="A4613" s="388"/>
      <c r="B4613" s="388"/>
    </row>
    <row r="4614" spans="1:2" x14ac:dyDescent="0.25">
      <c r="A4614" s="388"/>
      <c r="B4614" s="388"/>
    </row>
    <row r="4615" spans="1:2" x14ac:dyDescent="0.25">
      <c r="A4615" s="388"/>
      <c r="B4615" s="388"/>
    </row>
    <row r="4616" spans="1:2" x14ac:dyDescent="0.25">
      <c r="A4616" s="388"/>
      <c r="B4616" s="388"/>
    </row>
    <row r="4617" spans="1:2" x14ac:dyDescent="0.25">
      <c r="A4617" s="388"/>
      <c r="B4617" s="388"/>
    </row>
    <row r="4618" spans="1:2" x14ac:dyDescent="0.25">
      <c r="A4618" s="388"/>
      <c r="B4618" s="388"/>
    </row>
    <row r="4619" spans="1:2" x14ac:dyDescent="0.25">
      <c r="A4619" s="388"/>
      <c r="B4619" s="388"/>
    </row>
    <row r="4620" spans="1:2" x14ac:dyDescent="0.25">
      <c r="A4620" s="388"/>
      <c r="B4620" s="388"/>
    </row>
    <row r="4621" spans="1:2" x14ac:dyDescent="0.25">
      <c r="A4621" s="388"/>
      <c r="B4621" s="388"/>
    </row>
    <row r="4622" spans="1:2" x14ac:dyDescent="0.25">
      <c r="A4622" s="388"/>
      <c r="B4622" s="388"/>
    </row>
    <row r="4623" spans="1:2" x14ac:dyDescent="0.25">
      <c r="A4623" s="388"/>
      <c r="B4623" s="388"/>
    </row>
    <row r="4624" spans="1:2" x14ac:dyDescent="0.25">
      <c r="A4624" s="388"/>
      <c r="B4624" s="388"/>
    </row>
    <row r="4625" spans="1:2" x14ac:dyDescent="0.25">
      <c r="A4625" s="388"/>
      <c r="B4625" s="388"/>
    </row>
    <row r="4626" spans="1:2" x14ac:dyDescent="0.25">
      <c r="A4626" s="388"/>
      <c r="B4626" s="388"/>
    </row>
    <row r="4627" spans="1:2" x14ac:dyDescent="0.25">
      <c r="A4627" s="388"/>
      <c r="B4627" s="388"/>
    </row>
    <row r="4628" spans="1:2" x14ac:dyDescent="0.25">
      <c r="A4628" s="388"/>
      <c r="B4628" s="388"/>
    </row>
    <row r="4629" spans="1:2" x14ac:dyDescent="0.25">
      <c r="A4629" s="388"/>
      <c r="B4629" s="388"/>
    </row>
    <row r="4630" spans="1:2" x14ac:dyDescent="0.25">
      <c r="A4630" s="388"/>
      <c r="B4630" s="388"/>
    </row>
    <row r="4631" spans="1:2" x14ac:dyDescent="0.25">
      <c r="A4631" s="388"/>
      <c r="B4631" s="388"/>
    </row>
    <row r="4632" spans="1:2" x14ac:dyDescent="0.25">
      <c r="A4632" s="388"/>
      <c r="B4632" s="388"/>
    </row>
    <row r="4633" spans="1:2" x14ac:dyDescent="0.25">
      <c r="A4633" s="388"/>
      <c r="B4633" s="388"/>
    </row>
    <row r="4634" spans="1:2" x14ac:dyDescent="0.25">
      <c r="A4634" s="388"/>
      <c r="B4634" s="388"/>
    </row>
    <row r="4635" spans="1:2" x14ac:dyDescent="0.25">
      <c r="A4635" s="388"/>
      <c r="B4635" s="388"/>
    </row>
    <row r="4636" spans="1:2" x14ac:dyDescent="0.25">
      <c r="A4636" s="388"/>
      <c r="B4636" s="388"/>
    </row>
    <row r="4637" spans="1:2" x14ac:dyDescent="0.25">
      <c r="A4637" s="388"/>
      <c r="B4637" s="388"/>
    </row>
    <row r="4638" spans="1:2" x14ac:dyDescent="0.25">
      <c r="A4638" s="388"/>
      <c r="B4638" s="388"/>
    </row>
    <row r="4639" spans="1:2" x14ac:dyDescent="0.25">
      <c r="A4639" s="388"/>
      <c r="B4639" s="388"/>
    </row>
    <row r="4640" spans="1:2" x14ac:dyDescent="0.25">
      <c r="A4640" s="388"/>
      <c r="B4640" s="388"/>
    </row>
    <row r="4641" spans="1:2" x14ac:dyDescent="0.25">
      <c r="A4641" s="388"/>
      <c r="B4641" s="388"/>
    </row>
    <row r="4642" spans="1:2" x14ac:dyDescent="0.25">
      <c r="A4642" s="388"/>
      <c r="B4642" s="388"/>
    </row>
    <row r="4643" spans="1:2" x14ac:dyDescent="0.25">
      <c r="A4643" s="388"/>
      <c r="B4643" s="388"/>
    </row>
    <row r="4644" spans="1:2" x14ac:dyDescent="0.25">
      <c r="A4644" s="388"/>
      <c r="B4644" s="388"/>
    </row>
    <row r="4645" spans="1:2" x14ac:dyDescent="0.25">
      <c r="A4645" s="388"/>
      <c r="B4645" s="388"/>
    </row>
    <row r="4646" spans="1:2" x14ac:dyDescent="0.25">
      <c r="A4646" s="388"/>
      <c r="B4646" s="388"/>
    </row>
    <row r="4647" spans="1:2" x14ac:dyDescent="0.25">
      <c r="A4647" s="388"/>
      <c r="B4647" s="388"/>
    </row>
    <row r="4648" spans="1:2" x14ac:dyDescent="0.25">
      <c r="A4648" s="388"/>
      <c r="B4648" s="388"/>
    </row>
    <row r="4649" spans="1:2" x14ac:dyDescent="0.25">
      <c r="A4649" s="388"/>
      <c r="B4649" s="388"/>
    </row>
    <row r="4650" spans="1:2" x14ac:dyDescent="0.25">
      <c r="A4650" s="388"/>
      <c r="B4650" s="388"/>
    </row>
    <row r="4651" spans="1:2" x14ac:dyDescent="0.25">
      <c r="A4651" s="388"/>
      <c r="B4651" s="388"/>
    </row>
    <row r="4652" spans="1:2" x14ac:dyDescent="0.25">
      <c r="A4652" s="388"/>
      <c r="B4652" s="388"/>
    </row>
    <row r="4653" spans="1:2" x14ac:dyDescent="0.25">
      <c r="A4653" s="388"/>
      <c r="B4653" s="388"/>
    </row>
    <row r="4654" spans="1:2" x14ac:dyDescent="0.25">
      <c r="A4654" s="388"/>
      <c r="B4654" s="388"/>
    </row>
    <row r="4655" spans="1:2" x14ac:dyDescent="0.25">
      <c r="A4655" s="388"/>
      <c r="B4655" s="388"/>
    </row>
    <row r="4656" spans="1:2" x14ac:dyDescent="0.25">
      <c r="A4656" s="388"/>
      <c r="B4656" s="388"/>
    </row>
    <row r="4657" spans="1:2" x14ac:dyDescent="0.25">
      <c r="A4657" s="388"/>
      <c r="B4657" s="388"/>
    </row>
    <row r="4658" spans="1:2" x14ac:dyDescent="0.25">
      <c r="A4658" s="388"/>
      <c r="B4658" s="388"/>
    </row>
    <row r="4659" spans="1:2" x14ac:dyDescent="0.25">
      <c r="A4659" s="388"/>
      <c r="B4659" s="388"/>
    </row>
    <row r="4660" spans="1:2" x14ac:dyDescent="0.25">
      <c r="A4660" s="388"/>
      <c r="B4660" s="388"/>
    </row>
    <row r="4661" spans="1:2" x14ac:dyDescent="0.25">
      <c r="A4661" s="388"/>
      <c r="B4661" s="388"/>
    </row>
    <row r="4662" spans="1:2" x14ac:dyDescent="0.25">
      <c r="A4662" s="388"/>
      <c r="B4662" s="388"/>
    </row>
    <row r="4663" spans="1:2" x14ac:dyDescent="0.25">
      <c r="A4663" s="388"/>
      <c r="B4663" s="388"/>
    </row>
    <row r="4664" spans="1:2" x14ac:dyDescent="0.25">
      <c r="A4664" s="388"/>
      <c r="B4664" s="388"/>
    </row>
    <row r="4665" spans="1:2" x14ac:dyDescent="0.25">
      <c r="A4665" s="388"/>
      <c r="B4665" s="388"/>
    </row>
    <row r="4666" spans="1:2" x14ac:dyDescent="0.25">
      <c r="A4666" s="388"/>
      <c r="B4666" s="388"/>
    </row>
    <row r="4667" spans="1:2" x14ac:dyDescent="0.25">
      <c r="A4667" s="388"/>
      <c r="B4667" s="388"/>
    </row>
    <row r="4668" spans="1:2" x14ac:dyDescent="0.25">
      <c r="A4668" s="388"/>
      <c r="B4668" s="388"/>
    </row>
    <row r="4669" spans="1:2" x14ac:dyDescent="0.25">
      <c r="A4669" s="388"/>
      <c r="B4669" s="388"/>
    </row>
    <row r="4670" spans="1:2" x14ac:dyDescent="0.25">
      <c r="A4670" s="388"/>
      <c r="B4670" s="388"/>
    </row>
    <row r="4671" spans="1:2" x14ac:dyDescent="0.25">
      <c r="A4671" s="388"/>
      <c r="B4671" s="388"/>
    </row>
    <row r="4672" spans="1:2" x14ac:dyDescent="0.25">
      <c r="A4672" s="388"/>
      <c r="B4672" s="388"/>
    </row>
    <row r="4673" spans="1:2" x14ac:dyDescent="0.25">
      <c r="A4673" s="388"/>
      <c r="B4673" s="388"/>
    </row>
    <row r="4674" spans="1:2" x14ac:dyDescent="0.25">
      <c r="A4674" s="388"/>
      <c r="B4674" s="388"/>
    </row>
    <row r="4675" spans="1:2" x14ac:dyDescent="0.25">
      <c r="A4675" s="388"/>
      <c r="B4675" s="388"/>
    </row>
    <row r="4676" spans="1:2" x14ac:dyDescent="0.25">
      <c r="A4676" s="388"/>
      <c r="B4676" s="388"/>
    </row>
    <row r="4677" spans="1:2" x14ac:dyDescent="0.25">
      <c r="A4677" s="388"/>
      <c r="B4677" s="388"/>
    </row>
    <row r="4678" spans="1:2" x14ac:dyDescent="0.25">
      <c r="A4678" s="388"/>
      <c r="B4678" s="388"/>
    </row>
    <row r="4679" spans="1:2" x14ac:dyDescent="0.25">
      <c r="A4679" s="388"/>
      <c r="B4679" s="388"/>
    </row>
    <row r="4680" spans="1:2" x14ac:dyDescent="0.25">
      <c r="A4680" s="388"/>
      <c r="B4680" s="388"/>
    </row>
    <row r="4681" spans="1:2" x14ac:dyDescent="0.25">
      <c r="A4681" s="388"/>
      <c r="B4681" s="388"/>
    </row>
    <row r="4682" spans="1:2" x14ac:dyDescent="0.25">
      <c r="A4682" s="388"/>
      <c r="B4682" s="388"/>
    </row>
    <row r="4683" spans="1:2" x14ac:dyDescent="0.25">
      <c r="A4683" s="388"/>
      <c r="B4683" s="388"/>
    </row>
    <row r="4684" spans="1:2" x14ac:dyDescent="0.25">
      <c r="A4684" s="388"/>
      <c r="B4684" s="388"/>
    </row>
    <row r="4685" spans="1:2" x14ac:dyDescent="0.25">
      <c r="A4685" s="388"/>
      <c r="B4685" s="388"/>
    </row>
    <row r="4686" spans="1:2" x14ac:dyDescent="0.25">
      <c r="A4686" s="388"/>
      <c r="B4686" s="388"/>
    </row>
    <row r="4687" spans="1:2" x14ac:dyDescent="0.25">
      <c r="A4687" s="388"/>
      <c r="B4687" s="388"/>
    </row>
    <row r="4688" spans="1:2" x14ac:dyDescent="0.25">
      <c r="A4688" s="388"/>
      <c r="B4688" s="388"/>
    </row>
    <row r="4689" spans="1:2" x14ac:dyDescent="0.25">
      <c r="A4689" s="388"/>
      <c r="B4689" s="388"/>
    </row>
    <row r="4690" spans="1:2" x14ac:dyDescent="0.25">
      <c r="A4690" s="388"/>
      <c r="B4690" s="388"/>
    </row>
    <row r="4691" spans="1:2" x14ac:dyDescent="0.25">
      <c r="A4691" s="388"/>
      <c r="B4691" s="388"/>
    </row>
    <row r="4692" spans="1:2" x14ac:dyDescent="0.25">
      <c r="A4692" s="388"/>
      <c r="B4692" s="388"/>
    </row>
    <row r="4693" spans="1:2" x14ac:dyDescent="0.25">
      <c r="A4693" s="388"/>
      <c r="B4693" s="388"/>
    </row>
    <row r="4694" spans="1:2" x14ac:dyDescent="0.25">
      <c r="A4694" s="388"/>
      <c r="B4694" s="388"/>
    </row>
    <row r="4695" spans="1:2" x14ac:dyDescent="0.25">
      <c r="A4695" s="388"/>
      <c r="B4695" s="388"/>
    </row>
    <row r="4696" spans="1:2" x14ac:dyDescent="0.25">
      <c r="A4696" s="388"/>
      <c r="B4696" s="388"/>
    </row>
    <row r="4697" spans="1:2" x14ac:dyDescent="0.25">
      <c r="A4697" s="388"/>
      <c r="B4697" s="388"/>
    </row>
    <row r="4698" spans="1:2" x14ac:dyDescent="0.25">
      <c r="A4698" s="388"/>
      <c r="B4698" s="388"/>
    </row>
    <row r="4699" spans="1:2" x14ac:dyDescent="0.25">
      <c r="A4699" s="388"/>
      <c r="B4699" s="388"/>
    </row>
    <row r="4700" spans="1:2" x14ac:dyDescent="0.25">
      <c r="A4700" s="388"/>
      <c r="B4700" s="388"/>
    </row>
    <row r="4701" spans="1:2" x14ac:dyDescent="0.25">
      <c r="A4701" s="388"/>
      <c r="B4701" s="388"/>
    </row>
    <row r="4702" spans="1:2" x14ac:dyDescent="0.25">
      <c r="A4702" s="388"/>
      <c r="B4702" s="388"/>
    </row>
    <row r="4703" spans="1:2" x14ac:dyDescent="0.25">
      <c r="A4703" s="388"/>
      <c r="B4703" s="388"/>
    </row>
    <row r="4704" spans="1:2" x14ac:dyDescent="0.25">
      <c r="A4704" s="388"/>
      <c r="B4704" s="388"/>
    </row>
    <row r="4705" spans="1:2" x14ac:dyDescent="0.25">
      <c r="A4705" s="388"/>
      <c r="B4705" s="388"/>
    </row>
    <row r="4706" spans="1:2" x14ac:dyDescent="0.25">
      <c r="A4706" s="388"/>
      <c r="B4706" s="388"/>
    </row>
    <row r="4707" spans="1:2" x14ac:dyDescent="0.25">
      <c r="A4707" s="388"/>
      <c r="B4707" s="388"/>
    </row>
    <row r="4708" spans="1:2" x14ac:dyDescent="0.25">
      <c r="A4708" s="388"/>
      <c r="B4708" s="388"/>
    </row>
    <row r="4709" spans="1:2" x14ac:dyDescent="0.25">
      <c r="A4709" s="388"/>
      <c r="B4709" s="388"/>
    </row>
    <row r="4710" spans="1:2" x14ac:dyDescent="0.25">
      <c r="A4710" s="388"/>
      <c r="B4710" s="388"/>
    </row>
    <row r="4711" spans="1:2" x14ac:dyDescent="0.25">
      <c r="A4711" s="388"/>
      <c r="B4711" s="388"/>
    </row>
    <row r="4712" spans="1:2" x14ac:dyDescent="0.25">
      <c r="A4712" s="388"/>
      <c r="B4712" s="388"/>
    </row>
    <row r="4713" spans="1:2" x14ac:dyDescent="0.25">
      <c r="A4713" s="388"/>
      <c r="B4713" s="388"/>
    </row>
    <row r="4714" spans="1:2" x14ac:dyDescent="0.25">
      <c r="A4714" s="388"/>
      <c r="B4714" s="388"/>
    </row>
    <row r="4715" spans="1:2" x14ac:dyDescent="0.25">
      <c r="A4715" s="388"/>
      <c r="B4715" s="388"/>
    </row>
    <row r="4716" spans="1:2" x14ac:dyDescent="0.25">
      <c r="A4716" s="388"/>
      <c r="B4716" s="388"/>
    </row>
    <row r="4717" spans="1:2" x14ac:dyDescent="0.25">
      <c r="A4717" s="388"/>
      <c r="B4717" s="388"/>
    </row>
    <row r="4718" spans="1:2" x14ac:dyDescent="0.25">
      <c r="A4718" s="388"/>
      <c r="B4718" s="388"/>
    </row>
    <row r="4719" spans="1:2" x14ac:dyDescent="0.25">
      <c r="A4719" s="388"/>
      <c r="B4719" s="388"/>
    </row>
    <row r="4720" spans="1:2" x14ac:dyDescent="0.25">
      <c r="A4720" s="388"/>
      <c r="B4720" s="388"/>
    </row>
    <row r="4721" spans="1:2" x14ac:dyDescent="0.25">
      <c r="A4721" s="388"/>
      <c r="B4721" s="388"/>
    </row>
    <row r="4722" spans="1:2" x14ac:dyDescent="0.25">
      <c r="A4722" s="388"/>
      <c r="B4722" s="388"/>
    </row>
    <row r="4723" spans="1:2" x14ac:dyDescent="0.25">
      <c r="A4723" s="388"/>
      <c r="B4723" s="388"/>
    </row>
    <row r="4724" spans="1:2" x14ac:dyDescent="0.25">
      <c r="A4724" s="388"/>
      <c r="B4724" s="388"/>
    </row>
    <row r="4725" spans="1:2" x14ac:dyDescent="0.25">
      <c r="A4725" s="388"/>
      <c r="B4725" s="388"/>
    </row>
    <row r="4726" spans="1:2" x14ac:dyDescent="0.25">
      <c r="A4726" s="388"/>
      <c r="B4726" s="388"/>
    </row>
    <row r="4727" spans="1:2" x14ac:dyDescent="0.25">
      <c r="A4727" s="388"/>
      <c r="B4727" s="388"/>
    </row>
    <row r="4728" spans="1:2" x14ac:dyDescent="0.25">
      <c r="A4728" s="388"/>
      <c r="B4728" s="388"/>
    </row>
    <row r="4729" spans="1:2" x14ac:dyDescent="0.25">
      <c r="A4729" s="388"/>
      <c r="B4729" s="388"/>
    </row>
    <row r="4730" spans="1:2" x14ac:dyDescent="0.25">
      <c r="A4730" s="388"/>
      <c r="B4730" s="388"/>
    </row>
    <row r="4731" spans="1:2" x14ac:dyDescent="0.25">
      <c r="A4731" s="388"/>
      <c r="B4731" s="388"/>
    </row>
    <row r="4732" spans="1:2" x14ac:dyDescent="0.25">
      <c r="A4732" s="388"/>
      <c r="B4732" s="388"/>
    </row>
    <row r="4733" spans="1:2" x14ac:dyDescent="0.25">
      <c r="A4733" s="388"/>
      <c r="B4733" s="388"/>
    </row>
    <row r="4734" spans="1:2" x14ac:dyDescent="0.25">
      <c r="A4734" s="388"/>
      <c r="B4734" s="388"/>
    </row>
    <row r="4735" spans="1:2" x14ac:dyDescent="0.25">
      <c r="A4735" s="388"/>
      <c r="B4735" s="388"/>
    </row>
    <row r="4736" spans="1:2" x14ac:dyDescent="0.25">
      <c r="A4736" s="388"/>
      <c r="B4736" s="388"/>
    </row>
    <row r="4737" spans="1:2" x14ac:dyDescent="0.25">
      <c r="A4737" s="388"/>
      <c r="B4737" s="388"/>
    </row>
    <row r="4738" spans="1:2" x14ac:dyDescent="0.25">
      <c r="A4738" s="388"/>
      <c r="B4738" s="388"/>
    </row>
    <row r="4739" spans="1:2" x14ac:dyDescent="0.25">
      <c r="A4739" s="388"/>
      <c r="B4739" s="388"/>
    </row>
    <row r="4740" spans="1:2" x14ac:dyDescent="0.25">
      <c r="A4740" s="388"/>
      <c r="B4740" s="388"/>
    </row>
    <row r="4741" spans="1:2" x14ac:dyDescent="0.25">
      <c r="A4741" s="388"/>
      <c r="B4741" s="388"/>
    </row>
    <row r="4742" spans="1:2" x14ac:dyDescent="0.25">
      <c r="A4742" s="388"/>
      <c r="B4742" s="388"/>
    </row>
    <row r="4743" spans="1:2" x14ac:dyDescent="0.25">
      <c r="A4743" s="388"/>
      <c r="B4743" s="388"/>
    </row>
    <row r="4744" spans="1:2" x14ac:dyDescent="0.25">
      <c r="A4744" s="388"/>
      <c r="B4744" s="388"/>
    </row>
    <row r="4745" spans="1:2" x14ac:dyDescent="0.25">
      <c r="A4745" s="388"/>
      <c r="B4745" s="388"/>
    </row>
    <row r="4746" spans="1:2" x14ac:dyDescent="0.25">
      <c r="A4746" s="388"/>
      <c r="B4746" s="388"/>
    </row>
    <row r="4747" spans="1:2" x14ac:dyDescent="0.25">
      <c r="A4747" s="388"/>
      <c r="B4747" s="388"/>
    </row>
    <row r="4748" spans="1:2" x14ac:dyDescent="0.25">
      <c r="A4748" s="388"/>
      <c r="B4748" s="388"/>
    </row>
    <row r="4749" spans="1:2" x14ac:dyDescent="0.25">
      <c r="A4749" s="388"/>
      <c r="B4749" s="388"/>
    </row>
    <row r="4750" spans="1:2" x14ac:dyDescent="0.25">
      <c r="A4750" s="388"/>
      <c r="B4750" s="388"/>
    </row>
    <row r="4751" spans="1:2" x14ac:dyDescent="0.25">
      <c r="A4751" s="388"/>
      <c r="B4751" s="388"/>
    </row>
    <row r="4752" spans="1:2" x14ac:dyDescent="0.25">
      <c r="A4752" s="388"/>
      <c r="B4752" s="388"/>
    </row>
    <row r="4753" spans="1:2" x14ac:dyDescent="0.25">
      <c r="A4753" s="388"/>
      <c r="B4753" s="388"/>
    </row>
    <row r="4754" spans="1:2" x14ac:dyDescent="0.25">
      <c r="A4754" s="388"/>
      <c r="B4754" s="388"/>
    </row>
    <row r="4755" spans="1:2" x14ac:dyDescent="0.25">
      <c r="A4755" s="388"/>
      <c r="B4755" s="388"/>
    </row>
    <row r="4756" spans="1:2" x14ac:dyDescent="0.25">
      <c r="A4756" s="388"/>
      <c r="B4756" s="388"/>
    </row>
    <row r="4757" spans="1:2" x14ac:dyDescent="0.25">
      <c r="A4757" s="388"/>
      <c r="B4757" s="388"/>
    </row>
    <row r="4758" spans="1:2" x14ac:dyDescent="0.25">
      <c r="A4758" s="388"/>
      <c r="B4758" s="388"/>
    </row>
    <row r="4759" spans="1:2" x14ac:dyDescent="0.25">
      <c r="A4759" s="388"/>
      <c r="B4759" s="388"/>
    </row>
    <row r="4760" spans="1:2" x14ac:dyDescent="0.25">
      <c r="A4760" s="388"/>
      <c r="B4760" s="388"/>
    </row>
    <row r="4761" spans="1:2" x14ac:dyDescent="0.25">
      <c r="A4761" s="388"/>
      <c r="B4761" s="388"/>
    </row>
    <row r="4762" spans="1:2" x14ac:dyDescent="0.25">
      <c r="A4762" s="388"/>
      <c r="B4762" s="388"/>
    </row>
    <row r="4763" spans="1:2" x14ac:dyDescent="0.25">
      <c r="A4763" s="388"/>
      <c r="B4763" s="388"/>
    </row>
    <row r="4764" spans="1:2" x14ac:dyDescent="0.25">
      <c r="A4764" s="388"/>
      <c r="B4764" s="388"/>
    </row>
    <row r="4765" spans="1:2" x14ac:dyDescent="0.25">
      <c r="A4765" s="388"/>
      <c r="B4765" s="388"/>
    </row>
    <row r="4766" spans="1:2" x14ac:dyDescent="0.25">
      <c r="A4766" s="388"/>
      <c r="B4766" s="388"/>
    </row>
    <row r="4767" spans="1:2" x14ac:dyDescent="0.25">
      <c r="A4767" s="388"/>
      <c r="B4767" s="388"/>
    </row>
    <row r="4768" spans="1:2" x14ac:dyDescent="0.25">
      <c r="A4768" s="388"/>
      <c r="B4768" s="388"/>
    </row>
    <row r="4769" spans="1:2" x14ac:dyDescent="0.25">
      <c r="A4769" s="388"/>
      <c r="B4769" s="388"/>
    </row>
    <row r="4770" spans="1:2" x14ac:dyDescent="0.25">
      <c r="A4770" s="388"/>
      <c r="B4770" s="388"/>
    </row>
    <row r="4771" spans="1:2" x14ac:dyDescent="0.25">
      <c r="A4771" s="388"/>
      <c r="B4771" s="388"/>
    </row>
    <row r="4772" spans="1:2" x14ac:dyDescent="0.25">
      <c r="A4772" s="388"/>
      <c r="B4772" s="388"/>
    </row>
    <row r="4773" spans="1:2" x14ac:dyDescent="0.25">
      <c r="A4773" s="388"/>
      <c r="B4773" s="388"/>
    </row>
    <row r="4774" spans="1:2" x14ac:dyDescent="0.25">
      <c r="A4774" s="388"/>
      <c r="B4774" s="388"/>
    </row>
    <row r="4775" spans="1:2" x14ac:dyDescent="0.25">
      <c r="A4775" s="388"/>
      <c r="B4775" s="388"/>
    </row>
    <row r="4776" spans="1:2" x14ac:dyDescent="0.25">
      <c r="A4776" s="388"/>
      <c r="B4776" s="388"/>
    </row>
    <row r="4777" spans="1:2" x14ac:dyDescent="0.25">
      <c r="A4777" s="388"/>
      <c r="B4777" s="388"/>
    </row>
    <row r="4778" spans="1:2" x14ac:dyDescent="0.25">
      <c r="A4778" s="388"/>
      <c r="B4778" s="388"/>
    </row>
    <row r="4779" spans="1:2" x14ac:dyDescent="0.25">
      <c r="A4779" s="388"/>
      <c r="B4779" s="388"/>
    </row>
    <row r="4780" spans="1:2" x14ac:dyDescent="0.25">
      <c r="A4780" s="388"/>
      <c r="B4780" s="388"/>
    </row>
    <row r="4781" spans="1:2" x14ac:dyDescent="0.25">
      <c r="A4781" s="388"/>
      <c r="B4781" s="388"/>
    </row>
    <row r="4782" spans="1:2" x14ac:dyDescent="0.25">
      <c r="A4782" s="388"/>
      <c r="B4782" s="388"/>
    </row>
    <row r="4783" spans="1:2" x14ac:dyDescent="0.25">
      <c r="A4783" s="388"/>
      <c r="B4783" s="388"/>
    </row>
    <row r="4784" spans="1:2" x14ac:dyDescent="0.25">
      <c r="A4784" s="388"/>
      <c r="B4784" s="388"/>
    </row>
    <row r="4785" spans="1:2" x14ac:dyDescent="0.25">
      <c r="A4785" s="388"/>
      <c r="B4785" s="388"/>
    </row>
    <row r="4786" spans="1:2" x14ac:dyDescent="0.25">
      <c r="A4786" s="388"/>
      <c r="B4786" s="388"/>
    </row>
    <row r="4787" spans="1:2" x14ac:dyDescent="0.25">
      <c r="A4787" s="388"/>
      <c r="B4787" s="388"/>
    </row>
    <row r="4788" spans="1:2" x14ac:dyDescent="0.25">
      <c r="A4788" s="388"/>
      <c r="B4788" s="388"/>
    </row>
    <row r="4789" spans="1:2" x14ac:dyDescent="0.25">
      <c r="A4789" s="388"/>
      <c r="B4789" s="388"/>
    </row>
    <row r="4790" spans="1:2" x14ac:dyDescent="0.25">
      <c r="A4790" s="388"/>
      <c r="B4790" s="388"/>
    </row>
    <row r="4791" spans="1:2" x14ac:dyDescent="0.25">
      <c r="A4791" s="388"/>
      <c r="B4791" s="388"/>
    </row>
    <row r="4792" spans="1:2" x14ac:dyDescent="0.25">
      <c r="A4792" s="388"/>
      <c r="B4792" s="388"/>
    </row>
    <row r="4793" spans="1:2" x14ac:dyDescent="0.25">
      <c r="A4793" s="388"/>
      <c r="B4793" s="388"/>
    </row>
    <row r="4794" spans="1:2" x14ac:dyDescent="0.25">
      <c r="A4794" s="388"/>
      <c r="B4794" s="388"/>
    </row>
    <row r="4795" spans="1:2" x14ac:dyDescent="0.25">
      <c r="A4795" s="388"/>
      <c r="B4795" s="388"/>
    </row>
    <row r="4796" spans="1:2" x14ac:dyDescent="0.25">
      <c r="A4796" s="388"/>
      <c r="B4796" s="388"/>
    </row>
    <row r="4797" spans="1:2" x14ac:dyDescent="0.25">
      <c r="A4797" s="388"/>
      <c r="B4797" s="388"/>
    </row>
    <row r="4798" spans="1:2" x14ac:dyDescent="0.25">
      <c r="A4798" s="388"/>
      <c r="B4798" s="388"/>
    </row>
    <row r="4799" spans="1:2" x14ac:dyDescent="0.25">
      <c r="A4799" s="388"/>
      <c r="B4799" s="388"/>
    </row>
    <row r="4800" spans="1:2" x14ac:dyDescent="0.25">
      <c r="A4800" s="388"/>
      <c r="B4800" s="388"/>
    </row>
    <row r="4801" spans="1:2" x14ac:dyDescent="0.25">
      <c r="A4801" s="388"/>
      <c r="B4801" s="388"/>
    </row>
    <row r="4802" spans="1:2" x14ac:dyDescent="0.25">
      <c r="A4802" s="388"/>
      <c r="B4802" s="388"/>
    </row>
    <row r="4803" spans="1:2" x14ac:dyDescent="0.25">
      <c r="A4803" s="388"/>
      <c r="B4803" s="388"/>
    </row>
    <row r="4804" spans="1:2" x14ac:dyDescent="0.25">
      <c r="A4804" s="388"/>
      <c r="B4804" s="388"/>
    </row>
    <row r="4805" spans="1:2" x14ac:dyDescent="0.25">
      <c r="A4805" s="388"/>
      <c r="B4805" s="388"/>
    </row>
    <row r="4806" spans="1:2" x14ac:dyDescent="0.25">
      <c r="A4806" s="388"/>
      <c r="B4806" s="388"/>
    </row>
    <row r="4807" spans="1:2" x14ac:dyDescent="0.25">
      <c r="A4807" s="388"/>
      <c r="B4807" s="388"/>
    </row>
    <row r="4808" spans="1:2" x14ac:dyDescent="0.25">
      <c r="A4808" s="388"/>
      <c r="B4808" s="388"/>
    </row>
    <row r="4809" spans="1:2" x14ac:dyDescent="0.25">
      <c r="A4809" s="388"/>
      <c r="B4809" s="388"/>
    </row>
    <row r="4810" spans="1:2" x14ac:dyDescent="0.25">
      <c r="A4810" s="388"/>
      <c r="B4810" s="388"/>
    </row>
    <row r="4811" spans="1:2" x14ac:dyDescent="0.25">
      <c r="A4811" s="388"/>
      <c r="B4811" s="388"/>
    </row>
    <row r="4812" spans="1:2" x14ac:dyDescent="0.25">
      <c r="A4812" s="388"/>
      <c r="B4812" s="388"/>
    </row>
    <row r="4813" spans="1:2" x14ac:dyDescent="0.25">
      <c r="A4813" s="388"/>
      <c r="B4813" s="388"/>
    </row>
    <row r="4814" spans="1:2" x14ac:dyDescent="0.25">
      <c r="A4814" s="388"/>
      <c r="B4814" s="388"/>
    </row>
    <row r="4815" spans="1:2" x14ac:dyDescent="0.25">
      <c r="A4815" s="388"/>
      <c r="B4815" s="388"/>
    </row>
    <row r="4816" spans="1:2" x14ac:dyDescent="0.25">
      <c r="A4816" s="388"/>
      <c r="B4816" s="388"/>
    </row>
    <row r="4817" spans="1:2" x14ac:dyDescent="0.25">
      <c r="A4817" s="388"/>
      <c r="B4817" s="388"/>
    </row>
    <row r="4818" spans="1:2" x14ac:dyDescent="0.25">
      <c r="A4818" s="388"/>
      <c r="B4818" s="388"/>
    </row>
    <row r="4819" spans="1:2" x14ac:dyDescent="0.25">
      <c r="A4819" s="388"/>
      <c r="B4819" s="388"/>
    </row>
    <row r="4820" spans="1:2" x14ac:dyDescent="0.25">
      <c r="A4820" s="388"/>
      <c r="B4820" s="388"/>
    </row>
    <row r="4821" spans="1:2" x14ac:dyDescent="0.25">
      <c r="A4821" s="388"/>
      <c r="B4821" s="388"/>
    </row>
    <row r="4822" spans="1:2" x14ac:dyDescent="0.25">
      <c r="A4822" s="388"/>
      <c r="B4822" s="388"/>
    </row>
    <row r="4823" spans="1:2" x14ac:dyDescent="0.25">
      <c r="A4823" s="388"/>
      <c r="B4823" s="388"/>
    </row>
    <row r="4824" spans="1:2" x14ac:dyDescent="0.25">
      <c r="A4824" s="388"/>
      <c r="B4824" s="388"/>
    </row>
    <row r="4825" spans="1:2" x14ac:dyDescent="0.25">
      <c r="A4825" s="388"/>
      <c r="B4825" s="388"/>
    </row>
    <row r="4826" spans="1:2" x14ac:dyDescent="0.25">
      <c r="A4826" s="388"/>
      <c r="B4826" s="388"/>
    </row>
    <row r="4827" spans="1:2" x14ac:dyDescent="0.25">
      <c r="A4827" s="388"/>
      <c r="B4827" s="388"/>
    </row>
    <row r="4828" spans="1:2" x14ac:dyDescent="0.25">
      <c r="A4828" s="388"/>
      <c r="B4828" s="388"/>
    </row>
    <row r="4829" spans="1:2" x14ac:dyDescent="0.25">
      <c r="A4829" s="388"/>
      <c r="B4829" s="388"/>
    </row>
    <row r="4830" spans="1:2" x14ac:dyDescent="0.25">
      <c r="A4830" s="388"/>
      <c r="B4830" s="388"/>
    </row>
    <row r="4831" spans="1:2" x14ac:dyDescent="0.25">
      <c r="A4831" s="388"/>
      <c r="B4831" s="388"/>
    </row>
    <row r="4832" spans="1:2" x14ac:dyDescent="0.25">
      <c r="A4832" s="388"/>
      <c r="B4832" s="388"/>
    </row>
    <row r="4833" spans="1:2" x14ac:dyDescent="0.25">
      <c r="A4833" s="388"/>
      <c r="B4833" s="388"/>
    </row>
    <row r="4834" spans="1:2" x14ac:dyDescent="0.25">
      <c r="A4834" s="388"/>
      <c r="B4834" s="388"/>
    </row>
    <row r="4835" spans="1:2" x14ac:dyDescent="0.25">
      <c r="A4835" s="388"/>
      <c r="B4835" s="388"/>
    </row>
    <row r="4836" spans="1:2" x14ac:dyDescent="0.25">
      <c r="A4836" s="388"/>
      <c r="B4836" s="388"/>
    </row>
    <row r="4837" spans="1:2" x14ac:dyDescent="0.25">
      <c r="A4837" s="388"/>
      <c r="B4837" s="388"/>
    </row>
    <row r="4838" spans="1:2" x14ac:dyDescent="0.25">
      <c r="A4838" s="388"/>
      <c r="B4838" s="388"/>
    </row>
    <row r="4839" spans="1:2" x14ac:dyDescent="0.25">
      <c r="A4839" s="388"/>
      <c r="B4839" s="388"/>
    </row>
    <row r="4840" spans="1:2" x14ac:dyDescent="0.25">
      <c r="A4840" s="388"/>
      <c r="B4840" s="388"/>
    </row>
    <row r="4841" spans="1:2" x14ac:dyDescent="0.25">
      <c r="A4841" s="388"/>
      <c r="B4841" s="388"/>
    </row>
    <row r="4842" spans="1:2" x14ac:dyDescent="0.25">
      <c r="A4842" s="388"/>
      <c r="B4842" s="388"/>
    </row>
    <row r="4843" spans="1:2" x14ac:dyDescent="0.25">
      <c r="A4843" s="388"/>
      <c r="B4843" s="388"/>
    </row>
    <row r="4844" spans="1:2" x14ac:dyDescent="0.25">
      <c r="A4844" s="388"/>
      <c r="B4844" s="388"/>
    </row>
    <row r="4845" spans="1:2" x14ac:dyDescent="0.25">
      <c r="A4845" s="388"/>
      <c r="B4845" s="388"/>
    </row>
    <row r="4846" spans="1:2" x14ac:dyDescent="0.25">
      <c r="A4846" s="388"/>
      <c r="B4846" s="388"/>
    </row>
    <row r="4847" spans="1:2" x14ac:dyDescent="0.25">
      <c r="A4847" s="388"/>
      <c r="B4847" s="388"/>
    </row>
    <row r="4848" spans="1:2" x14ac:dyDescent="0.25">
      <c r="A4848" s="388"/>
      <c r="B4848" s="388"/>
    </row>
    <row r="4849" spans="1:2" x14ac:dyDescent="0.25">
      <c r="A4849" s="388"/>
      <c r="B4849" s="388"/>
    </row>
    <row r="4850" spans="1:2" x14ac:dyDescent="0.25">
      <c r="A4850" s="388"/>
      <c r="B4850" s="388"/>
    </row>
    <row r="4851" spans="1:2" x14ac:dyDescent="0.25">
      <c r="A4851" s="388"/>
      <c r="B4851" s="388"/>
    </row>
    <row r="4852" spans="1:2" x14ac:dyDescent="0.25">
      <c r="A4852" s="388"/>
      <c r="B4852" s="388"/>
    </row>
    <row r="4853" spans="1:2" x14ac:dyDescent="0.25">
      <c r="A4853" s="388"/>
      <c r="B4853" s="388"/>
    </row>
    <row r="4854" spans="1:2" x14ac:dyDescent="0.25">
      <c r="A4854" s="388"/>
      <c r="B4854" s="388"/>
    </row>
    <row r="4855" spans="1:2" x14ac:dyDescent="0.25">
      <c r="A4855" s="388"/>
      <c r="B4855" s="388"/>
    </row>
    <row r="4856" spans="1:2" x14ac:dyDescent="0.25">
      <c r="A4856" s="388"/>
      <c r="B4856" s="388"/>
    </row>
    <row r="4857" spans="1:2" x14ac:dyDescent="0.25">
      <c r="A4857" s="388"/>
      <c r="B4857" s="388"/>
    </row>
    <row r="4858" spans="1:2" x14ac:dyDescent="0.25">
      <c r="A4858" s="388"/>
      <c r="B4858" s="388"/>
    </row>
    <row r="4859" spans="1:2" x14ac:dyDescent="0.25">
      <c r="A4859" s="388"/>
      <c r="B4859" s="388"/>
    </row>
    <row r="4860" spans="1:2" x14ac:dyDescent="0.25">
      <c r="A4860" s="388"/>
      <c r="B4860" s="388"/>
    </row>
    <row r="4861" spans="1:2" x14ac:dyDescent="0.25">
      <c r="A4861" s="388"/>
      <c r="B4861" s="388"/>
    </row>
    <row r="4862" spans="1:2" x14ac:dyDescent="0.25">
      <c r="A4862" s="388"/>
      <c r="B4862" s="388"/>
    </row>
    <row r="4863" spans="1:2" x14ac:dyDescent="0.25">
      <c r="A4863" s="388"/>
      <c r="B4863" s="388"/>
    </row>
    <row r="4864" spans="1:2" x14ac:dyDescent="0.25">
      <c r="A4864" s="388"/>
      <c r="B4864" s="388"/>
    </row>
    <row r="4865" spans="1:2" x14ac:dyDescent="0.25">
      <c r="A4865" s="388"/>
      <c r="B4865" s="388"/>
    </row>
    <row r="4866" spans="1:2" x14ac:dyDescent="0.25">
      <c r="A4866" s="388"/>
      <c r="B4866" s="388"/>
    </row>
    <row r="4867" spans="1:2" x14ac:dyDescent="0.25">
      <c r="A4867" s="388"/>
      <c r="B4867" s="388"/>
    </row>
    <row r="4868" spans="1:2" x14ac:dyDescent="0.25">
      <c r="A4868" s="388"/>
      <c r="B4868" s="388"/>
    </row>
    <row r="4869" spans="1:2" x14ac:dyDescent="0.25">
      <c r="A4869" s="388"/>
      <c r="B4869" s="388"/>
    </row>
    <row r="4870" spans="1:2" x14ac:dyDescent="0.25">
      <c r="A4870" s="388"/>
      <c r="B4870" s="388"/>
    </row>
    <row r="4871" spans="1:2" x14ac:dyDescent="0.25">
      <c r="A4871" s="388"/>
      <c r="B4871" s="388"/>
    </row>
    <row r="4872" spans="1:2" x14ac:dyDescent="0.25">
      <c r="A4872" s="388"/>
      <c r="B4872" s="388"/>
    </row>
    <row r="4873" spans="1:2" x14ac:dyDescent="0.25">
      <c r="A4873" s="388"/>
      <c r="B4873" s="388"/>
    </row>
    <row r="4874" spans="1:2" x14ac:dyDescent="0.25">
      <c r="A4874" s="388"/>
      <c r="B4874" s="388"/>
    </row>
    <row r="4875" spans="1:2" x14ac:dyDescent="0.25">
      <c r="A4875" s="388"/>
      <c r="B4875" s="388"/>
    </row>
    <row r="4876" spans="1:2" x14ac:dyDescent="0.25">
      <c r="A4876" s="388"/>
      <c r="B4876" s="388"/>
    </row>
    <row r="4877" spans="1:2" x14ac:dyDescent="0.25">
      <c r="A4877" s="388"/>
      <c r="B4877" s="388"/>
    </row>
    <row r="4878" spans="1:2" x14ac:dyDescent="0.25">
      <c r="A4878" s="388"/>
      <c r="B4878" s="388"/>
    </row>
    <row r="4879" spans="1:2" x14ac:dyDescent="0.25">
      <c r="A4879" s="388"/>
      <c r="B4879" s="388"/>
    </row>
    <row r="4880" spans="1:2" x14ac:dyDescent="0.25">
      <c r="A4880" s="388"/>
      <c r="B4880" s="388"/>
    </row>
    <row r="4881" spans="1:2" x14ac:dyDescent="0.25">
      <c r="A4881" s="388"/>
      <c r="B4881" s="388"/>
    </row>
    <row r="4882" spans="1:2" x14ac:dyDescent="0.25">
      <c r="A4882" s="388"/>
      <c r="B4882" s="388"/>
    </row>
    <row r="4883" spans="1:2" x14ac:dyDescent="0.25">
      <c r="A4883" s="388"/>
      <c r="B4883" s="388"/>
    </row>
    <row r="4884" spans="1:2" x14ac:dyDescent="0.25">
      <c r="A4884" s="388"/>
      <c r="B4884" s="388"/>
    </row>
    <row r="4885" spans="1:2" x14ac:dyDescent="0.25">
      <c r="A4885" s="388"/>
      <c r="B4885" s="388"/>
    </row>
    <row r="4886" spans="1:2" x14ac:dyDescent="0.25">
      <c r="A4886" s="388"/>
      <c r="B4886" s="388"/>
    </row>
    <row r="4887" spans="1:2" x14ac:dyDescent="0.25">
      <c r="A4887" s="388"/>
      <c r="B4887" s="388"/>
    </row>
    <row r="4888" spans="1:2" x14ac:dyDescent="0.25">
      <c r="A4888" s="388"/>
      <c r="B4888" s="388"/>
    </row>
    <row r="4889" spans="1:2" x14ac:dyDescent="0.25">
      <c r="A4889" s="388"/>
      <c r="B4889" s="388"/>
    </row>
    <row r="4890" spans="1:2" x14ac:dyDescent="0.25">
      <c r="A4890" s="388"/>
      <c r="B4890" s="388"/>
    </row>
    <row r="4891" spans="1:2" x14ac:dyDescent="0.25">
      <c r="A4891" s="388"/>
      <c r="B4891" s="388"/>
    </row>
    <row r="4892" spans="1:2" x14ac:dyDescent="0.25">
      <c r="A4892" s="388"/>
      <c r="B4892" s="388"/>
    </row>
    <row r="4893" spans="1:2" x14ac:dyDescent="0.25">
      <c r="A4893" s="388"/>
      <c r="B4893" s="388"/>
    </row>
    <row r="4894" spans="1:2" x14ac:dyDescent="0.25">
      <c r="A4894" s="388"/>
      <c r="B4894" s="388"/>
    </row>
    <row r="4895" spans="1:2" x14ac:dyDescent="0.25">
      <c r="A4895" s="388"/>
      <c r="B4895" s="388"/>
    </row>
    <row r="4896" spans="1:2" x14ac:dyDescent="0.25">
      <c r="A4896" s="388"/>
      <c r="B4896" s="388"/>
    </row>
    <row r="4897" spans="1:2" x14ac:dyDescent="0.25">
      <c r="A4897" s="388"/>
      <c r="B4897" s="388"/>
    </row>
    <row r="4898" spans="1:2" x14ac:dyDescent="0.25">
      <c r="A4898" s="388"/>
      <c r="B4898" s="388"/>
    </row>
    <row r="4899" spans="1:2" x14ac:dyDescent="0.25">
      <c r="A4899" s="388"/>
      <c r="B4899" s="388"/>
    </row>
    <row r="4900" spans="1:2" x14ac:dyDescent="0.25">
      <c r="A4900" s="388"/>
      <c r="B4900" s="388"/>
    </row>
    <row r="4901" spans="1:2" x14ac:dyDescent="0.25">
      <c r="A4901" s="388"/>
      <c r="B4901" s="388"/>
    </row>
    <row r="4902" spans="1:2" x14ac:dyDescent="0.25">
      <c r="A4902" s="388"/>
      <c r="B4902" s="388"/>
    </row>
    <row r="4903" spans="1:2" x14ac:dyDescent="0.25">
      <c r="A4903" s="388"/>
      <c r="B4903" s="388"/>
    </row>
    <row r="4904" spans="1:2" x14ac:dyDescent="0.25">
      <c r="A4904" s="388"/>
      <c r="B4904" s="388"/>
    </row>
    <row r="4905" spans="1:2" x14ac:dyDescent="0.25">
      <c r="A4905" s="388"/>
      <c r="B4905" s="388"/>
    </row>
    <row r="4906" spans="1:2" x14ac:dyDescent="0.25">
      <c r="A4906" s="388"/>
      <c r="B4906" s="388"/>
    </row>
    <row r="4907" spans="1:2" x14ac:dyDescent="0.25">
      <c r="A4907" s="388"/>
      <c r="B4907" s="388"/>
    </row>
    <row r="4908" spans="1:2" x14ac:dyDescent="0.25">
      <c r="A4908" s="388"/>
      <c r="B4908" s="388"/>
    </row>
    <row r="4909" spans="1:2" x14ac:dyDescent="0.25">
      <c r="A4909" s="388"/>
      <c r="B4909" s="388"/>
    </row>
    <row r="4910" spans="1:2" x14ac:dyDescent="0.25">
      <c r="A4910" s="388"/>
      <c r="B4910" s="388"/>
    </row>
    <row r="4911" spans="1:2" x14ac:dyDescent="0.25">
      <c r="A4911" s="388"/>
      <c r="B4911" s="388"/>
    </row>
    <row r="4912" spans="1:2" x14ac:dyDescent="0.25">
      <c r="A4912" s="388"/>
      <c r="B4912" s="388"/>
    </row>
    <row r="4913" spans="1:2" x14ac:dyDescent="0.25">
      <c r="A4913" s="388"/>
      <c r="B4913" s="388"/>
    </row>
    <row r="4914" spans="1:2" x14ac:dyDescent="0.25">
      <c r="A4914" s="388"/>
      <c r="B4914" s="388"/>
    </row>
    <row r="4915" spans="1:2" x14ac:dyDescent="0.25">
      <c r="A4915" s="388"/>
      <c r="B4915" s="388"/>
    </row>
    <row r="4916" spans="1:2" x14ac:dyDescent="0.25">
      <c r="A4916" s="388"/>
      <c r="B4916" s="388"/>
    </row>
    <row r="4917" spans="1:2" x14ac:dyDescent="0.25">
      <c r="A4917" s="388"/>
      <c r="B4917" s="388"/>
    </row>
    <row r="4918" spans="1:2" x14ac:dyDescent="0.25">
      <c r="A4918" s="388"/>
      <c r="B4918" s="388"/>
    </row>
    <row r="4919" spans="1:2" x14ac:dyDescent="0.25">
      <c r="A4919" s="388"/>
      <c r="B4919" s="388"/>
    </row>
    <row r="4920" spans="1:2" x14ac:dyDescent="0.25">
      <c r="A4920" s="388"/>
      <c r="B4920" s="388"/>
    </row>
    <row r="4921" spans="1:2" x14ac:dyDescent="0.25">
      <c r="A4921" s="388"/>
      <c r="B4921" s="388"/>
    </row>
    <row r="4922" spans="1:2" x14ac:dyDescent="0.25">
      <c r="A4922" s="388"/>
      <c r="B4922" s="388"/>
    </row>
    <row r="4923" spans="1:2" x14ac:dyDescent="0.25">
      <c r="A4923" s="388"/>
      <c r="B4923" s="388"/>
    </row>
    <row r="4924" spans="1:2" x14ac:dyDescent="0.25">
      <c r="A4924" s="388"/>
      <c r="B4924" s="388"/>
    </row>
    <row r="4925" spans="1:2" x14ac:dyDescent="0.25">
      <c r="A4925" s="388"/>
      <c r="B4925" s="388"/>
    </row>
    <row r="4926" spans="1:2" x14ac:dyDescent="0.25">
      <c r="A4926" s="388"/>
      <c r="B4926" s="388"/>
    </row>
    <row r="4927" spans="1:2" x14ac:dyDescent="0.25">
      <c r="A4927" s="388"/>
      <c r="B4927" s="388"/>
    </row>
    <row r="4928" spans="1:2" x14ac:dyDescent="0.25">
      <c r="A4928" s="388"/>
      <c r="B4928" s="388"/>
    </row>
    <row r="4929" spans="1:2" x14ac:dyDescent="0.25">
      <c r="A4929" s="388"/>
      <c r="B4929" s="388"/>
    </row>
    <row r="4930" spans="1:2" x14ac:dyDescent="0.25">
      <c r="A4930" s="388"/>
      <c r="B4930" s="388"/>
    </row>
    <row r="4931" spans="1:2" x14ac:dyDescent="0.25">
      <c r="A4931" s="388"/>
      <c r="B4931" s="388"/>
    </row>
    <row r="4932" spans="1:2" x14ac:dyDescent="0.25">
      <c r="A4932" s="388"/>
      <c r="B4932" s="388"/>
    </row>
    <row r="4933" spans="1:2" x14ac:dyDescent="0.25">
      <c r="A4933" s="388"/>
      <c r="B4933" s="388"/>
    </row>
    <row r="4934" spans="1:2" x14ac:dyDescent="0.25">
      <c r="A4934" s="388"/>
      <c r="B4934" s="388"/>
    </row>
    <row r="4935" spans="1:2" x14ac:dyDescent="0.25">
      <c r="A4935" s="388"/>
      <c r="B4935" s="388"/>
    </row>
    <row r="4936" spans="1:2" x14ac:dyDescent="0.25">
      <c r="A4936" s="388"/>
      <c r="B4936" s="388"/>
    </row>
    <row r="4937" spans="1:2" x14ac:dyDescent="0.25">
      <c r="A4937" s="388"/>
      <c r="B4937" s="388"/>
    </row>
    <row r="4938" spans="1:2" x14ac:dyDescent="0.25">
      <c r="A4938" s="388"/>
      <c r="B4938" s="388"/>
    </row>
    <row r="4939" spans="1:2" x14ac:dyDescent="0.25">
      <c r="A4939" s="388"/>
      <c r="B4939" s="388"/>
    </row>
    <row r="4940" spans="1:2" x14ac:dyDescent="0.25">
      <c r="A4940" s="388"/>
      <c r="B4940" s="388"/>
    </row>
    <row r="4941" spans="1:2" x14ac:dyDescent="0.25">
      <c r="A4941" s="388"/>
      <c r="B4941" s="388"/>
    </row>
    <row r="4942" spans="1:2" x14ac:dyDescent="0.25">
      <c r="A4942" s="388"/>
      <c r="B4942" s="388"/>
    </row>
    <row r="4943" spans="1:2" x14ac:dyDescent="0.25">
      <c r="A4943" s="388"/>
      <c r="B4943" s="388"/>
    </row>
    <row r="4944" spans="1:2" x14ac:dyDescent="0.25">
      <c r="A4944" s="388"/>
      <c r="B4944" s="388"/>
    </row>
    <row r="4945" spans="1:2" x14ac:dyDescent="0.25">
      <c r="A4945" s="388"/>
      <c r="B4945" s="388"/>
    </row>
  </sheetData>
  <mergeCells count="8">
    <mergeCell ref="A1:K1"/>
    <mergeCell ref="A2:K2"/>
    <mergeCell ref="A3:K3"/>
    <mergeCell ref="A6:A7"/>
    <mergeCell ref="B6:B7"/>
    <mergeCell ref="C6:E6"/>
    <mergeCell ref="F6:H6"/>
    <mergeCell ref="I6:K6"/>
  </mergeCells>
  <printOptions horizontalCentered="1"/>
  <pageMargins left="0.51181102362204722" right="0.51181102362204722" top="0.47244094488188981" bottom="0.74803149606299213" header="0.31496062992125984" footer="0.31496062992125984"/>
  <pageSetup paperSize="9" scale="68" orientation="landscape" r:id="rId1"/>
  <headerFooter>
    <oddHeader>&amp;R&amp;"Times New Roman CE,Félkövér"&amp;11 3. melléklet a 6/2020.(II.24.) önkormányzati rendelethez&amp;"Times New Roman CE,Dőlt"&amp;10
3. melléklet
az 5/2019.(II.15.) önkormányzati rendelethez</oddHeader>
  </headerFooter>
  <rowBreaks count="2" manualBreakCount="2">
    <brk id="26" max="16383" man="1"/>
    <brk id="4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IT38"/>
  <sheetViews>
    <sheetView zoomScale="90" zoomScaleNormal="90" zoomScaleSheetLayoutView="9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2" sqref="A2:K2"/>
    </sheetView>
  </sheetViews>
  <sheetFormatPr defaultRowHeight="15.75" x14ac:dyDescent="0.25"/>
  <cols>
    <col min="1" max="1" width="35.75" style="74" customWidth="1"/>
    <col min="2" max="2" width="11" style="74" customWidth="1"/>
    <col min="3" max="3" width="14.75" style="333" customWidth="1"/>
    <col min="4" max="4" width="14.5" style="333" customWidth="1"/>
    <col min="5" max="5" width="15" style="333" customWidth="1"/>
    <col min="6" max="6" width="14.375" style="333" customWidth="1"/>
    <col min="7" max="7" width="14.25" style="333" customWidth="1"/>
    <col min="8" max="8" width="14.625" style="333" customWidth="1"/>
    <col min="9" max="9" width="14.75" style="333" customWidth="1"/>
    <col min="10" max="10" width="14.375" style="333" customWidth="1"/>
    <col min="11" max="11" width="14.75" style="333" customWidth="1"/>
    <col min="12" max="254" width="9" style="74"/>
    <col min="255" max="16384" width="9" style="598"/>
  </cols>
  <sheetData>
    <row r="1" spans="1:254" x14ac:dyDescent="0.25">
      <c r="A1" s="1003" t="s">
        <v>183</v>
      </c>
      <c r="B1" s="1003"/>
      <c r="C1" s="1003"/>
      <c r="D1" s="1003"/>
      <c r="E1" s="1003"/>
      <c r="F1" s="1003"/>
      <c r="G1" s="1003"/>
      <c r="H1" s="1003"/>
      <c r="I1" s="1003"/>
      <c r="J1" s="1003"/>
      <c r="K1" s="1003"/>
    </row>
    <row r="2" spans="1:254" x14ac:dyDescent="0.25">
      <c r="A2" s="1003" t="s">
        <v>895</v>
      </c>
      <c r="B2" s="1003"/>
      <c r="C2" s="1003"/>
      <c r="D2" s="1003"/>
      <c r="E2" s="1003"/>
      <c r="F2" s="1003"/>
      <c r="G2" s="1003"/>
      <c r="H2" s="1003"/>
      <c r="I2" s="1003"/>
      <c r="J2" s="1003"/>
      <c r="K2" s="1003"/>
    </row>
    <row r="3" spans="1:254" x14ac:dyDescent="0.25">
      <c r="A3" s="1003" t="s">
        <v>983</v>
      </c>
      <c r="B3" s="1003"/>
      <c r="C3" s="1003"/>
      <c r="D3" s="1003"/>
      <c r="E3" s="1003"/>
      <c r="F3" s="1003"/>
      <c r="G3" s="1003"/>
      <c r="H3" s="1003"/>
      <c r="I3" s="1003"/>
      <c r="J3" s="1003"/>
      <c r="K3" s="1003"/>
    </row>
    <row r="5" spans="1:254" ht="16.5" thickBot="1" x14ac:dyDescent="0.3"/>
    <row r="6" spans="1:254" ht="46.5" customHeight="1" thickTop="1" thickBot="1" x14ac:dyDescent="0.3">
      <c r="A6" s="1011" t="s">
        <v>137</v>
      </c>
      <c r="B6" s="1011" t="s">
        <v>154</v>
      </c>
      <c r="C6" s="997" t="s">
        <v>22</v>
      </c>
      <c r="D6" s="998"/>
      <c r="E6" s="999"/>
      <c r="F6" s="1004" t="s">
        <v>184</v>
      </c>
      <c r="G6" s="1005"/>
      <c r="H6" s="1006"/>
      <c r="I6" s="1013" t="s">
        <v>144</v>
      </c>
      <c r="J6" s="1014"/>
      <c r="K6" s="1015"/>
      <c r="L6" s="392"/>
      <c r="M6" s="392"/>
      <c r="N6" s="392"/>
      <c r="O6" s="392"/>
      <c r="P6" s="392"/>
      <c r="Q6" s="392"/>
      <c r="R6" s="392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2"/>
      <c r="AD6" s="392"/>
      <c r="AE6" s="392"/>
      <c r="AF6" s="392"/>
      <c r="AG6" s="392"/>
      <c r="AH6" s="392"/>
      <c r="AI6" s="392"/>
      <c r="AJ6" s="392"/>
      <c r="AK6" s="392"/>
      <c r="AL6" s="392"/>
      <c r="AM6" s="392"/>
      <c r="AN6" s="392"/>
      <c r="AO6" s="392"/>
      <c r="AP6" s="392"/>
      <c r="AQ6" s="392"/>
      <c r="AR6" s="392"/>
      <c r="AS6" s="392"/>
      <c r="AT6" s="392"/>
      <c r="AU6" s="392"/>
      <c r="AV6" s="392"/>
      <c r="AW6" s="392"/>
      <c r="AX6" s="392"/>
      <c r="AY6" s="392"/>
      <c r="AZ6" s="392"/>
      <c r="BA6" s="392"/>
      <c r="BB6" s="392"/>
      <c r="BC6" s="392"/>
      <c r="BD6" s="392"/>
      <c r="BE6" s="392"/>
      <c r="BF6" s="392"/>
      <c r="BG6" s="392"/>
      <c r="BH6" s="392"/>
      <c r="BI6" s="392"/>
      <c r="BJ6" s="392"/>
      <c r="BK6" s="392"/>
      <c r="BL6" s="392"/>
      <c r="BM6" s="392"/>
      <c r="BN6" s="392"/>
      <c r="BO6" s="392"/>
      <c r="BP6" s="392"/>
      <c r="BQ6" s="392"/>
      <c r="BR6" s="392"/>
      <c r="BS6" s="392"/>
      <c r="BT6" s="392"/>
      <c r="BU6" s="392"/>
      <c r="BV6" s="392"/>
      <c r="BW6" s="392"/>
      <c r="BX6" s="392"/>
      <c r="BY6" s="392"/>
      <c r="BZ6" s="392"/>
      <c r="CA6" s="392"/>
      <c r="CB6" s="392"/>
      <c r="CC6" s="392"/>
      <c r="CD6" s="392"/>
      <c r="CE6" s="392"/>
      <c r="CF6" s="392"/>
      <c r="CG6" s="392"/>
      <c r="CH6" s="392"/>
      <c r="CI6" s="392"/>
      <c r="CJ6" s="392"/>
      <c r="CK6" s="392"/>
      <c r="CL6" s="392"/>
      <c r="CM6" s="392"/>
      <c r="CN6" s="392"/>
      <c r="CO6" s="392"/>
      <c r="CP6" s="392"/>
      <c r="CQ6" s="392"/>
      <c r="CR6" s="392"/>
      <c r="CS6" s="392"/>
      <c r="CT6" s="392"/>
      <c r="CU6" s="392"/>
      <c r="CV6" s="392"/>
      <c r="CW6" s="392"/>
      <c r="CX6" s="392"/>
      <c r="CY6" s="392"/>
      <c r="CZ6" s="392"/>
      <c r="DA6" s="392"/>
      <c r="DB6" s="392"/>
      <c r="DC6" s="392"/>
      <c r="DD6" s="392"/>
      <c r="DE6" s="392"/>
      <c r="DF6" s="392"/>
      <c r="DG6" s="392"/>
      <c r="DH6" s="392"/>
      <c r="DI6" s="392"/>
      <c r="DJ6" s="392"/>
      <c r="DK6" s="392"/>
      <c r="DL6" s="392"/>
      <c r="DM6" s="392"/>
      <c r="DN6" s="392"/>
      <c r="DO6" s="392"/>
      <c r="DP6" s="392"/>
      <c r="DQ6" s="392"/>
      <c r="DR6" s="392"/>
      <c r="DS6" s="392"/>
      <c r="DT6" s="392"/>
      <c r="DU6" s="392"/>
      <c r="DV6" s="392"/>
      <c r="DW6" s="392"/>
      <c r="DX6" s="392"/>
      <c r="DY6" s="392"/>
      <c r="DZ6" s="392"/>
      <c r="EA6" s="392"/>
      <c r="EB6" s="392"/>
      <c r="EC6" s="392"/>
      <c r="ED6" s="392"/>
      <c r="EE6" s="392"/>
      <c r="EF6" s="392"/>
      <c r="EG6" s="392"/>
      <c r="EH6" s="392"/>
      <c r="EI6" s="392"/>
      <c r="EJ6" s="392"/>
      <c r="EK6" s="392"/>
      <c r="EL6" s="392"/>
      <c r="EM6" s="392"/>
      <c r="EN6" s="392"/>
      <c r="EO6" s="392"/>
      <c r="EP6" s="392"/>
      <c r="EQ6" s="392"/>
      <c r="ER6" s="392"/>
      <c r="ES6" s="392"/>
      <c r="ET6" s="392"/>
      <c r="EU6" s="392"/>
      <c r="EV6" s="392"/>
      <c r="EW6" s="392"/>
      <c r="EX6" s="392"/>
      <c r="EY6" s="392"/>
      <c r="EZ6" s="392"/>
      <c r="FA6" s="392"/>
      <c r="FB6" s="392"/>
      <c r="FC6" s="392"/>
      <c r="FD6" s="392"/>
      <c r="FE6" s="392"/>
      <c r="FF6" s="392"/>
      <c r="FG6" s="392"/>
      <c r="FH6" s="392"/>
      <c r="FI6" s="392"/>
      <c r="FJ6" s="392"/>
      <c r="FK6" s="392"/>
      <c r="FL6" s="392"/>
      <c r="FM6" s="392"/>
      <c r="FN6" s="392"/>
      <c r="FO6" s="392"/>
      <c r="FP6" s="392"/>
      <c r="FQ6" s="392"/>
      <c r="FR6" s="392"/>
      <c r="FS6" s="392"/>
      <c r="FT6" s="392"/>
      <c r="FU6" s="392"/>
      <c r="FV6" s="392"/>
      <c r="FW6" s="392"/>
      <c r="FX6" s="392"/>
      <c r="FY6" s="392"/>
      <c r="FZ6" s="392"/>
      <c r="GA6" s="392"/>
      <c r="GB6" s="392"/>
      <c r="GC6" s="392"/>
      <c r="GD6" s="392"/>
      <c r="GE6" s="392"/>
      <c r="GF6" s="392"/>
      <c r="GG6" s="392"/>
      <c r="GH6" s="392"/>
      <c r="GI6" s="392"/>
      <c r="GJ6" s="392"/>
      <c r="GK6" s="392"/>
      <c r="GL6" s="392"/>
      <c r="GM6" s="392"/>
      <c r="GN6" s="392"/>
      <c r="GO6" s="392"/>
      <c r="GP6" s="392"/>
      <c r="GQ6" s="392"/>
      <c r="GR6" s="392"/>
      <c r="GS6" s="392"/>
      <c r="GT6" s="392"/>
      <c r="GU6" s="392"/>
      <c r="GV6" s="392"/>
      <c r="GW6" s="392"/>
      <c r="GX6" s="392"/>
      <c r="GY6" s="392"/>
      <c r="GZ6" s="392"/>
      <c r="HA6" s="392"/>
      <c r="HB6" s="392"/>
      <c r="HC6" s="392"/>
      <c r="HD6" s="392"/>
      <c r="HE6" s="392"/>
      <c r="HF6" s="392"/>
      <c r="HG6" s="392"/>
      <c r="HH6" s="392"/>
      <c r="HI6" s="392"/>
      <c r="HJ6" s="392"/>
      <c r="HK6" s="392"/>
      <c r="HL6" s="392"/>
      <c r="HM6" s="392"/>
      <c r="HN6" s="392"/>
      <c r="HO6" s="392"/>
      <c r="HP6" s="392"/>
      <c r="HQ6" s="392"/>
      <c r="HR6" s="392"/>
      <c r="HS6" s="392"/>
      <c r="HT6" s="392"/>
      <c r="HU6" s="392"/>
      <c r="HV6" s="392"/>
      <c r="HW6" s="392"/>
      <c r="HX6" s="392"/>
      <c r="HY6" s="392"/>
      <c r="HZ6" s="392"/>
      <c r="IA6" s="392"/>
      <c r="IB6" s="392"/>
      <c r="IC6" s="392"/>
      <c r="ID6" s="392"/>
      <c r="IE6" s="392"/>
      <c r="IF6" s="392"/>
      <c r="IG6" s="392"/>
      <c r="IH6" s="392"/>
      <c r="II6" s="392"/>
      <c r="IJ6" s="392"/>
      <c r="IK6" s="392"/>
      <c r="IL6" s="392"/>
      <c r="IM6" s="392"/>
      <c r="IN6" s="392"/>
      <c r="IO6" s="392"/>
      <c r="IP6" s="392"/>
      <c r="IQ6" s="392"/>
      <c r="IR6" s="392"/>
      <c r="IS6" s="392"/>
      <c r="IT6" s="392"/>
    </row>
    <row r="7" spans="1:254" ht="33" thickTop="1" thickBot="1" x14ac:dyDescent="0.3">
      <c r="A7" s="1012"/>
      <c r="B7" s="1012"/>
      <c r="C7" s="581" t="s">
        <v>363</v>
      </c>
      <c r="D7" s="580" t="s">
        <v>364</v>
      </c>
      <c r="E7" s="580" t="s">
        <v>900</v>
      </c>
      <c r="F7" s="580" t="s">
        <v>363</v>
      </c>
      <c r="G7" s="580" t="s">
        <v>364</v>
      </c>
      <c r="H7" s="580" t="s">
        <v>900</v>
      </c>
      <c r="I7" s="580" t="s">
        <v>363</v>
      </c>
      <c r="J7" s="582" t="s">
        <v>364</v>
      </c>
      <c r="K7" s="582" t="s">
        <v>900</v>
      </c>
      <c r="L7" s="397"/>
      <c r="M7" s="397"/>
      <c r="N7" s="397"/>
      <c r="O7" s="397"/>
      <c r="P7" s="397"/>
      <c r="Q7" s="397"/>
      <c r="R7" s="397"/>
      <c r="S7" s="397"/>
      <c r="T7" s="397"/>
      <c r="U7" s="397"/>
      <c r="V7" s="397"/>
      <c r="W7" s="397"/>
      <c r="X7" s="397"/>
      <c r="Y7" s="397"/>
      <c r="Z7" s="397"/>
      <c r="AA7" s="397"/>
      <c r="AB7" s="397"/>
      <c r="AC7" s="397"/>
      <c r="AD7" s="397"/>
      <c r="AE7" s="397"/>
      <c r="AF7" s="397"/>
      <c r="AG7" s="397"/>
      <c r="AH7" s="397"/>
      <c r="AI7" s="397"/>
      <c r="AJ7" s="397"/>
      <c r="AK7" s="397"/>
      <c r="AL7" s="397"/>
      <c r="AM7" s="397"/>
      <c r="AN7" s="397"/>
      <c r="AO7" s="397"/>
      <c r="AP7" s="397"/>
      <c r="AQ7" s="397"/>
      <c r="AR7" s="397"/>
      <c r="AS7" s="397"/>
      <c r="AT7" s="397"/>
      <c r="AU7" s="397"/>
      <c r="AV7" s="397"/>
      <c r="AW7" s="397"/>
      <c r="AX7" s="397"/>
      <c r="AY7" s="397"/>
      <c r="AZ7" s="397"/>
      <c r="BA7" s="397"/>
      <c r="BB7" s="397"/>
      <c r="BC7" s="397"/>
      <c r="BD7" s="397"/>
      <c r="BE7" s="397"/>
      <c r="BF7" s="397"/>
      <c r="BG7" s="397"/>
      <c r="BH7" s="397"/>
      <c r="BI7" s="397"/>
      <c r="BJ7" s="397"/>
      <c r="BK7" s="397"/>
      <c r="BL7" s="397"/>
      <c r="BM7" s="397"/>
      <c r="BN7" s="397"/>
      <c r="BO7" s="397"/>
      <c r="BP7" s="397"/>
      <c r="BQ7" s="397"/>
      <c r="BR7" s="397"/>
      <c r="BS7" s="397"/>
      <c r="BT7" s="397"/>
      <c r="BU7" s="397"/>
      <c r="BV7" s="397"/>
      <c r="BW7" s="397"/>
      <c r="BX7" s="397"/>
      <c r="BY7" s="397"/>
      <c r="BZ7" s="397"/>
      <c r="CA7" s="397"/>
      <c r="CB7" s="397"/>
      <c r="CC7" s="397"/>
      <c r="CD7" s="397"/>
      <c r="CE7" s="397"/>
      <c r="CF7" s="397"/>
      <c r="CG7" s="397"/>
      <c r="CH7" s="397"/>
      <c r="CI7" s="397"/>
      <c r="CJ7" s="397"/>
      <c r="CK7" s="397"/>
      <c r="CL7" s="397"/>
      <c r="CM7" s="397"/>
      <c r="CN7" s="397"/>
      <c r="CO7" s="397"/>
      <c r="CP7" s="397"/>
      <c r="CQ7" s="397"/>
      <c r="CR7" s="397"/>
      <c r="CS7" s="397"/>
      <c r="CT7" s="397"/>
      <c r="CU7" s="397"/>
      <c r="CV7" s="397"/>
      <c r="CW7" s="397"/>
      <c r="CX7" s="397"/>
      <c r="CY7" s="397"/>
      <c r="CZ7" s="397"/>
      <c r="DA7" s="397"/>
      <c r="DB7" s="397"/>
      <c r="DC7" s="397"/>
      <c r="DD7" s="397"/>
      <c r="DE7" s="397"/>
      <c r="DF7" s="397"/>
      <c r="DG7" s="397"/>
      <c r="DH7" s="397"/>
      <c r="DI7" s="397"/>
      <c r="DJ7" s="397"/>
      <c r="DK7" s="397"/>
      <c r="DL7" s="397"/>
      <c r="DM7" s="397"/>
      <c r="DN7" s="397"/>
      <c r="DO7" s="397"/>
      <c r="DP7" s="397"/>
      <c r="DQ7" s="397"/>
      <c r="DR7" s="397"/>
      <c r="DS7" s="397"/>
      <c r="DT7" s="397"/>
      <c r="DU7" s="397"/>
      <c r="DV7" s="397"/>
      <c r="DW7" s="397"/>
      <c r="DX7" s="397"/>
      <c r="DY7" s="397"/>
      <c r="DZ7" s="397"/>
      <c r="EA7" s="397"/>
      <c r="EB7" s="397"/>
      <c r="EC7" s="397"/>
      <c r="ED7" s="397"/>
      <c r="EE7" s="397"/>
      <c r="EF7" s="397"/>
      <c r="EG7" s="397"/>
      <c r="EH7" s="397"/>
      <c r="EI7" s="397"/>
      <c r="EJ7" s="397"/>
      <c r="EK7" s="397"/>
      <c r="EL7" s="397"/>
      <c r="EM7" s="397"/>
      <c r="EN7" s="397"/>
      <c r="EO7" s="397"/>
      <c r="EP7" s="397"/>
      <c r="EQ7" s="397"/>
      <c r="ER7" s="397"/>
      <c r="ES7" s="397"/>
      <c r="ET7" s="397"/>
      <c r="EU7" s="397"/>
      <c r="EV7" s="397"/>
      <c r="EW7" s="397"/>
      <c r="EX7" s="397"/>
      <c r="EY7" s="397"/>
      <c r="EZ7" s="397"/>
      <c r="FA7" s="397"/>
      <c r="FB7" s="397"/>
      <c r="FC7" s="397"/>
      <c r="FD7" s="397"/>
      <c r="FE7" s="397"/>
      <c r="FF7" s="397"/>
      <c r="FG7" s="397"/>
      <c r="FH7" s="397"/>
      <c r="FI7" s="397"/>
      <c r="FJ7" s="397"/>
      <c r="FK7" s="397"/>
      <c r="FL7" s="397"/>
      <c r="FM7" s="397"/>
      <c r="FN7" s="397"/>
      <c r="FO7" s="397"/>
      <c r="FP7" s="397"/>
      <c r="FQ7" s="397"/>
      <c r="FR7" s="397"/>
      <c r="FS7" s="397"/>
      <c r="FT7" s="397"/>
      <c r="FU7" s="397"/>
      <c r="FV7" s="397"/>
      <c r="FW7" s="397"/>
      <c r="FX7" s="397"/>
      <c r="FY7" s="397"/>
      <c r="FZ7" s="397"/>
      <c r="GA7" s="397"/>
      <c r="GB7" s="397"/>
      <c r="GC7" s="397"/>
      <c r="GD7" s="397"/>
      <c r="GE7" s="397"/>
      <c r="GF7" s="397"/>
      <c r="GG7" s="397"/>
      <c r="GH7" s="397"/>
      <c r="GI7" s="397"/>
      <c r="GJ7" s="397"/>
      <c r="GK7" s="397"/>
      <c r="GL7" s="397"/>
      <c r="GM7" s="397"/>
      <c r="GN7" s="397"/>
      <c r="GO7" s="397"/>
      <c r="GP7" s="397"/>
      <c r="GQ7" s="397"/>
      <c r="GR7" s="397"/>
      <c r="GS7" s="397"/>
      <c r="GT7" s="397"/>
      <c r="GU7" s="397"/>
      <c r="GV7" s="397"/>
      <c r="GW7" s="397"/>
      <c r="GX7" s="397"/>
      <c r="GY7" s="397"/>
      <c r="GZ7" s="397"/>
      <c r="HA7" s="397"/>
      <c r="HB7" s="397"/>
      <c r="HC7" s="397"/>
      <c r="HD7" s="397"/>
      <c r="HE7" s="397"/>
      <c r="HF7" s="397"/>
      <c r="HG7" s="397"/>
      <c r="HH7" s="397"/>
      <c r="HI7" s="397"/>
      <c r="HJ7" s="397"/>
      <c r="HK7" s="397"/>
      <c r="HL7" s="397"/>
      <c r="HM7" s="397"/>
      <c r="HN7" s="397"/>
      <c r="HO7" s="397"/>
      <c r="HP7" s="397"/>
      <c r="HQ7" s="397"/>
      <c r="HR7" s="397"/>
      <c r="HS7" s="397"/>
      <c r="HT7" s="397"/>
      <c r="HU7" s="397"/>
      <c r="HV7" s="397"/>
      <c r="HW7" s="397"/>
      <c r="HX7" s="397"/>
      <c r="HY7" s="397"/>
      <c r="HZ7" s="397"/>
      <c r="IA7" s="397"/>
      <c r="IB7" s="397"/>
      <c r="IC7" s="397"/>
      <c r="ID7" s="397"/>
      <c r="IE7" s="397"/>
      <c r="IF7" s="397"/>
      <c r="IG7" s="397"/>
      <c r="IH7" s="397"/>
      <c r="II7" s="397"/>
      <c r="IJ7" s="397"/>
      <c r="IK7" s="397"/>
      <c r="IL7" s="397"/>
      <c r="IM7" s="397"/>
      <c r="IN7" s="397"/>
      <c r="IO7" s="397"/>
      <c r="IP7" s="397"/>
      <c r="IQ7" s="397"/>
      <c r="IR7" s="397"/>
      <c r="IS7" s="397"/>
      <c r="IT7" s="397"/>
    </row>
    <row r="8" spans="1:254" ht="17.25" thickTop="1" thickBot="1" x14ac:dyDescent="0.3">
      <c r="A8" s="442" t="s">
        <v>138</v>
      </c>
      <c r="B8" s="443"/>
      <c r="C8" s="579" t="s">
        <v>185</v>
      </c>
      <c r="D8" s="579" t="s">
        <v>365</v>
      </c>
      <c r="E8" s="579" t="s">
        <v>366</v>
      </c>
      <c r="F8" s="576" t="s">
        <v>186</v>
      </c>
      <c r="G8" s="576" t="s">
        <v>367</v>
      </c>
      <c r="H8" s="576" t="s">
        <v>368</v>
      </c>
      <c r="I8" s="579" t="s">
        <v>187</v>
      </c>
      <c r="J8" s="579" t="s">
        <v>369</v>
      </c>
      <c r="K8" s="579" t="s">
        <v>370</v>
      </c>
      <c r="L8" s="397"/>
      <c r="M8" s="397"/>
      <c r="N8" s="397"/>
      <c r="O8" s="397"/>
      <c r="P8" s="397"/>
      <c r="Q8" s="397"/>
      <c r="R8" s="397"/>
      <c r="S8" s="397"/>
      <c r="T8" s="397"/>
      <c r="U8" s="397"/>
      <c r="V8" s="397"/>
      <c r="W8" s="397"/>
      <c r="X8" s="397"/>
      <c r="Y8" s="397"/>
      <c r="Z8" s="397"/>
      <c r="AA8" s="397"/>
      <c r="AB8" s="397"/>
      <c r="AC8" s="397"/>
      <c r="AD8" s="397"/>
      <c r="AE8" s="397"/>
      <c r="AF8" s="397"/>
      <c r="AG8" s="397"/>
      <c r="AH8" s="397"/>
      <c r="AI8" s="397"/>
      <c r="AJ8" s="397"/>
      <c r="AK8" s="397"/>
      <c r="AL8" s="397"/>
      <c r="AM8" s="397"/>
      <c r="AN8" s="397"/>
      <c r="AO8" s="397"/>
      <c r="AP8" s="397"/>
      <c r="AQ8" s="397"/>
      <c r="AR8" s="397"/>
      <c r="AS8" s="397"/>
      <c r="AT8" s="397"/>
      <c r="AU8" s="397"/>
      <c r="AV8" s="397"/>
      <c r="AW8" s="397"/>
      <c r="AX8" s="397"/>
      <c r="AY8" s="397"/>
      <c r="AZ8" s="397"/>
      <c r="BA8" s="397"/>
      <c r="BB8" s="397"/>
      <c r="BC8" s="397"/>
      <c r="BD8" s="397"/>
      <c r="BE8" s="397"/>
      <c r="BF8" s="397"/>
      <c r="BG8" s="397"/>
      <c r="BH8" s="397"/>
      <c r="BI8" s="397"/>
      <c r="BJ8" s="397"/>
      <c r="BK8" s="397"/>
      <c r="BL8" s="397"/>
      <c r="BM8" s="397"/>
      <c r="BN8" s="397"/>
      <c r="BO8" s="397"/>
      <c r="BP8" s="397"/>
      <c r="BQ8" s="397"/>
      <c r="BR8" s="397"/>
      <c r="BS8" s="397"/>
      <c r="BT8" s="397"/>
      <c r="BU8" s="397"/>
      <c r="BV8" s="397"/>
      <c r="BW8" s="397"/>
      <c r="BX8" s="397"/>
      <c r="BY8" s="397"/>
      <c r="BZ8" s="397"/>
      <c r="CA8" s="397"/>
      <c r="CB8" s="397"/>
      <c r="CC8" s="397"/>
      <c r="CD8" s="397"/>
      <c r="CE8" s="397"/>
      <c r="CF8" s="397"/>
      <c r="CG8" s="397"/>
      <c r="CH8" s="397"/>
      <c r="CI8" s="397"/>
      <c r="CJ8" s="397"/>
      <c r="CK8" s="397"/>
      <c r="CL8" s="397"/>
      <c r="CM8" s="397"/>
      <c r="CN8" s="397"/>
      <c r="CO8" s="397"/>
      <c r="CP8" s="397"/>
      <c r="CQ8" s="397"/>
      <c r="CR8" s="397"/>
      <c r="CS8" s="397"/>
      <c r="CT8" s="397"/>
      <c r="CU8" s="397"/>
      <c r="CV8" s="397"/>
      <c r="CW8" s="397"/>
      <c r="CX8" s="397"/>
      <c r="CY8" s="397"/>
      <c r="CZ8" s="397"/>
      <c r="DA8" s="397"/>
      <c r="DB8" s="397"/>
      <c r="DC8" s="397"/>
      <c r="DD8" s="397"/>
      <c r="DE8" s="397"/>
      <c r="DF8" s="397"/>
      <c r="DG8" s="397"/>
      <c r="DH8" s="397"/>
      <c r="DI8" s="397"/>
      <c r="DJ8" s="397"/>
      <c r="DK8" s="397"/>
      <c r="DL8" s="397"/>
      <c r="DM8" s="397"/>
      <c r="DN8" s="397"/>
      <c r="DO8" s="397"/>
      <c r="DP8" s="397"/>
      <c r="DQ8" s="397"/>
      <c r="DR8" s="397"/>
      <c r="DS8" s="397"/>
      <c r="DT8" s="397"/>
      <c r="DU8" s="397"/>
      <c r="DV8" s="397"/>
      <c r="DW8" s="397"/>
      <c r="DX8" s="397"/>
      <c r="DY8" s="397"/>
      <c r="DZ8" s="397"/>
      <c r="EA8" s="397"/>
      <c r="EB8" s="397"/>
      <c r="EC8" s="397"/>
      <c r="ED8" s="397"/>
      <c r="EE8" s="397"/>
      <c r="EF8" s="397"/>
      <c r="EG8" s="397"/>
      <c r="EH8" s="397"/>
      <c r="EI8" s="397"/>
      <c r="EJ8" s="397"/>
      <c r="EK8" s="397"/>
      <c r="EL8" s="397"/>
      <c r="EM8" s="397"/>
      <c r="EN8" s="397"/>
      <c r="EO8" s="397"/>
      <c r="EP8" s="397"/>
      <c r="EQ8" s="397"/>
      <c r="ER8" s="397"/>
      <c r="ES8" s="397"/>
      <c r="ET8" s="397"/>
      <c r="EU8" s="397"/>
      <c r="EV8" s="397"/>
      <c r="EW8" s="397"/>
      <c r="EX8" s="397"/>
      <c r="EY8" s="397"/>
      <c r="EZ8" s="397"/>
      <c r="FA8" s="397"/>
      <c r="FB8" s="397"/>
      <c r="FC8" s="397"/>
      <c r="FD8" s="397"/>
      <c r="FE8" s="397"/>
      <c r="FF8" s="397"/>
      <c r="FG8" s="397"/>
      <c r="FH8" s="397"/>
      <c r="FI8" s="397"/>
      <c r="FJ8" s="397"/>
      <c r="FK8" s="397"/>
      <c r="FL8" s="397"/>
      <c r="FM8" s="397"/>
      <c r="FN8" s="397"/>
      <c r="FO8" s="397"/>
      <c r="FP8" s="397"/>
      <c r="FQ8" s="397"/>
      <c r="FR8" s="397"/>
      <c r="FS8" s="397"/>
      <c r="FT8" s="397"/>
      <c r="FU8" s="397"/>
      <c r="FV8" s="397"/>
      <c r="FW8" s="397"/>
      <c r="FX8" s="397"/>
      <c r="FY8" s="397"/>
      <c r="FZ8" s="397"/>
      <c r="GA8" s="397"/>
      <c r="GB8" s="397"/>
      <c r="GC8" s="397"/>
      <c r="GD8" s="397"/>
      <c r="GE8" s="397"/>
      <c r="GF8" s="397"/>
      <c r="GG8" s="397"/>
      <c r="GH8" s="397"/>
      <c r="GI8" s="397"/>
      <c r="GJ8" s="397"/>
      <c r="GK8" s="397"/>
      <c r="GL8" s="397"/>
      <c r="GM8" s="397"/>
      <c r="GN8" s="397"/>
      <c r="GO8" s="397"/>
      <c r="GP8" s="397"/>
      <c r="GQ8" s="397"/>
      <c r="GR8" s="397"/>
      <c r="GS8" s="397"/>
      <c r="GT8" s="397"/>
      <c r="GU8" s="397"/>
      <c r="GV8" s="397"/>
      <c r="GW8" s="397"/>
      <c r="GX8" s="397"/>
      <c r="GY8" s="397"/>
      <c r="GZ8" s="397"/>
      <c r="HA8" s="397"/>
      <c r="HB8" s="397"/>
      <c r="HC8" s="397"/>
      <c r="HD8" s="397"/>
      <c r="HE8" s="397"/>
      <c r="HF8" s="397"/>
      <c r="HG8" s="397"/>
      <c r="HH8" s="397"/>
      <c r="HI8" s="397"/>
      <c r="HJ8" s="397"/>
      <c r="HK8" s="397"/>
      <c r="HL8" s="397"/>
      <c r="HM8" s="397"/>
      <c r="HN8" s="397"/>
      <c r="HO8" s="397"/>
      <c r="HP8" s="397"/>
      <c r="HQ8" s="397"/>
      <c r="HR8" s="397"/>
      <c r="HS8" s="397"/>
      <c r="HT8" s="397"/>
      <c r="HU8" s="397"/>
      <c r="HV8" s="397"/>
      <c r="HW8" s="397"/>
      <c r="HX8" s="397"/>
      <c r="HY8" s="397"/>
      <c r="HZ8" s="397"/>
      <c r="IA8" s="397"/>
      <c r="IB8" s="397"/>
      <c r="IC8" s="397"/>
      <c r="ID8" s="397"/>
      <c r="IE8" s="397"/>
      <c r="IF8" s="397"/>
      <c r="IG8" s="397"/>
      <c r="IH8" s="397"/>
      <c r="II8" s="397"/>
      <c r="IJ8" s="397"/>
      <c r="IK8" s="397"/>
      <c r="IL8" s="397"/>
      <c r="IM8" s="397"/>
      <c r="IN8" s="397"/>
      <c r="IO8" s="397"/>
      <c r="IP8" s="397"/>
      <c r="IQ8" s="397"/>
      <c r="IR8" s="397"/>
      <c r="IS8" s="397"/>
      <c r="IT8" s="397"/>
    </row>
    <row r="9" spans="1:254" ht="16.5" thickTop="1" x14ac:dyDescent="0.25">
      <c r="A9" s="404" t="s">
        <v>27</v>
      </c>
      <c r="B9" s="404" t="s">
        <v>155</v>
      </c>
      <c r="C9" s="336">
        <v>368577</v>
      </c>
      <c r="D9" s="336">
        <v>19918</v>
      </c>
      <c r="E9" s="336">
        <f>SUM(C9:D9)</f>
        <v>388495</v>
      </c>
      <c r="F9" s="336">
        <v>8152520</v>
      </c>
      <c r="G9" s="336">
        <v>192854</v>
      </c>
      <c r="H9" s="336">
        <f>SUM(F9:G9)</f>
        <v>8345374</v>
      </c>
      <c r="I9" s="444">
        <f>SUM(C9+F9)</f>
        <v>8521097</v>
      </c>
      <c r="J9" s="444">
        <f t="shared" ref="J9:K13" si="0">SUM(D9+G9)</f>
        <v>212772</v>
      </c>
      <c r="K9" s="444">
        <f t="shared" si="0"/>
        <v>8733869</v>
      </c>
    </row>
    <row r="10" spans="1:254" ht="31.5" x14ac:dyDescent="0.25">
      <c r="A10" s="414" t="s">
        <v>28</v>
      </c>
      <c r="B10" s="414" t="s">
        <v>156</v>
      </c>
      <c r="C10" s="268">
        <v>91828</v>
      </c>
      <c r="D10" s="268">
        <v>3301</v>
      </c>
      <c r="E10" s="268">
        <f t="shared" ref="E10:E13" si="1">SUM(C10:D10)</f>
        <v>95129</v>
      </c>
      <c r="F10" s="268">
        <v>1712937</v>
      </c>
      <c r="G10" s="268">
        <v>38637</v>
      </c>
      <c r="H10" s="268">
        <f>SUM(F10:G10)</f>
        <v>1751574</v>
      </c>
      <c r="I10" s="91">
        <f>SUM(C10+F10)</f>
        <v>1804765</v>
      </c>
      <c r="J10" s="91">
        <f t="shared" si="0"/>
        <v>41938</v>
      </c>
      <c r="K10" s="91">
        <f t="shared" si="0"/>
        <v>1846703</v>
      </c>
    </row>
    <row r="11" spans="1:254" x14ac:dyDescent="0.25">
      <c r="A11" s="71" t="s">
        <v>29</v>
      </c>
      <c r="B11" s="71" t="s">
        <v>157</v>
      </c>
      <c r="C11" s="268">
        <v>5460772</v>
      </c>
      <c r="D11" s="268">
        <v>330770</v>
      </c>
      <c r="E11" s="268">
        <f t="shared" si="1"/>
        <v>5791542</v>
      </c>
      <c r="F11" s="268">
        <v>5347662</v>
      </c>
      <c r="G11" s="268">
        <v>243043</v>
      </c>
      <c r="H11" s="268">
        <f t="shared" ref="H11:H17" si="2">SUM(F11:G11)</f>
        <v>5590705</v>
      </c>
      <c r="I11" s="91">
        <f>SUM(C11+F11)</f>
        <v>10808434</v>
      </c>
      <c r="J11" s="91">
        <f t="shared" si="0"/>
        <v>573813</v>
      </c>
      <c r="K11" s="91">
        <f t="shared" si="0"/>
        <v>11382247</v>
      </c>
    </row>
    <row r="12" spans="1:254" x14ac:dyDescent="0.25">
      <c r="A12" s="71" t="s">
        <v>482</v>
      </c>
      <c r="B12" s="71" t="s">
        <v>158</v>
      </c>
      <c r="C12" s="268">
        <v>223679</v>
      </c>
      <c r="D12" s="268">
        <v>41</v>
      </c>
      <c r="E12" s="268">
        <f t="shared" si="1"/>
        <v>223720</v>
      </c>
      <c r="F12" s="268">
        <v>26116</v>
      </c>
      <c r="G12" s="268">
        <v>9542</v>
      </c>
      <c r="H12" s="268">
        <f t="shared" si="2"/>
        <v>35658</v>
      </c>
      <c r="I12" s="91">
        <f>SUM(C12+F12)</f>
        <v>249795</v>
      </c>
      <c r="J12" s="91">
        <f t="shared" si="0"/>
        <v>9583</v>
      </c>
      <c r="K12" s="91">
        <f t="shared" si="0"/>
        <v>259378</v>
      </c>
    </row>
    <row r="13" spans="1:254" ht="31.5" x14ac:dyDescent="0.25">
      <c r="A13" s="414" t="s">
        <v>181</v>
      </c>
      <c r="B13" s="414" t="s">
        <v>317</v>
      </c>
      <c r="C13" s="268">
        <v>14454088</v>
      </c>
      <c r="D13" s="336">
        <v>22285</v>
      </c>
      <c r="E13" s="268">
        <f t="shared" si="1"/>
        <v>14476373</v>
      </c>
      <c r="F13" s="336">
        <v>0</v>
      </c>
      <c r="G13" s="336">
        <v>1</v>
      </c>
      <c r="H13" s="268">
        <f t="shared" si="2"/>
        <v>1</v>
      </c>
      <c r="I13" s="91">
        <f>SUM(C13+F13)</f>
        <v>14454088</v>
      </c>
      <c r="J13" s="91">
        <f t="shared" si="0"/>
        <v>22286</v>
      </c>
      <c r="K13" s="91">
        <f t="shared" si="0"/>
        <v>14476374</v>
      </c>
    </row>
    <row r="14" spans="1:254" ht="31.5" x14ac:dyDescent="0.25">
      <c r="A14" s="422" t="s">
        <v>355</v>
      </c>
      <c r="B14" s="423"/>
      <c r="C14" s="337">
        <f>SUM(C9+C10+C11+C12+C13)</f>
        <v>20598944</v>
      </c>
      <c r="D14" s="337">
        <f t="shared" ref="D14:E14" si="3">SUM(D9+D10+D11+D12+D13)</f>
        <v>376315</v>
      </c>
      <c r="E14" s="337">
        <f t="shared" si="3"/>
        <v>20975259</v>
      </c>
      <c r="F14" s="337">
        <f>SUM(F9+F10+F11+F12+F13)</f>
        <v>15239235</v>
      </c>
      <c r="G14" s="337">
        <f t="shared" ref="G14:H14" si="4">SUM(G9+G10+G11+G12+G13)</f>
        <v>484077</v>
      </c>
      <c r="H14" s="337">
        <f t="shared" si="4"/>
        <v>15723312</v>
      </c>
      <c r="I14" s="337">
        <f>SUM(I9:I12,I13)</f>
        <v>35838179</v>
      </c>
      <c r="J14" s="337">
        <f t="shared" ref="J14:K14" si="5">SUM(J9:J12,J13)</f>
        <v>860392</v>
      </c>
      <c r="K14" s="337">
        <f t="shared" si="5"/>
        <v>36698571</v>
      </c>
    </row>
    <row r="15" spans="1:254" x14ac:dyDescent="0.25">
      <c r="A15" s="71" t="s">
        <v>162</v>
      </c>
      <c r="B15" s="71" t="s">
        <v>159</v>
      </c>
      <c r="C15" s="72">
        <v>28852658</v>
      </c>
      <c r="D15" s="72">
        <f>967445+126195</f>
        <v>1093640</v>
      </c>
      <c r="E15" s="72">
        <f>SUM(C15:D15)</f>
        <v>29946298</v>
      </c>
      <c r="F15" s="72">
        <v>244191</v>
      </c>
      <c r="G15" s="72">
        <v>125526</v>
      </c>
      <c r="H15" s="72">
        <f t="shared" si="2"/>
        <v>369717</v>
      </c>
      <c r="I15" s="91">
        <f>SUM(C15+F15)</f>
        <v>29096849</v>
      </c>
      <c r="J15" s="91">
        <f t="shared" ref="J15:K17" si="6">SUM(D15+G15)</f>
        <v>1219166</v>
      </c>
      <c r="K15" s="91">
        <f t="shared" si="6"/>
        <v>30316015</v>
      </c>
    </row>
    <row r="16" spans="1:254" x14ac:dyDescent="0.25">
      <c r="A16" s="71" t="s">
        <v>163</v>
      </c>
      <c r="B16" s="71" t="s">
        <v>160</v>
      </c>
      <c r="C16" s="72">
        <v>1137966</v>
      </c>
      <c r="D16" s="72">
        <v>-1211</v>
      </c>
      <c r="E16" s="72">
        <f>SUM(C16:D16)</f>
        <v>1136755</v>
      </c>
      <c r="F16" s="72">
        <v>18768</v>
      </c>
      <c r="G16" s="72">
        <v>25706</v>
      </c>
      <c r="H16" s="72">
        <f t="shared" si="2"/>
        <v>44474</v>
      </c>
      <c r="I16" s="91">
        <f>SUM(C16+F16)</f>
        <v>1156734</v>
      </c>
      <c r="J16" s="91">
        <f t="shared" si="6"/>
        <v>24495</v>
      </c>
      <c r="K16" s="91">
        <f t="shared" si="6"/>
        <v>1181229</v>
      </c>
    </row>
    <row r="17" spans="1:254" x14ac:dyDescent="0.25">
      <c r="A17" s="71" t="s">
        <v>269</v>
      </c>
      <c r="B17" s="71" t="s">
        <v>161</v>
      </c>
      <c r="C17" s="72">
        <v>1765751</v>
      </c>
      <c r="D17" s="72">
        <v>-369222</v>
      </c>
      <c r="E17" s="72">
        <f>SUM(C17:D17)</f>
        <v>1396529</v>
      </c>
      <c r="F17" s="72">
        <v>0</v>
      </c>
      <c r="G17" s="72">
        <v>0</v>
      </c>
      <c r="H17" s="72">
        <f t="shared" si="2"/>
        <v>0</v>
      </c>
      <c r="I17" s="91">
        <f>SUM(C17+F17)</f>
        <v>1765751</v>
      </c>
      <c r="J17" s="91">
        <f t="shared" si="6"/>
        <v>-369222</v>
      </c>
      <c r="K17" s="91">
        <f t="shared" si="6"/>
        <v>1396529</v>
      </c>
    </row>
    <row r="18" spans="1:254" ht="31.5" x14ac:dyDescent="0.25">
      <c r="A18" s="422" t="s">
        <v>356</v>
      </c>
      <c r="B18" s="424"/>
      <c r="C18" s="338">
        <f>SUM(C15:C17)</f>
        <v>31756375</v>
      </c>
      <c r="D18" s="338">
        <f t="shared" ref="D18:E18" si="7">SUM(D15:D17)</f>
        <v>723207</v>
      </c>
      <c r="E18" s="338">
        <f t="shared" si="7"/>
        <v>32479582</v>
      </c>
      <c r="F18" s="337">
        <f>SUM(F15:F17)</f>
        <v>262959</v>
      </c>
      <c r="G18" s="337">
        <f t="shared" ref="G18:H18" si="8">SUM(G15:G17)</f>
        <v>151232</v>
      </c>
      <c r="H18" s="337">
        <f t="shared" si="8"/>
        <v>414191</v>
      </c>
      <c r="I18" s="337">
        <f>SUM(I15:I17)</f>
        <v>32019334</v>
      </c>
      <c r="J18" s="337">
        <f t="shared" ref="J18:K18" si="9">SUM(J15:J17)</f>
        <v>874439</v>
      </c>
      <c r="K18" s="337">
        <f t="shared" si="9"/>
        <v>32893773</v>
      </c>
    </row>
    <row r="19" spans="1:254" x14ac:dyDescent="0.25">
      <c r="A19" s="71" t="s">
        <v>206</v>
      </c>
      <c r="B19" s="71"/>
      <c r="C19" s="72">
        <v>255418</v>
      </c>
      <c r="D19" s="72">
        <f>-154766+1</f>
        <v>-154765</v>
      </c>
      <c r="E19" s="72">
        <f>SUM(C19:D19)</f>
        <v>100653</v>
      </c>
      <c r="F19" s="72">
        <v>0</v>
      </c>
      <c r="G19" s="72">
        <v>0</v>
      </c>
      <c r="H19" s="72">
        <f>SUM(F19:G19)</f>
        <v>0</v>
      </c>
      <c r="I19" s="91">
        <f>SUM(C19+F19)</f>
        <v>255418</v>
      </c>
      <c r="J19" s="91">
        <f t="shared" ref="J19:K20" si="10">SUM(D19+G19)</f>
        <v>-154765</v>
      </c>
      <c r="K19" s="91">
        <f t="shared" si="10"/>
        <v>100653</v>
      </c>
    </row>
    <row r="20" spans="1:254" x14ac:dyDescent="0.25">
      <c r="A20" s="71" t="s">
        <v>207</v>
      </c>
      <c r="B20" s="79"/>
      <c r="C20" s="72">
        <v>1957992</v>
      </c>
      <c r="D20" s="72">
        <v>-46339</v>
      </c>
      <c r="E20" s="72">
        <f>SUM(C20:D20)</f>
        <v>1911653</v>
      </c>
      <c r="F20" s="72">
        <v>0</v>
      </c>
      <c r="G20" s="72">
        <v>0</v>
      </c>
      <c r="H20" s="72">
        <f>SUM(F20:G20)</f>
        <v>0</v>
      </c>
      <c r="I20" s="91">
        <f>SUM(C20+F20)</f>
        <v>1957992</v>
      </c>
      <c r="J20" s="91">
        <f t="shared" si="10"/>
        <v>-46339</v>
      </c>
      <c r="K20" s="91">
        <f t="shared" si="10"/>
        <v>1911653</v>
      </c>
    </row>
    <row r="21" spans="1:254" s="78" customFormat="1" ht="16.5" thickBot="1" x14ac:dyDescent="0.3">
      <c r="A21" s="75" t="s">
        <v>208</v>
      </c>
      <c r="B21" s="80" t="s">
        <v>318</v>
      </c>
      <c r="C21" s="76">
        <f>SUM(C19:C20)</f>
        <v>2213410</v>
      </c>
      <c r="D21" s="76">
        <f t="shared" ref="D21:E21" si="11">SUM(D19:D20)</f>
        <v>-201104</v>
      </c>
      <c r="E21" s="76">
        <f t="shared" si="11"/>
        <v>2012306</v>
      </c>
      <c r="F21" s="76">
        <f>SUM(F19:F20)</f>
        <v>0</v>
      </c>
      <c r="G21" s="76">
        <f t="shared" ref="G21:H21" si="12">SUM(G19:G20)</f>
        <v>0</v>
      </c>
      <c r="H21" s="76">
        <f t="shared" si="12"/>
        <v>0</v>
      </c>
      <c r="I21" s="94">
        <f>SUM(I19:I20)</f>
        <v>2213410</v>
      </c>
      <c r="J21" s="94">
        <f t="shared" ref="J21:K21" si="13">SUM(J19:J20)</f>
        <v>-201104</v>
      </c>
      <c r="K21" s="94">
        <f t="shared" si="13"/>
        <v>2012306</v>
      </c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  <c r="HX21" s="77"/>
      <c r="HY21" s="77"/>
      <c r="HZ21" s="77"/>
      <c r="IA21" s="77"/>
      <c r="IB21" s="77"/>
      <c r="IC21" s="77"/>
      <c r="ID21" s="77"/>
      <c r="IE21" s="77"/>
      <c r="IF21" s="77"/>
      <c r="IG21" s="77"/>
      <c r="IH21" s="77"/>
      <c r="II21" s="77"/>
      <c r="IJ21" s="77"/>
      <c r="IK21" s="77"/>
      <c r="IL21" s="77"/>
      <c r="IM21" s="77"/>
      <c r="IN21" s="77"/>
      <c r="IO21" s="77"/>
      <c r="IP21" s="77"/>
      <c r="IQ21" s="77"/>
      <c r="IR21" s="77"/>
      <c r="IS21" s="77"/>
      <c r="IT21" s="77"/>
    </row>
    <row r="22" spans="1:254" ht="17.25" thickTop="1" thickBot="1" x14ac:dyDescent="0.3">
      <c r="A22" s="258" t="s">
        <v>209</v>
      </c>
      <c r="B22" s="428" t="s">
        <v>274</v>
      </c>
      <c r="C22" s="260">
        <f>+C21+C18+C14</f>
        <v>54568729</v>
      </c>
      <c r="D22" s="260">
        <f t="shared" ref="D22:E22" si="14">+D21+D18+D14</f>
        <v>898418</v>
      </c>
      <c r="E22" s="260">
        <f t="shared" si="14"/>
        <v>55467147</v>
      </c>
      <c r="F22" s="260">
        <f>+F21+F18+F14</f>
        <v>15502194</v>
      </c>
      <c r="G22" s="260">
        <f t="shared" ref="G22:H22" si="15">+G21+G18+G14</f>
        <v>635309</v>
      </c>
      <c r="H22" s="260">
        <f t="shared" si="15"/>
        <v>16137503</v>
      </c>
      <c r="I22" s="260">
        <f>+I21+I18+I14</f>
        <v>70070923</v>
      </c>
      <c r="J22" s="260">
        <f t="shared" ref="J22:K22" si="16">+J21+J18+J14</f>
        <v>1533727</v>
      </c>
      <c r="K22" s="260">
        <f t="shared" si="16"/>
        <v>71604650</v>
      </c>
    </row>
    <row r="23" spans="1:254" ht="32.25" thickTop="1" x14ac:dyDescent="0.25">
      <c r="A23" s="600" t="s">
        <v>483</v>
      </c>
      <c r="B23" s="601" t="s">
        <v>477</v>
      </c>
      <c r="C23" s="602">
        <v>2710038</v>
      </c>
      <c r="D23" s="602"/>
      <c r="E23" s="602">
        <f>SUM(C23:D23)</f>
        <v>2710038</v>
      </c>
      <c r="F23" s="602"/>
      <c r="G23" s="602"/>
      <c r="H23" s="602">
        <f>SUM(F23:G23)</f>
        <v>0</v>
      </c>
      <c r="I23" s="602">
        <f>SUM(C23+F23)</f>
        <v>2710038</v>
      </c>
      <c r="J23" s="602">
        <f>SUM(D23+G23)</f>
        <v>0</v>
      </c>
      <c r="K23" s="602">
        <f>SUM(E23+H23)</f>
        <v>2710038</v>
      </c>
      <c r="IS23" s="598"/>
      <c r="IT23" s="598"/>
    </row>
    <row r="24" spans="1:254" ht="31.5" x14ac:dyDescent="0.25">
      <c r="A24" s="593" t="s">
        <v>824</v>
      </c>
      <c r="B24" s="594" t="s">
        <v>485</v>
      </c>
      <c r="C24" s="595">
        <v>130452</v>
      </c>
      <c r="D24" s="595">
        <v>163966</v>
      </c>
      <c r="E24" s="595">
        <f>SUM(C24:D24)</f>
        <v>294418</v>
      </c>
      <c r="F24" s="595"/>
      <c r="G24" s="595"/>
      <c r="H24" s="595"/>
      <c r="I24" s="602">
        <f>SUM(C24+F24)</f>
        <v>130452</v>
      </c>
      <c r="J24" s="602">
        <f t="shared" ref="J24:J25" si="17">SUM(D24+G24)</f>
        <v>163966</v>
      </c>
      <c r="K24" s="595">
        <f t="shared" ref="K24" si="18">SUM(E24:H24)</f>
        <v>294418</v>
      </c>
      <c r="IS24" s="598"/>
      <c r="IT24" s="598"/>
    </row>
    <row r="25" spans="1:254" ht="16.5" thickBot="1" x14ac:dyDescent="0.3">
      <c r="A25" s="596" t="s">
        <v>486</v>
      </c>
      <c r="B25" s="597" t="s">
        <v>316</v>
      </c>
      <c r="C25" s="431">
        <v>11867289</v>
      </c>
      <c r="D25" s="431">
        <v>72842</v>
      </c>
      <c r="E25" s="431">
        <f>SUM(C25:D25)</f>
        <v>11940131</v>
      </c>
      <c r="F25" s="431"/>
      <c r="G25" s="431"/>
      <c r="H25" s="431"/>
      <c r="I25" s="602">
        <f>SUM(C25+F25)</f>
        <v>11867289</v>
      </c>
      <c r="J25" s="602">
        <f t="shared" si="17"/>
        <v>72842</v>
      </c>
      <c r="K25" s="595">
        <f t="shared" ref="K25" si="19">SUM(E25:H25)</f>
        <v>11940131</v>
      </c>
      <c r="IS25" s="598"/>
      <c r="IT25" s="598"/>
    </row>
    <row r="26" spans="1:254" ht="17.25" thickTop="1" thickBot="1" x14ac:dyDescent="0.3">
      <c r="A26" s="432" t="s">
        <v>487</v>
      </c>
      <c r="B26" s="433" t="s">
        <v>210</v>
      </c>
      <c r="C26" s="340">
        <f>SUM(C23:C25)</f>
        <v>14707779</v>
      </c>
      <c r="D26" s="340">
        <f>SUM(D23:D25)</f>
        <v>236808</v>
      </c>
      <c r="E26" s="340">
        <f>SUM(E23:E25)</f>
        <v>14944587</v>
      </c>
      <c r="F26" s="340">
        <f>SUM(F23:F24)</f>
        <v>0</v>
      </c>
      <c r="G26" s="340">
        <f>SUM(G23:G24)</f>
        <v>0</v>
      </c>
      <c r="H26" s="340">
        <f>SUM(H23:H24)</f>
        <v>0</v>
      </c>
      <c r="I26" s="340">
        <f>SUM(I23:I25)</f>
        <v>14707779</v>
      </c>
      <c r="J26" s="340">
        <f t="shared" ref="J26:K26" si="20">SUM(J23:J25)</f>
        <v>236808</v>
      </c>
      <c r="K26" s="340">
        <f t="shared" si="20"/>
        <v>14944587</v>
      </c>
      <c r="L26" s="603"/>
      <c r="M26" s="603"/>
      <c r="N26" s="603"/>
      <c r="O26" s="603"/>
      <c r="P26" s="603"/>
      <c r="Q26" s="603"/>
      <c r="R26" s="603"/>
      <c r="S26" s="603"/>
      <c r="T26" s="603"/>
      <c r="U26" s="603"/>
      <c r="V26" s="603"/>
      <c r="W26" s="603"/>
      <c r="X26" s="603"/>
      <c r="Y26" s="603"/>
      <c r="Z26" s="603"/>
      <c r="AA26" s="603"/>
      <c r="AB26" s="603"/>
      <c r="AC26" s="603"/>
      <c r="AD26" s="603"/>
      <c r="AE26" s="603"/>
      <c r="AF26" s="603"/>
      <c r="AG26" s="603"/>
      <c r="AH26" s="603"/>
      <c r="AI26" s="603"/>
      <c r="AJ26" s="603"/>
      <c r="AK26" s="603"/>
      <c r="AL26" s="603"/>
      <c r="AM26" s="603"/>
      <c r="AN26" s="603"/>
      <c r="AO26" s="603"/>
      <c r="AP26" s="603"/>
      <c r="AQ26" s="603"/>
      <c r="AR26" s="603"/>
      <c r="AS26" s="603"/>
      <c r="AT26" s="603"/>
      <c r="AU26" s="603"/>
      <c r="AV26" s="603"/>
      <c r="AW26" s="603"/>
      <c r="AX26" s="603"/>
      <c r="AY26" s="603"/>
      <c r="AZ26" s="603"/>
      <c r="BA26" s="603"/>
      <c r="BB26" s="603"/>
      <c r="BC26" s="603"/>
      <c r="BD26" s="603"/>
      <c r="BE26" s="603"/>
      <c r="BF26" s="603"/>
      <c r="BG26" s="603"/>
      <c r="BH26" s="603"/>
      <c r="BI26" s="603"/>
      <c r="BJ26" s="603"/>
      <c r="BK26" s="603"/>
      <c r="BL26" s="603"/>
      <c r="BM26" s="603"/>
      <c r="BN26" s="603"/>
      <c r="BO26" s="603"/>
      <c r="BP26" s="603"/>
      <c r="BQ26" s="603"/>
      <c r="BR26" s="603"/>
      <c r="BS26" s="603"/>
      <c r="BT26" s="603"/>
      <c r="BU26" s="603"/>
      <c r="BV26" s="603"/>
      <c r="BW26" s="603"/>
      <c r="BX26" s="603"/>
      <c r="BY26" s="603"/>
      <c r="BZ26" s="603"/>
      <c r="CA26" s="603"/>
      <c r="CB26" s="603"/>
      <c r="CC26" s="603"/>
      <c r="CD26" s="603"/>
      <c r="CE26" s="603"/>
      <c r="CF26" s="603"/>
      <c r="CG26" s="603"/>
      <c r="CH26" s="603"/>
      <c r="CI26" s="603"/>
      <c r="CJ26" s="603"/>
      <c r="CK26" s="603"/>
      <c r="CL26" s="603"/>
      <c r="CM26" s="603"/>
      <c r="CN26" s="603"/>
      <c r="CO26" s="603"/>
      <c r="CP26" s="603"/>
      <c r="CQ26" s="603"/>
      <c r="CR26" s="603"/>
      <c r="CS26" s="603"/>
      <c r="CT26" s="603"/>
      <c r="CU26" s="603"/>
      <c r="CV26" s="603"/>
      <c r="CW26" s="603"/>
      <c r="CX26" s="603"/>
      <c r="CY26" s="603"/>
      <c r="CZ26" s="603"/>
      <c r="DA26" s="603"/>
      <c r="DB26" s="603"/>
      <c r="DC26" s="603"/>
      <c r="DD26" s="603"/>
      <c r="DE26" s="603"/>
      <c r="DF26" s="603"/>
      <c r="DG26" s="603"/>
      <c r="DH26" s="603"/>
      <c r="DI26" s="603"/>
      <c r="DJ26" s="603"/>
      <c r="DK26" s="603"/>
      <c r="DL26" s="603"/>
      <c r="DM26" s="603"/>
      <c r="DN26" s="603"/>
      <c r="DO26" s="603"/>
      <c r="DP26" s="603"/>
      <c r="DQ26" s="603"/>
      <c r="DR26" s="603"/>
      <c r="DS26" s="603"/>
      <c r="DT26" s="603"/>
      <c r="DU26" s="603"/>
      <c r="DV26" s="603"/>
      <c r="DW26" s="603"/>
      <c r="DX26" s="603"/>
      <c r="DY26" s="603"/>
      <c r="DZ26" s="603"/>
      <c r="EA26" s="603"/>
      <c r="EB26" s="603"/>
      <c r="EC26" s="603"/>
      <c r="ED26" s="603"/>
      <c r="EE26" s="603"/>
      <c r="EF26" s="603"/>
      <c r="EG26" s="603"/>
      <c r="EH26" s="603"/>
      <c r="EI26" s="603"/>
      <c r="EJ26" s="603"/>
      <c r="EK26" s="603"/>
      <c r="EL26" s="603"/>
      <c r="EM26" s="603"/>
      <c r="EN26" s="603"/>
      <c r="EO26" s="603"/>
      <c r="EP26" s="603"/>
      <c r="EQ26" s="603"/>
      <c r="ER26" s="603"/>
      <c r="ES26" s="603"/>
      <c r="ET26" s="603"/>
      <c r="EU26" s="603"/>
      <c r="EV26" s="603"/>
      <c r="EW26" s="603"/>
      <c r="EX26" s="603"/>
      <c r="EY26" s="603"/>
      <c r="EZ26" s="603"/>
      <c r="FA26" s="603"/>
      <c r="FB26" s="603"/>
      <c r="FC26" s="603"/>
      <c r="FD26" s="603"/>
      <c r="FE26" s="603"/>
      <c r="FF26" s="603"/>
      <c r="FG26" s="603"/>
      <c r="FH26" s="603"/>
      <c r="FI26" s="603"/>
      <c r="FJ26" s="603"/>
      <c r="FK26" s="603"/>
      <c r="FL26" s="603"/>
      <c r="FM26" s="603"/>
      <c r="FN26" s="603"/>
      <c r="FO26" s="603"/>
      <c r="FP26" s="603"/>
      <c r="FQ26" s="603"/>
      <c r="FR26" s="603"/>
      <c r="FS26" s="603"/>
      <c r="FT26" s="603"/>
      <c r="FU26" s="603"/>
      <c r="FV26" s="603"/>
      <c r="FW26" s="603"/>
      <c r="FX26" s="603"/>
      <c r="FY26" s="603"/>
      <c r="FZ26" s="603"/>
      <c r="GA26" s="603"/>
      <c r="GB26" s="603"/>
      <c r="GC26" s="603"/>
      <c r="GD26" s="603"/>
      <c r="GE26" s="603"/>
      <c r="GF26" s="603"/>
      <c r="GG26" s="603"/>
      <c r="GH26" s="603"/>
      <c r="GI26" s="603"/>
      <c r="GJ26" s="603"/>
      <c r="GK26" s="603"/>
      <c r="GL26" s="603"/>
      <c r="GM26" s="603"/>
      <c r="GN26" s="603"/>
      <c r="GO26" s="603"/>
      <c r="GP26" s="603"/>
      <c r="GQ26" s="603"/>
      <c r="GR26" s="603"/>
      <c r="GS26" s="603"/>
      <c r="GT26" s="603"/>
      <c r="GU26" s="603"/>
      <c r="GV26" s="603"/>
      <c r="GW26" s="603"/>
      <c r="GX26" s="603"/>
      <c r="GY26" s="603"/>
      <c r="GZ26" s="603"/>
      <c r="HA26" s="603"/>
      <c r="HB26" s="603"/>
      <c r="HC26" s="603"/>
      <c r="HD26" s="603"/>
      <c r="HE26" s="603"/>
      <c r="HF26" s="603"/>
      <c r="HG26" s="603"/>
      <c r="HH26" s="603"/>
      <c r="HI26" s="603"/>
      <c r="HJ26" s="603"/>
      <c r="HK26" s="603"/>
      <c r="HL26" s="603"/>
      <c r="HM26" s="603"/>
      <c r="HN26" s="603"/>
      <c r="HO26" s="603"/>
      <c r="HP26" s="603"/>
      <c r="HQ26" s="603"/>
      <c r="HR26" s="603"/>
      <c r="HS26" s="603"/>
      <c r="HT26" s="603"/>
      <c r="HU26" s="603"/>
      <c r="HV26" s="603"/>
      <c r="HW26" s="603"/>
      <c r="HX26" s="603"/>
      <c r="HY26" s="603"/>
      <c r="HZ26" s="603"/>
      <c r="IA26" s="603"/>
      <c r="IB26" s="603"/>
      <c r="IC26" s="603"/>
      <c r="ID26" s="603"/>
      <c r="IE26" s="603"/>
      <c r="IF26" s="603"/>
      <c r="IG26" s="603"/>
      <c r="IH26" s="603"/>
      <c r="II26" s="603"/>
      <c r="IJ26" s="603"/>
      <c r="IK26" s="603"/>
      <c r="IL26" s="603"/>
      <c r="IM26" s="603"/>
      <c r="IN26" s="603"/>
      <c r="IO26" s="603"/>
      <c r="IP26" s="603"/>
      <c r="IQ26" s="603"/>
      <c r="IR26" s="603"/>
      <c r="IS26" s="598"/>
      <c r="IT26" s="598"/>
    </row>
    <row r="27" spans="1:254" ht="17.25" thickTop="1" thickBot="1" x14ac:dyDescent="0.3">
      <c r="A27" s="258" t="s">
        <v>352</v>
      </c>
      <c r="B27" s="259"/>
      <c r="C27" s="260"/>
      <c r="D27" s="260"/>
      <c r="E27" s="260">
        <v>0</v>
      </c>
      <c r="F27" s="261">
        <v>1968.93</v>
      </c>
      <c r="G27" s="261">
        <v>10</v>
      </c>
      <c r="H27" s="261">
        <f>SUM(F27:G27)</f>
        <v>1978.93</v>
      </c>
      <c r="I27" s="261">
        <f>F27</f>
        <v>1968.93</v>
      </c>
      <c r="J27" s="261">
        <f t="shared" ref="J27:K27" si="21">G27</f>
        <v>10</v>
      </c>
      <c r="K27" s="261">
        <f t="shared" si="21"/>
        <v>1978.93</v>
      </c>
      <c r="L27" s="262"/>
      <c r="M27" s="262"/>
      <c r="N27" s="262"/>
      <c r="O27" s="262"/>
      <c r="P27" s="262"/>
      <c r="Q27" s="262"/>
      <c r="R27" s="262"/>
      <c r="S27" s="262"/>
      <c r="T27" s="262"/>
      <c r="U27" s="262"/>
      <c r="V27" s="262"/>
      <c r="W27" s="262"/>
      <c r="X27" s="262"/>
      <c r="Y27" s="262"/>
      <c r="Z27" s="262"/>
      <c r="AA27" s="262"/>
      <c r="AB27" s="262"/>
      <c r="AC27" s="262"/>
      <c r="AD27" s="262"/>
      <c r="AE27" s="262"/>
      <c r="AF27" s="262"/>
      <c r="AG27" s="262"/>
      <c r="AH27" s="262"/>
      <c r="AI27" s="262"/>
      <c r="AJ27" s="262"/>
      <c r="AK27" s="262"/>
      <c r="AL27" s="262"/>
      <c r="AM27" s="262"/>
      <c r="AN27" s="262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62"/>
      <c r="BH27" s="262"/>
      <c r="BI27" s="262"/>
      <c r="BJ27" s="262"/>
      <c r="BK27" s="262"/>
      <c r="BL27" s="262"/>
      <c r="BM27" s="262"/>
      <c r="BN27" s="262"/>
      <c r="BO27" s="262"/>
      <c r="BP27" s="262"/>
      <c r="BQ27" s="262"/>
      <c r="BR27" s="262"/>
      <c r="BS27" s="262"/>
      <c r="BT27" s="262"/>
      <c r="BU27" s="262"/>
      <c r="BV27" s="262"/>
      <c r="BW27" s="262"/>
      <c r="BX27" s="262"/>
      <c r="BY27" s="262"/>
      <c r="BZ27" s="262"/>
      <c r="CA27" s="262"/>
      <c r="CB27" s="262"/>
      <c r="CC27" s="262"/>
      <c r="CD27" s="262"/>
      <c r="CE27" s="262"/>
      <c r="CF27" s="262"/>
      <c r="CG27" s="262"/>
      <c r="CH27" s="262"/>
      <c r="CI27" s="262"/>
      <c r="CJ27" s="262"/>
      <c r="CK27" s="262"/>
      <c r="CL27" s="262"/>
      <c r="CM27" s="262"/>
      <c r="CN27" s="262"/>
      <c r="CO27" s="262"/>
      <c r="CP27" s="262"/>
      <c r="CQ27" s="262"/>
      <c r="CR27" s="262"/>
      <c r="CS27" s="262"/>
      <c r="CT27" s="262"/>
      <c r="CU27" s="262"/>
      <c r="CV27" s="262"/>
      <c r="CW27" s="262"/>
      <c r="CX27" s="262"/>
      <c r="CY27" s="262"/>
      <c r="CZ27" s="262"/>
      <c r="DA27" s="262"/>
      <c r="DB27" s="262"/>
      <c r="DC27" s="262"/>
      <c r="DD27" s="262"/>
      <c r="DE27" s="262"/>
      <c r="DF27" s="262"/>
      <c r="DG27" s="262"/>
      <c r="DH27" s="262"/>
      <c r="DI27" s="262"/>
      <c r="DJ27" s="262"/>
      <c r="DK27" s="262"/>
      <c r="DL27" s="262"/>
      <c r="DM27" s="262"/>
      <c r="DN27" s="262"/>
      <c r="DO27" s="262"/>
      <c r="DP27" s="262"/>
      <c r="DQ27" s="262"/>
      <c r="DR27" s="262"/>
      <c r="DS27" s="262"/>
      <c r="DT27" s="262"/>
      <c r="DU27" s="262"/>
      <c r="DV27" s="262"/>
      <c r="DW27" s="262"/>
      <c r="DX27" s="262"/>
      <c r="DY27" s="262"/>
      <c r="DZ27" s="262"/>
      <c r="EA27" s="262"/>
      <c r="EB27" s="262"/>
      <c r="EC27" s="262"/>
      <c r="ED27" s="262"/>
      <c r="EE27" s="262"/>
      <c r="EF27" s="262"/>
      <c r="EG27" s="262"/>
      <c r="EH27" s="262"/>
      <c r="EI27" s="262"/>
      <c r="EJ27" s="262"/>
      <c r="EK27" s="262"/>
      <c r="EL27" s="262"/>
      <c r="EM27" s="262"/>
      <c r="EN27" s="262"/>
      <c r="EO27" s="262"/>
      <c r="EP27" s="262"/>
      <c r="EQ27" s="262"/>
      <c r="ER27" s="262"/>
      <c r="ES27" s="262"/>
      <c r="ET27" s="262"/>
      <c r="EU27" s="262"/>
      <c r="EV27" s="262"/>
      <c r="EW27" s="262"/>
      <c r="EX27" s="262"/>
      <c r="EY27" s="262"/>
      <c r="EZ27" s="262"/>
      <c r="FA27" s="262"/>
      <c r="FB27" s="262"/>
      <c r="FC27" s="262"/>
      <c r="FD27" s="262"/>
      <c r="FE27" s="262"/>
      <c r="FF27" s="262"/>
      <c r="FG27" s="262"/>
      <c r="FH27" s="262"/>
      <c r="FI27" s="262"/>
      <c r="FJ27" s="262"/>
      <c r="FK27" s="262"/>
      <c r="FL27" s="262"/>
      <c r="FM27" s="262"/>
      <c r="FN27" s="262"/>
      <c r="FO27" s="262"/>
      <c r="FP27" s="262"/>
      <c r="FQ27" s="262"/>
      <c r="FR27" s="262"/>
      <c r="FS27" s="262"/>
      <c r="FT27" s="262"/>
      <c r="FU27" s="262"/>
      <c r="FV27" s="262"/>
      <c r="FW27" s="262"/>
      <c r="FX27" s="262"/>
      <c r="FY27" s="262"/>
      <c r="FZ27" s="262"/>
      <c r="GA27" s="262"/>
      <c r="GB27" s="262"/>
      <c r="GC27" s="262"/>
      <c r="GD27" s="262"/>
      <c r="GE27" s="262"/>
      <c r="GF27" s="262"/>
      <c r="GG27" s="262"/>
      <c r="GH27" s="262"/>
      <c r="GI27" s="262"/>
      <c r="GJ27" s="262"/>
      <c r="GK27" s="262"/>
      <c r="GL27" s="262"/>
      <c r="GM27" s="262"/>
      <c r="GN27" s="262"/>
      <c r="GO27" s="262"/>
      <c r="GP27" s="262"/>
      <c r="GQ27" s="262"/>
      <c r="GR27" s="262"/>
      <c r="GS27" s="262"/>
      <c r="GT27" s="262"/>
      <c r="GU27" s="262"/>
      <c r="GV27" s="262"/>
      <c r="GW27" s="262"/>
      <c r="GX27" s="262"/>
      <c r="GY27" s="262"/>
      <c r="GZ27" s="262"/>
      <c r="HA27" s="262"/>
      <c r="HB27" s="262"/>
      <c r="HC27" s="262"/>
      <c r="HD27" s="262"/>
      <c r="HE27" s="262"/>
      <c r="HF27" s="262"/>
      <c r="HG27" s="262"/>
      <c r="HH27" s="262"/>
      <c r="HI27" s="262"/>
      <c r="HJ27" s="262"/>
      <c r="HK27" s="262"/>
      <c r="HL27" s="262"/>
      <c r="HM27" s="262"/>
      <c r="HN27" s="262"/>
      <c r="HO27" s="262"/>
      <c r="HP27" s="262"/>
      <c r="HQ27" s="262"/>
      <c r="HR27" s="262"/>
      <c r="HS27" s="262"/>
      <c r="HT27" s="262"/>
      <c r="HU27" s="262"/>
      <c r="HV27" s="262"/>
      <c r="HW27" s="262"/>
      <c r="HX27" s="262"/>
      <c r="HY27" s="262"/>
      <c r="HZ27" s="262"/>
      <c r="IA27" s="262"/>
      <c r="IB27" s="262"/>
      <c r="IC27" s="262"/>
      <c r="ID27" s="262"/>
      <c r="IE27" s="262"/>
      <c r="IF27" s="262"/>
      <c r="IG27" s="262"/>
      <c r="IH27" s="262"/>
      <c r="II27" s="262"/>
      <c r="IJ27" s="262"/>
      <c r="IK27" s="262"/>
      <c r="IL27" s="262"/>
      <c r="IM27" s="262"/>
      <c r="IN27" s="262"/>
      <c r="IO27" s="262"/>
      <c r="IP27" s="262"/>
      <c r="IQ27" s="262"/>
      <c r="IR27" s="262"/>
      <c r="IS27" s="598"/>
      <c r="IT27" s="598"/>
    </row>
    <row r="28" spans="1:254" ht="16.5" thickTop="1" x14ac:dyDescent="0.25">
      <c r="A28" s="333"/>
      <c r="B28" s="333"/>
      <c r="C28" s="74"/>
      <c r="D28" s="74"/>
      <c r="E28" s="74"/>
      <c r="F28" s="74"/>
      <c r="G28" s="74"/>
      <c r="H28" s="74"/>
    </row>
    <row r="29" spans="1:254" x14ac:dyDescent="0.25">
      <c r="A29" s="333"/>
      <c r="B29" s="333"/>
      <c r="C29" s="74"/>
      <c r="D29" s="74"/>
      <c r="E29" s="74"/>
      <c r="F29" s="74"/>
      <c r="G29" s="74"/>
      <c r="H29" s="74"/>
    </row>
    <row r="30" spans="1:254" x14ac:dyDescent="0.25">
      <c r="A30" s="333"/>
      <c r="B30" s="333"/>
      <c r="C30" s="74"/>
      <c r="D30" s="74"/>
      <c r="E30" s="74"/>
      <c r="F30" s="74"/>
      <c r="G30" s="74"/>
      <c r="H30" s="74"/>
    </row>
    <row r="31" spans="1:254" x14ac:dyDescent="0.25">
      <c r="A31" s="333"/>
      <c r="B31" s="333"/>
      <c r="C31" s="74"/>
      <c r="D31" s="74"/>
      <c r="E31" s="74"/>
      <c r="F31" s="74"/>
      <c r="G31" s="74"/>
      <c r="H31" s="74"/>
    </row>
    <row r="32" spans="1:254" x14ac:dyDescent="0.25">
      <c r="A32" s="333"/>
      <c r="B32" s="333"/>
      <c r="C32" s="74"/>
      <c r="D32" s="74"/>
      <c r="E32" s="74"/>
      <c r="F32" s="74"/>
      <c r="G32" s="74"/>
      <c r="H32" s="74"/>
    </row>
    <row r="33" spans="1:8" x14ac:dyDescent="0.25">
      <c r="A33" s="333"/>
      <c r="B33" s="333"/>
      <c r="C33" s="74"/>
      <c r="D33" s="74"/>
      <c r="E33" s="74"/>
      <c r="F33" s="74"/>
      <c r="G33" s="74"/>
      <c r="H33" s="74"/>
    </row>
    <row r="34" spans="1:8" x14ac:dyDescent="0.25">
      <c r="A34" s="333"/>
      <c r="B34" s="333"/>
      <c r="C34" s="74"/>
      <c r="D34" s="74"/>
      <c r="E34" s="74"/>
      <c r="F34" s="74"/>
      <c r="G34" s="74"/>
      <c r="H34" s="74"/>
    </row>
    <row r="35" spans="1:8" x14ac:dyDescent="0.25">
      <c r="A35" s="333"/>
      <c r="B35" s="333"/>
      <c r="C35" s="74"/>
      <c r="D35" s="74"/>
      <c r="E35" s="74"/>
      <c r="F35" s="74"/>
      <c r="G35" s="74"/>
      <c r="H35" s="74"/>
    </row>
    <row r="36" spans="1:8" x14ac:dyDescent="0.25">
      <c r="A36" s="333"/>
      <c r="B36" s="333"/>
      <c r="C36" s="74"/>
      <c r="D36" s="74"/>
      <c r="E36" s="74"/>
      <c r="F36" s="74"/>
      <c r="G36" s="74"/>
      <c r="H36" s="74"/>
    </row>
    <row r="37" spans="1:8" x14ac:dyDescent="0.25">
      <c r="A37" s="29"/>
      <c r="B37" s="29"/>
      <c r="C37" s="74"/>
      <c r="D37" s="74"/>
      <c r="E37" s="74"/>
      <c r="F37" s="74"/>
      <c r="G37" s="74"/>
      <c r="H37" s="74"/>
    </row>
    <row r="38" spans="1:8" x14ac:dyDescent="0.25">
      <c r="C38" s="380"/>
      <c r="D38" s="380"/>
      <c r="E38" s="380"/>
    </row>
  </sheetData>
  <mergeCells count="8">
    <mergeCell ref="A1:K1"/>
    <mergeCell ref="A2:K2"/>
    <mergeCell ref="A3:K3"/>
    <mergeCell ref="A6:A7"/>
    <mergeCell ref="B6:B7"/>
    <mergeCell ref="C6:E6"/>
    <mergeCell ref="F6:H6"/>
    <mergeCell ref="I6:K6"/>
  </mergeCells>
  <pageMargins left="0.51181102362204722" right="0.51181102362204722" top="0.94488188976377963" bottom="0.74803149606299213" header="0.31496062992125984" footer="0.31496062992125984"/>
  <pageSetup paperSize="9" scale="71" orientation="landscape" r:id="rId1"/>
  <headerFooter>
    <oddHeader>&amp;R&amp;"Times New Roman CE,Félkövér"&amp;11 4. melléklet a 6/2020.(II.24.) önkormányzati rendelethez&amp;"Times New Roman CE,Dőlt"&amp;10
4. melléklet
az 5/2019.(II.15.) önkormányzati rendelethez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C23"/>
  <sheetViews>
    <sheetView topLeftCell="A4" workbookViewId="0">
      <selection activeCell="C20" sqref="C20"/>
    </sheetView>
  </sheetViews>
  <sheetFormatPr defaultRowHeight="15.75" x14ac:dyDescent="0.25"/>
  <cols>
    <col min="1" max="1" width="44.5" style="603" customWidth="1"/>
    <col min="2" max="2" width="14.25" style="262" customWidth="1"/>
    <col min="3" max="3" width="16.125" style="615" customWidth="1"/>
    <col min="4" max="16384" width="9" style="598"/>
  </cols>
  <sheetData>
    <row r="1" spans="1:3" x14ac:dyDescent="0.25">
      <c r="A1" s="1003" t="s">
        <v>223</v>
      </c>
      <c r="B1" s="1003"/>
      <c r="C1" s="1003"/>
    </row>
    <row r="2" spans="1:3" x14ac:dyDescent="0.25">
      <c r="A2" s="1003" t="s">
        <v>684</v>
      </c>
      <c r="B2" s="1003"/>
      <c r="C2" s="1003"/>
    </row>
    <row r="3" spans="1:3" x14ac:dyDescent="0.25">
      <c r="A3" s="1003" t="s">
        <v>983</v>
      </c>
      <c r="B3" s="1003"/>
      <c r="C3" s="1003"/>
    </row>
    <row r="5" spans="1:3" ht="16.5" thickBot="1" x14ac:dyDescent="0.3"/>
    <row r="6" spans="1:3" ht="17.25" customHeight="1" thickTop="1" thickBot="1" x14ac:dyDescent="0.3">
      <c r="A6" s="616" t="s">
        <v>137</v>
      </c>
      <c r="B6" s="604" t="s">
        <v>154</v>
      </c>
      <c r="C6" s="617" t="s">
        <v>144</v>
      </c>
    </row>
    <row r="7" spans="1:3" ht="16.5" thickTop="1" x14ac:dyDescent="0.25">
      <c r="A7" s="605" t="s">
        <v>218</v>
      </c>
      <c r="B7" s="606" t="s">
        <v>224</v>
      </c>
      <c r="C7" s="607">
        <f>'3 bevétel(szűkített)'!K52</f>
        <v>50897474</v>
      </c>
    </row>
    <row r="8" spans="1:3" x14ac:dyDescent="0.25">
      <c r="A8" s="618" t="s">
        <v>225</v>
      </c>
      <c r="B8" s="608"/>
      <c r="C8" s="444">
        <f>'3 bevétel(szűkített)'!K58</f>
        <v>18242173</v>
      </c>
    </row>
    <row r="9" spans="1:3" x14ac:dyDescent="0.25">
      <c r="A9" s="600" t="s">
        <v>308</v>
      </c>
      <c r="B9" s="609"/>
      <c r="C9" s="91">
        <f>'3 bevétel(szűkített)'!K60</f>
        <v>11940131</v>
      </c>
    </row>
    <row r="10" spans="1:3" ht="31.5" x14ac:dyDescent="0.25">
      <c r="A10" s="600" t="s">
        <v>490</v>
      </c>
      <c r="B10" s="609"/>
      <c r="C10" s="91">
        <f>'3 bevétel(szűkített)'!K61</f>
        <v>5305493</v>
      </c>
    </row>
    <row r="11" spans="1:3" x14ac:dyDescent="0.25">
      <c r="A11" s="600" t="s">
        <v>1128</v>
      </c>
      <c r="B11" s="609"/>
      <c r="C11" s="91">
        <f>+'3 bevétel(szűkített)'!K59</f>
        <v>163966</v>
      </c>
    </row>
    <row r="12" spans="1:3" s="611" customFormat="1" x14ac:dyDescent="0.25">
      <c r="A12" s="423" t="s">
        <v>1129</v>
      </c>
      <c r="B12" s="610" t="s">
        <v>174</v>
      </c>
      <c r="C12" s="91">
        <f>SUM(C8:C11)</f>
        <v>35651763</v>
      </c>
    </row>
    <row r="13" spans="1:3" x14ac:dyDescent="0.25">
      <c r="A13" s="601"/>
      <c r="B13" s="423"/>
      <c r="C13" s="91"/>
    </row>
    <row r="14" spans="1:3" s="611" customFormat="1" x14ac:dyDescent="0.25">
      <c r="A14" s="423" t="s">
        <v>219</v>
      </c>
      <c r="B14" s="423" t="s">
        <v>164</v>
      </c>
      <c r="C14" s="91">
        <f>'4 kiadás(szűkített)'!K22</f>
        <v>71604650</v>
      </c>
    </row>
    <row r="15" spans="1:3" x14ac:dyDescent="0.25">
      <c r="A15" s="600" t="s">
        <v>491</v>
      </c>
      <c r="B15" s="73"/>
      <c r="C15" s="91">
        <f>'4 kiadás(szűkített)'!K23</f>
        <v>2710038</v>
      </c>
    </row>
    <row r="16" spans="1:3" ht="31.5" x14ac:dyDescent="0.25">
      <c r="A16" s="593" t="s">
        <v>492</v>
      </c>
      <c r="B16" s="90"/>
      <c r="C16" s="91">
        <f>'4 kiadás(szűkített)'!K24</f>
        <v>294418</v>
      </c>
    </row>
    <row r="17" spans="1:3" x14ac:dyDescent="0.25">
      <c r="A17" s="593" t="s">
        <v>493</v>
      </c>
      <c r="B17" s="90"/>
      <c r="C17" s="91">
        <f>'4 kiadás(szűkített)'!K25</f>
        <v>11940131</v>
      </c>
    </row>
    <row r="18" spans="1:3" x14ac:dyDescent="0.25">
      <c r="A18" s="90" t="s">
        <v>494</v>
      </c>
      <c r="B18" s="90" t="s">
        <v>210</v>
      </c>
      <c r="C18" s="612">
        <f>SUM(C15+C16+C17)</f>
        <v>14944587</v>
      </c>
    </row>
    <row r="19" spans="1:3" x14ac:dyDescent="0.25">
      <c r="A19" s="601"/>
      <c r="B19" s="423"/>
      <c r="C19" s="602"/>
    </row>
    <row r="20" spans="1:3" s="611" customFormat="1" x14ac:dyDescent="0.25">
      <c r="A20" s="423" t="s">
        <v>220</v>
      </c>
      <c r="B20" s="423"/>
      <c r="C20" s="91">
        <f>SUM(C7-C14)</f>
        <v>-20707176</v>
      </c>
    </row>
    <row r="21" spans="1:3" s="611" customFormat="1" x14ac:dyDescent="0.25">
      <c r="A21" s="423" t="s">
        <v>221</v>
      </c>
      <c r="B21" s="423"/>
      <c r="C21" s="91">
        <f>SUM(C12-C18)</f>
        <v>20707176</v>
      </c>
    </row>
    <row r="22" spans="1:3" s="611" customFormat="1" ht="16.5" thickBot="1" x14ac:dyDescent="0.3">
      <c r="A22" s="613" t="s">
        <v>222</v>
      </c>
      <c r="B22" s="613"/>
      <c r="C22" s="614">
        <f>SUM(C20+C21)</f>
        <v>0</v>
      </c>
    </row>
    <row r="23" spans="1:3" ht="16.5" thickTop="1" x14ac:dyDescent="0.25"/>
  </sheetData>
  <mergeCells count="3">
    <mergeCell ref="A1:C1"/>
    <mergeCell ref="A2:C2"/>
    <mergeCell ref="A3:C3"/>
  </mergeCells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&amp;R&amp;"Times New Roman CE,Félkövér"&amp;10 5. melléklet a 6/2020.(II.24.) önkormányzati rendelethez&amp;"Times New Roman CE,Dőlt"
5. melléklet
az 5/2019.(II.15.) önkormányzati rendelethez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E15A5-02CE-4DE1-A408-0468BE6BAF9E}">
  <sheetPr>
    <tabColor rgb="FF00B0F0"/>
  </sheetPr>
  <dimension ref="A1:P488"/>
  <sheetViews>
    <sheetView view="pageBreakPreview" zoomScale="66" zoomScaleNormal="79" zoomScaleSheetLayoutView="66" workbookViewId="0">
      <pane xSplit="2" ySplit="4" topLeftCell="C404" activePane="bottomRight" state="frozen"/>
      <selection pane="topRight" activeCell="C1" sqref="C1"/>
      <selection pane="bottomLeft" activeCell="A5" sqref="A5"/>
      <selection pane="bottomRight" activeCell="A438" sqref="A438:O439"/>
    </sheetView>
  </sheetViews>
  <sheetFormatPr defaultColWidth="8" defaultRowHeight="15.75" x14ac:dyDescent="0.25"/>
  <cols>
    <col min="1" max="1" width="3.125" style="682" customWidth="1"/>
    <col min="2" max="2" width="38.25" style="683" customWidth="1"/>
    <col min="3" max="3" width="15.75" style="671" customWidth="1"/>
    <col min="4" max="4" width="16.875" style="671" customWidth="1"/>
    <col min="5" max="5" width="11.75" style="671" customWidth="1"/>
    <col min="6" max="6" width="10.125" style="671" customWidth="1"/>
    <col min="7" max="7" width="12.625" style="671" customWidth="1"/>
    <col min="8" max="8" width="13.25" style="671" customWidth="1"/>
    <col min="9" max="9" width="12.375" style="671" customWidth="1"/>
    <col min="10" max="10" width="13.75" style="671" customWidth="1"/>
    <col min="11" max="11" width="13.375" style="671" customWidth="1"/>
    <col min="12" max="12" width="14" style="671" customWidth="1"/>
    <col min="13" max="13" width="14.875" style="671" customWidth="1"/>
    <col min="14" max="14" width="12.5" style="671" customWidth="1"/>
    <col min="15" max="15" width="11.125" style="671" customWidth="1"/>
    <col min="16" max="16" width="10.25" style="671" customWidth="1"/>
    <col min="17" max="17" width="9.25" style="671" bestFit="1" customWidth="1"/>
    <col min="18" max="16384" width="8" style="671"/>
  </cols>
  <sheetData>
    <row r="1" spans="1:16" ht="21.75" customHeight="1" thickBot="1" x14ac:dyDescent="0.3">
      <c r="A1" s="1018" t="s">
        <v>447</v>
      </c>
      <c r="B1" s="1016" t="s">
        <v>446</v>
      </c>
      <c r="C1" s="1016" t="s">
        <v>260</v>
      </c>
      <c r="D1" s="1016" t="s">
        <v>261</v>
      </c>
      <c r="E1" s="1016" t="s">
        <v>445</v>
      </c>
      <c r="F1" s="1016" t="s">
        <v>53</v>
      </c>
      <c r="G1" s="1016" t="s">
        <v>58</v>
      </c>
      <c r="H1" s="1016" t="s">
        <v>262</v>
      </c>
      <c r="I1" s="1016" t="s">
        <v>263</v>
      </c>
      <c r="J1" s="1016" t="s">
        <v>463</v>
      </c>
      <c r="K1" s="1016" t="s">
        <v>464</v>
      </c>
      <c r="L1" s="1016" t="s">
        <v>444</v>
      </c>
      <c r="M1" s="1021" t="s">
        <v>443</v>
      </c>
      <c r="N1" s="1022"/>
      <c r="O1" s="1016" t="s">
        <v>442</v>
      </c>
    </row>
    <row r="2" spans="1:16" ht="33.75" customHeight="1" thickBot="1" x14ac:dyDescent="0.3">
      <c r="A2" s="1019"/>
      <c r="B2" s="1017"/>
      <c r="C2" s="1017"/>
      <c r="D2" s="1017"/>
      <c r="E2" s="1017"/>
      <c r="F2" s="1017"/>
      <c r="G2" s="1017"/>
      <c r="H2" s="1017"/>
      <c r="I2" s="1017"/>
      <c r="J2" s="1017"/>
      <c r="K2" s="1017"/>
      <c r="L2" s="1017"/>
      <c r="M2" s="619" t="s">
        <v>441</v>
      </c>
      <c r="N2" s="620" t="s">
        <v>264</v>
      </c>
      <c r="O2" s="1017"/>
    </row>
    <row r="3" spans="1:16" thickBot="1" x14ac:dyDescent="0.3">
      <c r="A3" s="1020"/>
      <c r="B3" s="621"/>
      <c r="C3" s="622" t="s">
        <v>165</v>
      </c>
      <c r="D3" s="622" t="s">
        <v>166</v>
      </c>
      <c r="E3" s="622" t="s">
        <v>167</v>
      </c>
      <c r="F3" s="622" t="s">
        <v>168</v>
      </c>
      <c r="G3" s="622" t="s">
        <v>169</v>
      </c>
      <c r="H3" s="622" t="s">
        <v>170</v>
      </c>
      <c r="I3" s="622" t="s">
        <v>171</v>
      </c>
      <c r="J3" s="623" t="s">
        <v>440</v>
      </c>
      <c r="K3" s="624" t="s">
        <v>439</v>
      </c>
      <c r="L3" s="622" t="s">
        <v>438</v>
      </c>
      <c r="M3" s="1023" t="s">
        <v>174</v>
      </c>
      <c r="N3" s="1024"/>
      <c r="O3" s="625" t="s">
        <v>437</v>
      </c>
    </row>
    <row r="4" spans="1:16" ht="17.25" thickTop="1" thickBot="1" x14ac:dyDescent="0.3">
      <c r="A4" s="626"/>
      <c r="B4" s="627" t="s">
        <v>139</v>
      </c>
      <c r="C4" s="628" t="s">
        <v>140</v>
      </c>
      <c r="D4" s="628" t="s">
        <v>141</v>
      </c>
      <c r="E4" s="628" t="s">
        <v>142</v>
      </c>
      <c r="F4" s="628" t="s">
        <v>143</v>
      </c>
      <c r="G4" s="628" t="s">
        <v>436</v>
      </c>
      <c r="H4" s="628" t="s">
        <v>34</v>
      </c>
      <c r="I4" s="628" t="s">
        <v>35</v>
      </c>
      <c r="J4" s="628" t="s">
        <v>435</v>
      </c>
      <c r="K4" s="628" t="s">
        <v>434</v>
      </c>
      <c r="L4" s="628" t="s">
        <v>433</v>
      </c>
      <c r="M4" s="1025" t="s">
        <v>39</v>
      </c>
      <c r="N4" s="1026"/>
      <c r="O4" s="629" t="s">
        <v>265</v>
      </c>
    </row>
    <row r="5" spans="1:16" ht="16.5" thickTop="1" x14ac:dyDescent="0.25">
      <c r="A5" s="630" t="s">
        <v>145</v>
      </c>
      <c r="B5" s="672" t="s">
        <v>432</v>
      </c>
      <c r="C5" s="672"/>
      <c r="D5" s="672"/>
      <c r="E5" s="672"/>
      <c r="F5" s="672"/>
      <c r="G5" s="672"/>
      <c r="H5" s="672"/>
      <c r="I5" s="672"/>
      <c r="J5" s="672"/>
      <c r="K5" s="672"/>
      <c r="L5" s="672"/>
      <c r="M5" s="672"/>
      <c r="N5" s="672"/>
      <c r="O5" s="672"/>
    </row>
    <row r="6" spans="1:16" x14ac:dyDescent="0.25">
      <c r="A6" s="630"/>
      <c r="B6" s="673" t="s">
        <v>363</v>
      </c>
      <c r="C6" s="673">
        <v>477122</v>
      </c>
      <c r="D6" s="673"/>
      <c r="E6" s="673"/>
      <c r="F6" s="673">
        <v>31519</v>
      </c>
      <c r="G6" s="673"/>
      <c r="H6" s="673"/>
      <c r="I6" s="673"/>
      <c r="J6" s="673">
        <f>SUM(C6+E6+F6+H6)</f>
        <v>508641</v>
      </c>
      <c r="K6" s="673">
        <f>SUM(D6+G6+I6)</f>
        <v>0</v>
      </c>
      <c r="L6" s="673">
        <f>SUM(J6:K6)</f>
        <v>508641</v>
      </c>
      <c r="M6" s="673">
        <v>315333</v>
      </c>
      <c r="N6" s="673">
        <v>115033</v>
      </c>
      <c r="O6" s="673">
        <f>SUM(L6:N6)</f>
        <v>939007</v>
      </c>
    </row>
    <row r="7" spans="1:16" s="674" customFormat="1" x14ac:dyDescent="0.25">
      <c r="A7" s="631"/>
      <c r="B7" s="632" t="s">
        <v>402</v>
      </c>
      <c r="C7" s="632">
        <v>375434</v>
      </c>
      <c r="D7" s="632"/>
      <c r="E7" s="632"/>
      <c r="F7" s="632">
        <v>31044</v>
      </c>
      <c r="G7" s="632"/>
      <c r="H7" s="632"/>
      <c r="I7" s="633"/>
      <c r="J7" s="633">
        <f>SUM(C7+E7+F7+H7)</f>
        <v>406478</v>
      </c>
      <c r="K7" s="633">
        <f>SUM(D7+G7+I7)</f>
        <v>0</v>
      </c>
      <c r="L7" s="633">
        <f>SUM(J7:K7)</f>
        <v>406478</v>
      </c>
      <c r="M7" s="633">
        <v>203262</v>
      </c>
      <c r="N7" s="633">
        <v>115033</v>
      </c>
      <c r="O7" s="633">
        <f>SUM(L7:N7)</f>
        <v>724773</v>
      </c>
    </row>
    <row r="8" spans="1:16" s="674" customFormat="1" x14ac:dyDescent="0.25">
      <c r="A8" s="631"/>
      <c r="B8" s="632" t="s">
        <v>401</v>
      </c>
      <c r="C8" s="632">
        <v>101688</v>
      </c>
      <c r="D8" s="632"/>
      <c r="E8" s="632"/>
      <c r="F8" s="632">
        <v>475</v>
      </c>
      <c r="G8" s="632"/>
      <c r="H8" s="632"/>
      <c r="I8" s="633"/>
      <c r="J8" s="633">
        <f>SUM(C8+E8+F8+H8)</f>
        <v>102163</v>
      </c>
      <c r="K8" s="633">
        <f>SUM(D8+G8+I8)</f>
        <v>0</v>
      </c>
      <c r="L8" s="633">
        <f>SUM(J8:K8)</f>
        <v>102163</v>
      </c>
      <c r="M8" s="633">
        <v>112071</v>
      </c>
      <c r="N8" s="633"/>
      <c r="O8" s="633">
        <f>SUM(L8:N8)</f>
        <v>214234</v>
      </c>
    </row>
    <row r="9" spans="1:16" s="674" customFormat="1" x14ac:dyDescent="0.25">
      <c r="A9" s="631"/>
      <c r="B9" s="632" t="s">
        <v>132</v>
      </c>
      <c r="C9" s="634"/>
      <c r="D9" s="634"/>
      <c r="E9" s="634"/>
      <c r="F9" s="634"/>
      <c r="G9" s="634"/>
      <c r="H9" s="634"/>
      <c r="I9" s="634"/>
      <c r="J9" s="633"/>
      <c r="K9" s="633"/>
      <c r="L9" s="633"/>
      <c r="M9" s="634"/>
      <c r="N9" s="634"/>
      <c r="O9" s="633"/>
    </row>
    <row r="10" spans="1:16" x14ac:dyDescent="0.25">
      <c r="A10" s="630"/>
      <c r="B10" s="634" t="s">
        <v>1197</v>
      </c>
      <c r="C10" s="634"/>
      <c r="D10" s="634"/>
      <c r="E10" s="634"/>
      <c r="F10" s="634"/>
      <c r="G10" s="634"/>
      <c r="H10" s="634"/>
      <c r="I10" s="634"/>
      <c r="J10" s="633">
        <f t="shared" ref="J10:J15" si="0">SUM(C10+E10+F10+H10)</f>
        <v>0</v>
      </c>
      <c r="K10" s="634">
        <f t="shared" ref="K10:K15" si="1">SUM(D10+G10+I10)</f>
        <v>0</v>
      </c>
      <c r="L10" s="634">
        <f t="shared" ref="L10:L15" si="2">SUM(J10:K10)</f>
        <v>0</v>
      </c>
      <c r="M10" s="634">
        <v>979</v>
      </c>
      <c r="N10" s="634"/>
      <c r="O10" s="634">
        <f t="shared" ref="O10:O15" si="3">SUM(L10:N10)</f>
        <v>979</v>
      </c>
    </row>
    <row r="11" spans="1:16" ht="47.25" x14ac:dyDescent="0.25">
      <c r="A11" s="630"/>
      <c r="B11" s="634" t="s">
        <v>1198</v>
      </c>
      <c r="C11" s="634"/>
      <c r="D11" s="634"/>
      <c r="E11" s="634"/>
      <c r="F11" s="634"/>
      <c r="G11" s="634"/>
      <c r="H11" s="634"/>
      <c r="I11" s="634"/>
      <c r="J11" s="633">
        <f t="shared" si="0"/>
        <v>0</v>
      </c>
      <c r="K11" s="634">
        <f t="shared" si="1"/>
        <v>0</v>
      </c>
      <c r="L11" s="634">
        <f t="shared" si="2"/>
        <v>0</v>
      </c>
      <c r="M11" s="634">
        <v>1208</v>
      </c>
      <c r="N11" s="634"/>
      <c r="O11" s="634">
        <f t="shared" si="3"/>
        <v>1208</v>
      </c>
    </row>
    <row r="12" spans="1:16" ht="31.5" x14ac:dyDescent="0.25">
      <c r="A12" s="630"/>
      <c r="B12" s="634" t="s">
        <v>935</v>
      </c>
      <c r="C12" s="634">
        <v>92881</v>
      </c>
      <c r="D12" s="634"/>
      <c r="E12" s="634"/>
      <c r="F12" s="634">
        <v>7697</v>
      </c>
      <c r="G12" s="634"/>
      <c r="H12" s="634"/>
      <c r="I12" s="634"/>
      <c r="J12" s="633">
        <f t="shared" si="0"/>
        <v>100578</v>
      </c>
      <c r="K12" s="634">
        <f t="shared" si="1"/>
        <v>0</v>
      </c>
      <c r="L12" s="634">
        <f t="shared" si="2"/>
        <v>100578</v>
      </c>
      <c r="M12" s="634"/>
      <c r="N12" s="634"/>
      <c r="O12" s="634">
        <f t="shared" si="3"/>
        <v>100578</v>
      </c>
    </row>
    <row r="13" spans="1:16" ht="31.5" x14ac:dyDescent="0.25">
      <c r="A13" s="630"/>
      <c r="B13" s="634" t="s">
        <v>675</v>
      </c>
      <c r="C13" s="634"/>
      <c r="D13" s="634"/>
      <c r="E13" s="634"/>
      <c r="F13" s="634">
        <v>-1</v>
      </c>
      <c r="G13" s="634"/>
      <c r="H13" s="634"/>
      <c r="I13" s="634"/>
      <c r="J13" s="633">
        <f t="shared" si="0"/>
        <v>-1</v>
      </c>
      <c r="K13" s="634">
        <f t="shared" si="1"/>
        <v>0</v>
      </c>
      <c r="L13" s="634">
        <f t="shared" si="2"/>
        <v>-1</v>
      </c>
      <c r="M13" s="634"/>
      <c r="N13" s="634">
        <v>1</v>
      </c>
      <c r="O13" s="634">
        <f t="shared" si="3"/>
        <v>0</v>
      </c>
    </row>
    <row r="14" spans="1:16" s="674" customFormat="1" x14ac:dyDescent="0.25">
      <c r="A14" s="631"/>
      <c r="B14" s="632" t="s">
        <v>133</v>
      </c>
      <c r="C14" s="634"/>
      <c r="D14" s="634"/>
      <c r="E14" s="634"/>
      <c r="F14" s="634"/>
      <c r="G14" s="634"/>
      <c r="H14" s="634"/>
      <c r="I14" s="634"/>
      <c r="J14" s="633"/>
      <c r="K14" s="634"/>
      <c r="L14" s="634"/>
      <c r="M14" s="634"/>
      <c r="N14" s="634"/>
      <c r="O14" s="634"/>
    </row>
    <row r="15" spans="1:16" ht="16.5" thickBot="1" x14ac:dyDescent="0.3">
      <c r="A15" s="630"/>
      <c r="B15" s="634" t="s">
        <v>1199</v>
      </c>
      <c r="C15" s="634"/>
      <c r="D15" s="634"/>
      <c r="E15" s="634"/>
      <c r="F15" s="634"/>
      <c r="G15" s="634"/>
      <c r="H15" s="634"/>
      <c r="I15" s="634"/>
      <c r="J15" s="633">
        <f t="shared" si="0"/>
        <v>0</v>
      </c>
      <c r="K15" s="634">
        <f t="shared" si="1"/>
        <v>0</v>
      </c>
      <c r="L15" s="634">
        <f t="shared" si="2"/>
        <v>0</v>
      </c>
      <c r="M15" s="634">
        <v>2706</v>
      </c>
      <c r="N15" s="634"/>
      <c r="O15" s="634">
        <f t="shared" si="3"/>
        <v>2706</v>
      </c>
    </row>
    <row r="16" spans="1:16" ht="17.25" thickTop="1" thickBot="1" x14ac:dyDescent="0.3">
      <c r="A16" s="626"/>
      <c r="B16" s="635" t="s">
        <v>400</v>
      </c>
      <c r="C16" s="635">
        <f>+C6+C10+C15+C11+C12+C13</f>
        <v>570003</v>
      </c>
      <c r="D16" s="635">
        <f t="shared" ref="D16:O16" si="4">+D6+D10+D15+D11+D12+D13</f>
        <v>0</v>
      </c>
      <c r="E16" s="635">
        <f t="shared" si="4"/>
        <v>0</v>
      </c>
      <c r="F16" s="635">
        <f t="shared" si="4"/>
        <v>39215</v>
      </c>
      <c r="G16" s="635">
        <f t="shared" si="4"/>
        <v>0</v>
      </c>
      <c r="H16" s="635">
        <f t="shared" si="4"/>
        <v>0</v>
      </c>
      <c r="I16" s="635">
        <f t="shared" si="4"/>
        <v>0</v>
      </c>
      <c r="J16" s="635">
        <f t="shared" si="4"/>
        <v>609218</v>
      </c>
      <c r="K16" s="635">
        <f t="shared" si="4"/>
        <v>0</v>
      </c>
      <c r="L16" s="635">
        <f t="shared" si="4"/>
        <v>609218</v>
      </c>
      <c r="M16" s="635">
        <f t="shared" si="4"/>
        <v>320226</v>
      </c>
      <c r="N16" s="635">
        <f t="shared" si="4"/>
        <v>115034</v>
      </c>
      <c r="O16" s="635">
        <f t="shared" si="4"/>
        <v>1044478</v>
      </c>
      <c r="P16" s="671">
        <f>O17+O18</f>
        <v>1044478</v>
      </c>
    </row>
    <row r="17" spans="1:15" ht="17.25" thickTop="1" thickBot="1" x14ac:dyDescent="0.3">
      <c r="A17" s="626"/>
      <c r="B17" s="635" t="s">
        <v>399</v>
      </c>
      <c r="C17" s="635">
        <f t="shared" ref="C17:O17" si="5">+C7+C10+C11+C12+C13</f>
        <v>468315</v>
      </c>
      <c r="D17" s="635">
        <f t="shared" si="5"/>
        <v>0</v>
      </c>
      <c r="E17" s="635">
        <f t="shared" si="5"/>
        <v>0</v>
      </c>
      <c r="F17" s="635">
        <f t="shared" si="5"/>
        <v>38740</v>
      </c>
      <c r="G17" s="635">
        <f t="shared" si="5"/>
        <v>0</v>
      </c>
      <c r="H17" s="635">
        <f t="shared" si="5"/>
        <v>0</v>
      </c>
      <c r="I17" s="635">
        <f t="shared" si="5"/>
        <v>0</v>
      </c>
      <c r="J17" s="635">
        <f t="shared" si="5"/>
        <v>507055</v>
      </c>
      <c r="K17" s="635">
        <f t="shared" si="5"/>
        <v>0</v>
      </c>
      <c r="L17" s="635">
        <f t="shared" si="5"/>
        <v>507055</v>
      </c>
      <c r="M17" s="635">
        <f t="shared" si="5"/>
        <v>205449</v>
      </c>
      <c r="N17" s="635">
        <f t="shared" si="5"/>
        <v>115034</v>
      </c>
      <c r="O17" s="635">
        <f t="shared" si="5"/>
        <v>827538</v>
      </c>
    </row>
    <row r="18" spans="1:15" ht="17.25" thickTop="1" thickBot="1" x14ac:dyDescent="0.3">
      <c r="A18" s="626"/>
      <c r="B18" s="635" t="s">
        <v>398</v>
      </c>
      <c r="C18" s="635">
        <f>+C8+C15</f>
        <v>101688</v>
      </c>
      <c r="D18" s="635">
        <f t="shared" ref="D18:O18" si="6">+D8+D15</f>
        <v>0</v>
      </c>
      <c r="E18" s="635">
        <f t="shared" si="6"/>
        <v>0</v>
      </c>
      <c r="F18" s="635">
        <f t="shared" si="6"/>
        <v>475</v>
      </c>
      <c r="G18" s="635">
        <f t="shared" si="6"/>
        <v>0</v>
      </c>
      <c r="H18" s="635">
        <f t="shared" si="6"/>
        <v>0</v>
      </c>
      <c r="I18" s="635">
        <f t="shared" si="6"/>
        <v>0</v>
      </c>
      <c r="J18" s="635">
        <f t="shared" si="6"/>
        <v>102163</v>
      </c>
      <c r="K18" s="635">
        <f t="shared" si="6"/>
        <v>0</v>
      </c>
      <c r="L18" s="635">
        <f t="shared" si="6"/>
        <v>102163</v>
      </c>
      <c r="M18" s="635">
        <f t="shared" si="6"/>
        <v>114777</v>
      </c>
      <c r="N18" s="635">
        <f t="shared" si="6"/>
        <v>0</v>
      </c>
      <c r="O18" s="635">
        <f t="shared" si="6"/>
        <v>216940</v>
      </c>
    </row>
    <row r="19" spans="1:15" ht="32.25" thickTop="1" x14ac:dyDescent="0.25">
      <c r="A19" s="630" t="s">
        <v>146</v>
      </c>
      <c r="B19" s="672" t="s">
        <v>431</v>
      </c>
      <c r="C19" s="672"/>
      <c r="D19" s="672"/>
      <c r="E19" s="672"/>
      <c r="F19" s="672"/>
      <c r="G19" s="672"/>
      <c r="H19" s="672"/>
      <c r="I19" s="672"/>
      <c r="J19" s="673"/>
      <c r="K19" s="673"/>
      <c r="L19" s="673"/>
      <c r="M19" s="673"/>
      <c r="N19" s="673"/>
      <c r="O19" s="673"/>
    </row>
    <row r="20" spans="1:15" x14ac:dyDescent="0.25">
      <c r="A20" s="630"/>
      <c r="B20" s="673" t="s">
        <v>363</v>
      </c>
      <c r="C20" s="673">
        <v>7446</v>
      </c>
      <c r="D20" s="673"/>
      <c r="E20" s="673"/>
      <c r="F20" s="673">
        <v>14282</v>
      </c>
      <c r="G20" s="673"/>
      <c r="H20" s="673"/>
      <c r="I20" s="673"/>
      <c r="J20" s="673">
        <f>SUM(C20+E20+F20+H20)</f>
        <v>21728</v>
      </c>
      <c r="K20" s="673">
        <f>SUM(D20+G20+I20)</f>
        <v>0</v>
      </c>
      <c r="L20" s="673">
        <f>SUM(J20:K20)</f>
        <v>21728</v>
      </c>
      <c r="M20" s="673">
        <v>121850</v>
      </c>
      <c r="N20" s="673">
        <v>1048</v>
      </c>
      <c r="O20" s="673">
        <f>SUM(L20:N20)</f>
        <v>144626</v>
      </c>
    </row>
    <row r="21" spans="1:15" s="674" customFormat="1" x14ac:dyDescent="0.25">
      <c r="A21" s="631"/>
      <c r="B21" s="632" t="s">
        <v>402</v>
      </c>
      <c r="C21" s="632">
        <v>7446</v>
      </c>
      <c r="D21" s="632"/>
      <c r="E21" s="632"/>
      <c r="F21" s="632">
        <v>5713</v>
      </c>
      <c r="G21" s="632"/>
      <c r="H21" s="632"/>
      <c r="I21" s="632"/>
      <c r="J21" s="633">
        <f>SUM(C21+E21+F21+H21)</f>
        <v>13159</v>
      </c>
      <c r="K21" s="633">
        <f>SUM(D21+G21+I21)</f>
        <v>0</v>
      </c>
      <c r="L21" s="633">
        <f>SUM(J21:K21)</f>
        <v>13159</v>
      </c>
      <c r="M21" s="633">
        <v>58923</v>
      </c>
      <c r="N21" s="633">
        <v>1048</v>
      </c>
      <c r="O21" s="633">
        <f>SUM(L21:N21)</f>
        <v>73130</v>
      </c>
    </row>
    <row r="22" spans="1:15" s="674" customFormat="1" x14ac:dyDescent="0.25">
      <c r="A22" s="631"/>
      <c r="B22" s="632" t="s">
        <v>401</v>
      </c>
      <c r="C22" s="632">
        <v>0</v>
      </c>
      <c r="D22" s="632"/>
      <c r="E22" s="632"/>
      <c r="F22" s="632">
        <v>8569</v>
      </c>
      <c r="G22" s="632"/>
      <c r="H22" s="632"/>
      <c r="I22" s="632"/>
      <c r="J22" s="633">
        <f>SUM(C22+E22+F22+H22)</f>
        <v>8569</v>
      </c>
      <c r="K22" s="633">
        <f>SUM(D22+G22+I22)</f>
        <v>0</v>
      </c>
      <c r="L22" s="633">
        <f>SUM(J22:K22)</f>
        <v>8569</v>
      </c>
      <c r="M22" s="633">
        <v>62927</v>
      </c>
      <c r="N22" s="633">
        <v>0</v>
      </c>
      <c r="O22" s="633">
        <f>SUM(L22:N22)</f>
        <v>71496</v>
      </c>
    </row>
    <row r="23" spans="1:15" s="674" customFormat="1" x14ac:dyDescent="0.25">
      <c r="A23" s="631"/>
      <c r="B23" s="632" t="s">
        <v>544</v>
      </c>
      <c r="C23" s="634"/>
      <c r="D23" s="634"/>
      <c r="E23" s="634"/>
      <c r="F23" s="634"/>
      <c r="G23" s="634"/>
      <c r="H23" s="634"/>
      <c r="I23" s="634"/>
      <c r="J23" s="634"/>
      <c r="K23" s="634"/>
      <c r="L23" s="634"/>
      <c r="M23" s="634"/>
      <c r="N23" s="634"/>
      <c r="O23" s="634"/>
    </row>
    <row r="24" spans="1:15" s="674" customFormat="1" x14ac:dyDescent="0.25">
      <c r="A24" s="631"/>
      <c r="B24" s="634" t="s">
        <v>1197</v>
      </c>
      <c r="C24" s="634"/>
      <c r="D24" s="634"/>
      <c r="E24" s="634"/>
      <c r="F24" s="634"/>
      <c r="G24" s="634"/>
      <c r="H24" s="634"/>
      <c r="I24" s="634"/>
      <c r="J24" s="634">
        <f t="shared" ref="J24:J32" si="7">SUM(C24+E24+F24+H24)</f>
        <v>0</v>
      </c>
      <c r="K24" s="634">
        <f t="shared" ref="K24:K32" si="8">SUM(D24+G24+I24)</f>
        <v>0</v>
      </c>
      <c r="L24" s="634">
        <f t="shared" ref="L24:L32" si="9">SUM(J24:K24)</f>
        <v>0</v>
      </c>
      <c r="M24" s="634">
        <v>126</v>
      </c>
      <c r="N24" s="634"/>
      <c r="O24" s="634">
        <f t="shared" ref="O24:O32" si="10">SUM(L24:N24)</f>
        <v>126</v>
      </c>
    </row>
    <row r="25" spans="1:15" s="674" customFormat="1" ht="33.75" customHeight="1" x14ac:dyDescent="0.25">
      <c r="A25" s="631"/>
      <c r="B25" s="634" t="s">
        <v>1200</v>
      </c>
      <c r="C25" s="634"/>
      <c r="D25" s="634"/>
      <c r="E25" s="634"/>
      <c r="F25" s="634"/>
      <c r="G25" s="634"/>
      <c r="H25" s="634"/>
      <c r="I25" s="634"/>
      <c r="J25" s="634">
        <f t="shared" si="7"/>
        <v>0</v>
      </c>
      <c r="K25" s="634">
        <f t="shared" si="8"/>
        <v>0</v>
      </c>
      <c r="L25" s="634">
        <f t="shared" si="9"/>
        <v>0</v>
      </c>
      <c r="M25" s="634">
        <v>1175</v>
      </c>
      <c r="N25" s="634"/>
      <c r="O25" s="634">
        <f t="shared" si="10"/>
        <v>1175</v>
      </c>
    </row>
    <row r="26" spans="1:15" s="674" customFormat="1" ht="52.5" customHeight="1" x14ac:dyDescent="0.25">
      <c r="A26" s="631"/>
      <c r="B26" s="634" t="s">
        <v>1198</v>
      </c>
      <c r="C26" s="634"/>
      <c r="D26" s="634"/>
      <c r="E26" s="634"/>
      <c r="F26" s="634"/>
      <c r="G26" s="634"/>
      <c r="H26" s="634"/>
      <c r="I26" s="634"/>
      <c r="J26" s="634">
        <f t="shared" si="7"/>
        <v>0</v>
      </c>
      <c r="K26" s="634">
        <f t="shared" si="8"/>
        <v>0</v>
      </c>
      <c r="L26" s="634">
        <f t="shared" si="9"/>
        <v>0</v>
      </c>
      <c r="M26" s="634">
        <v>16</v>
      </c>
      <c r="N26" s="634"/>
      <c r="O26" s="634">
        <f t="shared" si="10"/>
        <v>16</v>
      </c>
    </row>
    <row r="27" spans="1:15" s="674" customFormat="1" ht="33.75" customHeight="1" x14ac:dyDescent="0.25">
      <c r="A27" s="631"/>
      <c r="B27" s="634" t="s">
        <v>935</v>
      </c>
      <c r="C27" s="634"/>
      <c r="D27" s="634"/>
      <c r="E27" s="634"/>
      <c r="F27" s="634">
        <v>2661</v>
      </c>
      <c r="G27" s="634"/>
      <c r="H27" s="634"/>
      <c r="I27" s="634"/>
      <c r="J27" s="634">
        <f t="shared" si="7"/>
        <v>2661</v>
      </c>
      <c r="K27" s="634">
        <f t="shared" si="8"/>
        <v>0</v>
      </c>
      <c r="L27" s="634">
        <f t="shared" si="9"/>
        <v>2661</v>
      </c>
      <c r="M27" s="634"/>
      <c r="N27" s="634"/>
      <c r="O27" s="634">
        <f t="shared" si="10"/>
        <v>2661</v>
      </c>
    </row>
    <row r="28" spans="1:15" s="674" customFormat="1" ht="51" customHeight="1" x14ac:dyDescent="0.25">
      <c r="A28" s="631"/>
      <c r="B28" s="634" t="s">
        <v>1201</v>
      </c>
      <c r="C28" s="634"/>
      <c r="D28" s="634"/>
      <c r="E28" s="634"/>
      <c r="F28" s="634"/>
      <c r="G28" s="634"/>
      <c r="H28" s="634"/>
      <c r="I28" s="634"/>
      <c r="J28" s="634">
        <f t="shared" si="7"/>
        <v>0</v>
      </c>
      <c r="K28" s="634">
        <f t="shared" si="8"/>
        <v>0</v>
      </c>
      <c r="L28" s="634">
        <f t="shared" si="9"/>
        <v>0</v>
      </c>
      <c r="M28" s="634">
        <v>-2556</v>
      </c>
      <c r="N28" s="634"/>
      <c r="O28" s="634">
        <f t="shared" si="10"/>
        <v>-2556</v>
      </c>
    </row>
    <row r="29" spans="1:15" s="674" customFormat="1" ht="31.5" x14ac:dyDescent="0.25">
      <c r="A29" s="631"/>
      <c r="B29" s="634" t="s">
        <v>675</v>
      </c>
      <c r="C29" s="634"/>
      <c r="D29" s="634"/>
      <c r="E29" s="634"/>
      <c r="F29" s="634">
        <v>-1</v>
      </c>
      <c r="G29" s="634"/>
      <c r="H29" s="634"/>
      <c r="I29" s="634"/>
      <c r="J29" s="634">
        <f t="shared" si="7"/>
        <v>-1</v>
      </c>
      <c r="K29" s="634">
        <f t="shared" si="8"/>
        <v>0</v>
      </c>
      <c r="L29" s="634">
        <f t="shared" si="9"/>
        <v>-1</v>
      </c>
      <c r="M29" s="634"/>
      <c r="N29" s="634">
        <v>1</v>
      </c>
      <c r="O29" s="634">
        <f t="shared" si="10"/>
        <v>0</v>
      </c>
    </row>
    <row r="30" spans="1:15" s="674" customFormat="1" x14ac:dyDescent="0.25">
      <c r="A30" s="631"/>
      <c r="B30" s="632" t="s">
        <v>133</v>
      </c>
      <c r="C30" s="634"/>
      <c r="D30" s="634"/>
      <c r="E30" s="634"/>
      <c r="F30" s="634"/>
      <c r="G30" s="634"/>
      <c r="H30" s="634"/>
      <c r="I30" s="634"/>
      <c r="J30" s="634"/>
      <c r="K30" s="634"/>
      <c r="L30" s="634"/>
      <c r="M30" s="634"/>
      <c r="N30" s="634"/>
      <c r="O30" s="634"/>
    </row>
    <row r="31" spans="1:15" s="674" customFormat="1" ht="78.75" x14ac:dyDescent="0.25">
      <c r="A31" s="631"/>
      <c r="B31" s="634" t="s">
        <v>1202</v>
      </c>
      <c r="C31" s="634"/>
      <c r="D31" s="634"/>
      <c r="E31" s="634"/>
      <c r="F31" s="634"/>
      <c r="G31" s="634"/>
      <c r="H31" s="634"/>
      <c r="I31" s="634"/>
      <c r="J31" s="634">
        <f t="shared" si="7"/>
        <v>0</v>
      </c>
      <c r="K31" s="634">
        <f t="shared" si="8"/>
        <v>0</v>
      </c>
      <c r="L31" s="634">
        <f t="shared" si="9"/>
        <v>0</v>
      </c>
      <c r="M31" s="634">
        <v>150</v>
      </c>
      <c r="N31" s="634"/>
      <c r="O31" s="634">
        <f t="shared" si="10"/>
        <v>150</v>
      </c>
    </row>
    <row r="32" spans="1:15" s="674" customFormat="1" ht="16.5" thickBot="1" x14ac:dyDescent="0.3">
      <c r="A32" s="631"/>
      <c r="B32" s="634" t="s">
        <v>1199</v>
      </c>
      <c r="C32" s="634"/>
      <c r="D32" s="634"/>
      <c r="E32" s="634"/>
      <c r="F32" s="634"/>
      <c r="G32" s="634"/>
      <c r="H32" s="634"/>
      <c r="I32" s="634"/>
      <c r="J32" s="634">
        <f t="shared" si="7"/>
        <v>0</v>
      </c>
      <c r="K32" s="634">
        <f t="shared" si="8"/>
        <v>0</v>
      </c>
      <c r="L32" s="634">
        <f t="shared" si="9"/>
        <v>0</v>
      </c>
      <c r="M32" s="634">
        <v>588</v>
      </c>
      <c r="N32" s="634"/>
      <c r="O32" s="634">
        <f t="shared" si="10"/>
        <v>588</v>
      </c>
    </row>
    <row r="33" spans="1:16" ht="17.25" thickTop="1" thickBot="1" x14ac:dyDescent="0.3">
      <c r="A33" s="626"/>
      <c r="B33" s="635" t="s">
        <v>400</v>
      </c>
      <c r="C33" s="635">
        <f>+C20+C24+C31+C25+C32+C26+C27+C28+C29</f>
        <v>7446</v>
      </c>
      <c r="D33" s="635">
        <f t="shared" ref="D33:O33" si="11">+D20+D24+D31+D25+D32+D26+D27+D28+D29</f>
        <v>0</v>
      </c>
      <c r="E33" s="635">
        <f t="shared" si="11"/>
        <v>0</v>
      </c>
      <c r="F33" s="635">
        <f t="shared" si="11"/>
        <v>16942</v>
      </c>
      <c r="G33" s="635">
        <f t="shared" si="11"/>
        <v>0</v>
      </c>
      <c r="H33" s="635">
        <f t="shared" si="11"/>
        <v>0</v>
      </c>
      <c r="I33" s="635">
        <f t="shared" si="11"/>
        <v>0</v>
      </c>
      <c r="J33" s="635">
        <f t="shared" si="11"/>
        <v>24388</v>
      </c>
      <c r="K33" s="635">
        <f t="shared" si="11"/>
        <v>0</v>
      </c>
      <c r="L33" s="635">
        <f t="shared" si="11"/>
        <v>24388</v>
      </c>
      <c r="M33" s="635">
        <f t="shared" si="11"/>
        <v>121349</v>
      </c>
      <c r="N33" s="635">
        <f t="shared" si="11"/>
        <v>1049</v>
      </c>
      <c r="O33" s="635">
        <f t="shared" si="11"/>
        <v>146786</v>
      </c>
      <c r="P33" s="671">
        <f>O34+O35</f>
        <v>146786</v>
      </c>
    </row>
    <row r="34" spans="1:16" ht="17.25" thickTop="1" thickBot="1" x14ac:dyDescent="0.3">
      <c r="A34" s="626"/>
      <c r="B34" s="635" t="s">
        <v>399</v>
      </c>
      <c r="C34" s="635">
        <f t="shared" ref="C34:O34" si="12">+C21+C24+C25+C26+C27+C28+C29</f>
        <v>7446</v>
      </c>
      <c r="D34" s="635">
        <f t="shared" si="12"/>
        <v>0</v>
      </c>
      <c r="E34" s="635">
        <f t="shared" si="12"/>
        <v>0</v>
      </c>
      <c r="F34" s="635">
        <f t="shared" si="12"/>
        <v>8373</v>
      </c>
      <c r="G34" s="635">
        <f t="shared" si="12"/>
        <v>0</v>
      </c>
      <c r="H34" s="635">
        <f t="shared" si="12"/>
        <v>0</v>
      </c>
      <c r="I34" s="635">
        <f t="shared" si="12"/>
        <v>0</v>
      </c>
      <c r="J34" s="635">
        <f t="shared" si="12"/>
        <v>15819</v>
      </c>
      <c r="K34" s="635">
        <f t="shared" si="12"/>
        <v>0</v>
      </c>
      <c r="L34" s="635">
        <f t="shared" si="12"/>
        <v>15819</v>
      </c>
      <c r="M34" s="635">
        <f t="shared" si="12"/>
        <v>57684</v>
      </c>
      <c r="N34" s="635">
        <f t="shared" si="12"/>
        <v>1049</v>
      </c>
      <c r="O34" s="635">
        <f t="shared" si="12"/>
        <v>74552</v>
      </c>
    </row>
    <row r="35" spans="1:16" ht="17.25" thickTop="1" thickBot="1" x14ac:dyDescent="0.3">
      <c r="A35" s="626"/>
      <c r="B35" s="635" t="s">
        <v>398</v>
      </c>
      <c r="C35" s="635">
        <f>+C22+C31+C32</f>
        <v>0</v>
      </c>
      <c r="D35" s="635">
        <f t="shared" ref="D35:O35" si="13">+D22+D31+D32</f>
        <v>0</v>
      </c>
      <c r="E35" s="635">
        <f t="shared" si="13"/>
        <v>0</v>
      </c>
      <c r="F35" s="635">
        <f t="shared" si="13"/>
        <v>8569</v>
      </c>
      <c r="G35" s="635">
        <f t="shared" si="13"/>
        <v>0</v>
      </c>
      <c r="H35" s="635">
        <f t="shared" si="13"/>
        <v>0</v>
      </c>
      <c r="I35" s="635">
        <f t="shared" si="13"/>
        <v>0</v>
      </c>
      <c r="J35" s="635">
        <f t="shared" si="13"/>
        <v>8569</v>
      </c>
      <c r="K35" s="635">
        <f t="shared" si="13"/>
        <v>0</v>
      </c>
      <c r="L35" s="635">
        <f t="shared" si="13"/>
        <v>8569</v>
      </c>
      <c r="M35" s="635">
        <f t="shared" si="13"/>
        <v>63665</v>
      </c>
      <c r="N35" s="635">
        <f t="shared" si="13"/>
        <v>0</v>
      </c>
      <c r="O35" s="635">
        <f t="shared" si="13"/>
        <v>72234</v>
      </c>
    </row>
    <row r="36" spans="1:16" ht="17.25" thickTop="1" thickBot="1" x14ac:dyDescent="0.3">
      <c r="A36" s="626"/>
      <c r="B36" s="635" t="s">
        <v>430</v>
      </c>
      <c r="C36" s="635">
        <f t="shared" ref="C36:O36" si="14">SUM(C16+C33)</f>
        <v>577449</v>
      </c>
      <c r="D36" s="635">
        <f t="shared" si="14"/>
        <v>0</v>
      </c>
      <c r="E36" s="635">
        <f t="shared" si="14"/>
        <v>0</v>
      </c>
      <c r="F36" s="635">
        <f t="shared" si="14"/>
        <v>56157</v>
      </c>
      <c r="G36" s="635">
        <f t="shared" si="14"/>
        <v>0</v>
      </c>
      <c r="H36" s="635">
        <f t="shared" si="14"/>
        <v>0</v>
      </c>
      <c r="I36" s="635">
        <f t="shared" si="14"/>
        <v>0</v>
      </c>
      <c r="J36" s="635">
        <f t="shared" si="14"/>
        <v>633606</v>
      </c>
      <c r="K36" s="635">
        <f t="shared" si="14"/>
        <v>0</v>
      </c>
      <c r="L36" s="635">
        <f t="shared" si="14"/>
        <v>633606</v>
      </c>
      <c r="M36" s="635">
        <f t="shared" si="14"/>
        <v>441575</v>
      </c>
      <c r="N36" s="635">
        <f t="shared" si="14"/>
        <v>116083</v>
      </c>
      <c r="O36" s="635">
        <f t="shared" si="14"/>
        <v>1191264</v>
      </c>
    </row>
    <row r="37" spans="1:16" ht="16.5" thickTop="1" x14ac:dyDescent="0.25">
      <c r="A37" s="630" t="s">
        <v>147</v>
      </c>
      <c r="B37" s="675" t="s">
        <v>429</v>
      </c>
      <c r="C37" s="675"/>
      <c r="D37" s="675"/>
      <c r="E37" s="675"/>
      <c r="F37" s="675"/>
      <c r="G37" s="675"/>
      <c r="H37" s="675"/>
      <c r="I37" s="675"/>
      <c r="J37" s="675"/>
      <c r="K37" s="675"/>
      <c r="L37" s="675"/>
      <c r="M37" s="675"/>
      <c r="N37" s="675"/>
      <c r="O37" s="675"/>
    </row>
    <row r="38" spans="1:16" x14ac:dyDescent="0.25">
      <c r="A38" s="630"/>
      <c r="B38" s="673" t="s">
        <v>934</v>
      </c>
      <c r="C38" s="673">
        <v>5585</v>
      </c>
      <c r="D38" s="673"/>
      <c r="E38" s="673"/>
      <c r="F38" s="673">
        <v>1702</v>
      </c>
      <c r="G38" s="673"/>
      <c r="H38" s="673"/>
      <c r="I38" s="673"/>
      <c r="J38" s="673">
        <f>SUM(C38+E38+F38+H38)</f>
        <v>7287</v>
      </c>
      <c r="K38" s="673">
        <f>SUM(D38+G38+I38)</f>
        <v>0</v>
      </c>
      <c r="L38" s="673">
        <f>SUM(J38:K38)</f>
        <v>7287</v>
      </c>
      <c r="M38" s="673">
        <v>98413</v>
      </c>
      <c r="N38" s="673">
        <v>628</v>
      </c>
      <c r="O38" s="673">
        <f>SUM(L38:N38)</f>
        <v>106328</v>
      </c>
    </row>
    <row r="39" spans="1:16" s="674" customFormat="1" x14ac:dyDescent="0.25">
      <c r="A39" s="631"/>
      <c r="B39" s="632" t="s">
        <v>402</v>
      </c>
      <c r="C39" s="632">
        <v>5585</v>
      </c>
      <c r="D39" s="632"/>
      <c r="E39" s="632"/>
      <c r="F39" s="632">
        <v>1702</v>
      </c>
      <c r="G39" s="632"/>
      <c r="H39" s="632"/>
      <c r="I39" s="632"/>
      <c r="J39" s="633">
        <f>SUM(C39+E39+F39+H39)</f>
        <v>7287</v>
      </c>
      <c r="K39" s="633">
        <f>SUM(D39+G39+I39)</f>
        <v>0</v>
      </c>
      <c r="L39" s="633">
        <f>SUM(J39:K39)</f>
        <v>7287</v>
      </c>
      <c r="M39" s="633">
        <v>95474</v>
      </c>
      <c r="N39" s="633">
        <v>628</v>
      </c>
      <c r="O39" s="633">
        <f>SUM(L39:N39)</f>
        <v>103389</v>
      </c>
    </row>
    <row r="40" spans="1:16" s="674" customFormat="1" x14ac:dyDescent="0.25">
      <c r="A40" s="636"/>
      <c r="B40" s="637" t="s">
        <v>401</v>
      </c>
      <c r="C40" s="637">
        <v>0</v>
      </c>
      <c r="D40" s="637"/>
      <c r="E40" s="637"/>
      <c r="F40" s="637">
        <v>0</v>
      </c>
      <c r="G40" s="637"/>
      <c r="H40" s="637"/>
      <c r="I40" s="637"/>
      <c r="J40" s="638">
        <f>SUM(C40+E40+F40+H40)</f>
        <v>0</v>
      </c>
      <c r="K40" s="638">
        <f>SUM(D40+G40+I40)</f>
        <v>0</v>
      </c>
      <c r="L40" s="638">
        <f>SUM(J40:K40)</f>
        <v>0</v>
      </c>
      <c r="M40" s="638">
        <v>2939</v>
      </c>
      <c r="N40" s="638">
        <v>0</v>
      </c>
      <c r="O40" s="638">
        <f>SUM(L40:N40)</f>
        <v>2939</v>
      </c>
    </row>
    <row r="41" spans="1:16" s="674" customFormat="1" x14ac:dyDescent="0.25">
      <c r="A41" s="636"/>
      <c r="B41" s="637" t="s">
        <v>132</v>
      </c>
      <c r="C41" s="639"/>
      <c r="D41" s="639"/>
      <c r="E41" s="639"/>
      <c r="F41" s="639"/>
      <c r="G41" s="639"/>
      <c r="H41" s="639"/>
      <c r="I41" s="639"/>
      <c r="J41" s="639"/>
      <c r="K41" s="639"/>
      <c r="L41" s="639"/>
      <c r="M41" s="639"/>
      <c r="N41" s="639"/>
      <c r="O41" s="639"/>
    </row>
    <row r="42" spans="1:16" s="674" customFormat="1" x14ac:dyDescent="0.25">
      <c r="A42" s="636"/>
      <c r="B42" s="634" t="s">
        <v>1197</v>
      </c>
      <c r="C42" s="639"/>
      <c r="D42" s="639"/>
      <c r="E42" s="639"/>
      <c r="F42" s="639"/>
      <c r="G42" s="639"/>
      <c r="H42" s="639"/>
      <c r="I42" s="639"/>
      <c r="J42" s="639">
        <f t="shared" ref="J42:J46" si="15">SUM(C42+E42+F42+H42)</f>
        <v>0</v>
      </c>
      <c r="K42" s="639">
        <f t="shared" ref="K42:K46" si="16">SUM(D42+G42+I42)</f>
        <v>0</v>
      </c>
      <c r="L42" s="639">
        <f t="shared" ref="L42:L46" si="17">SUM(J42:K42)</f>
        <v>0</v>
      </c>
      <c r="M42" s="639">
        <v>29</v>
      </c>
      <c r="N42" s="639"/>
      <c r="O42" s="639">
        <f t="shared" ref="O42:O46" si="18">SUM(L42:N42)</f>
        <v>29</v>
      </c>
    </row>
    <row r="43" spans="1:16" s="674" customFormat="1" ht="31.5" customHeight="1" x14ac:dyDescent="0.25">
      <c r="A43" s="636"/>
      <c r="B43" s="639" t="s">
        <v>1200</v>
      </c>
      <c r="C43" s="639"/>
      <c r="D43" s="639"/>
      <c r="E43" s="639"/>
      <c r="F43" s="639"/>
      <c r="G43" s="639"/>
      <c r="H43" s="639"/>
      <c r="I43" s="639"/>
      <c r="J43" s="639">
        <f>SUM(C43+E43+F43+H43)</f>
        <v>0</v>
      </c>
      <c r="K43" s="639">
        <f t="shared" si="16"/>
        <v>0</v>
      </c>
      <c r="L43" s="639">
        <f t="shared" si="17"/>
        <v>0</v>
      </c>
      <c r="M43" s="639">
        <v>125</v>
      </c>
      <c r="N43" s="639"/>
      <c r="O43" s="639">
        <f t="shared" si="18"/>
        <v>125</v>
      </c>
    </row>
    <row r="44" spans="1:16" s="674" customFormat="1" ht="31.5" customHeight="1" x14ac:dyDescent="0.25">
      <c r="A44" s="636"/>
      <c r="B44" s="639" t="s">
        <v>935</v>
      </c>
      <c r="C44" s="639"/>
      <c r="D44" s="639"/>
      <c r="E44" s="639"/>
      <c r="F44" s="639">
        <f>411+87</f>
        <v>498</v>
      </c>
      <c r="G44" s="639"/>
      <c r="H44" s="639"/>
      <c r="I44" s="639"/>
      <c r="J44" s="639">
        <f>SUM(C44+E44+F44+H44)</f>
        <v>498</v>
      </c>
      <c r="K44" s="639">
        <f t="shared" si="16"/>
        <v>0</v>
      </c>
      <c r="L44" s="639">
        <f t="shared" si="17"/>
        <v>498</v>
      </c>
      <c r="M44" s="639"/>
      <c r="N44" s="639"/>
      <c r="O44" s="639">
        <f t="shared" si="18"/>
        <v>498</v>
      </c>
    </row>
    <row r="45" spans="1:16" s="674" customFormat="1" x14ac:dyDescent="0.25">
      <c r="A45" s="636"/>
      <c r="B45" s="637" t="s">
        <v>545</v>
      </c>
      <c r="C45" s="639"/>
      <c r="D45" s="639"/>
      <c r="E45" s="639"/>
      <c r="F45" s="639"/>
      <c r="G45" s="639"/>
      <c r="H45" s="639"/>
      <c r="I45" s="639"/>
      <c r="J45" s="639"/>
      <c r="K45" s="639"/>
      <c r="L45" s="639"/>
      <c r="M45" s="639"/>
      <c r="N45" s="639"/>
      <c r="O45" s="639"/>
    </row>
    <row r="46" spans="1:16" s="674" customFormat="1" ht="16.5" thickBot="1" x14ac:dyDescent="0.3">
      <c r="A46" s="636"/>
      <c r="B46" s="634" t="s">
        <v>1199</v>
      </c>
      <c r="C46" s="639"/>
      <c r="D46" s="639"/>
      <c r="E46" s="639"/>
      <c r="F46" s="639"/>
      <c r="G46" s="639"/>
      <c r="H46" s="639"/>
      <c r="I46" s="639"/>
      <c r="J46" s="639">
        <f t="shared" si="15"/>
        <v>0</v>
      </c>
      <c r="K46" s="639">
        <f t="shared" si="16"/>
        <v>0</v>
      </c>
      <c r="L46" s="639">
        <f t="shared" si="17"/>
        <v>0</v>
      </c>
      <c r="M46" s="639">
        <v>545</v>
      </c>
      <c r="N46" s="639"/>
      <c r="O46" s="639">
        <f t="shared" si="18"/>
        <v>545</v>
      </c>
    </row>
    <row r="47" spans="1:16" ht="17.25" thickTop="1" thickBot="1" x14ac:dyDescent="0.3">
      <c r="A47" s="626"/>
      <c r="B47" s="635" t="s">
        <v>400</v>
      </c>
      <c r="C47" s="635">
        <f>+C38+C42+C46+C43+C44</f>
        <v>5585</v>
      </c>
      <c r="D47" s="635">
        <f t="shared" ref="D47:O47" si="19">+D38+D42+D46+D43+D44</f>
        <v>0</v>
      </c>
      <c r="E47" s="635">
        <f t="shared" si="19"/>
        <v>0</v>
      </c>
      <c r="F47" s="635">
        <f t="shared" si="19"/>
        <v>2200</v>
      </c>
      <c r="G47" s="635">
        <f t="shared" si="19"/>
        <v>0</v>
      </c>
      <c r="H47" s="635">
        <f t="shared" si="19"/>
        <v>0</v>
      </c>
      <c r="I47" s="635">
        <f t="shared" si="19"/>
        <v>0</v>
      </c>
      <c r="J47" s="635">
        <f t="shared" si="19"/>
        <v>7785</v>
      </c>
      <c r="K47" s="635">
        <f t="shared" si="19"/>
        <v>0</v>
      </c>
      <c r="L47" s="635">
        <f t="shared" si="19"/>
        <v>7785</v>
      </c>
      <c r="M47" s="635">
        <f t="shared" si="19"/>
        <v>99112</v>
      </c>
      <c r="N47" s="635">
        <f t="shared" si="19"/>
        <v>628</v>
      </c>
      <c r="O47" s="635">
        <f t="shared" si="19"/>
        <v>107525</v>
      </c>
      <c r="P47" s="671">
        <f>O48+O49</f>
        <v>107525</v>
      </c>
    </row>
    <row r="48" spans="1:16" ht="17.25" thickTop="1" thickBot="1" x14ac:dyDescent="0.3">
      <c r="A48" s="626"/>
      <c r="B48" s="635" t="s">
        <v>399</v>
      </c>
      <c r="C48" s="635">
        <f t="shared" ref="C48:O48" si="20">+C39+C42+C43+C44</f>
        <v>5585</v>
      </c>
      <c r="D48" s="635">
        <f t="shared" si="20"/>
        <v>0</v>
      </c>
      <c r="E48" s="635">
        <f t="shared" si="20"/>
        <v>0</v>
      </c>
      <c r="F48" s="635">
        <f t="shared" si="20"/>
        <v>2200</v>
      </c>
      <c r="G48" s="635">
        <f t="shared" si="20"/>
        <v>0</v>
      </c>
      <c r="H48" s="635">
        <f t="shared" si="20"/>
        <v>0</v>
      </c>
      <c r="I48" s="635">
        <f t="shared" si="20"/>
        <v>0</v>
      </c>
      <c r="J48" s="635">
        <f t="shared" si="20"/>
        <v>7785</v>
      </c>
      <c r="K48" s="635">
        <f t="shared" si="20"/>
        <v>0</v>
      </c>
      <c r="L48" s="635">
        <f t="shared" si="20"/>
        <v>7785</v>
      </c>
      <c r="M48" s="635">
        <f t="shared" si="20"/>
        <v>95628</v>
      </c>
      <c r="N48" s="635">
        <f t="shared" si="20"/>
        <v>628</v>
      </c>
      <c r="O48" s="635">
        <f t="shared" si="20"/>
        <v>104041</v>
      </c>
    </row>
    <row r="49" spans="1:16" ht="17.25" thickTop="1" thickBot="1" x14ac:dyDescent="0.3">
      <c r="A49" s="626"/>
      <c r="B49" s="635" t="s">
        <v>398</v>
      </c>
      <c r="C49" s="635">
        <f>+C40+C46</f>
        <v>0</v>
      </c>
      <c r="D49" s="635">
        <f t="shared" ref="D49:O49" si="21">+D40+D46</f>
        <v>0</v>
      </c>
      <c r="E49" s="635">
        <f t="shared" si="21"/>
        <v>0</v>
      </c>
      <c r="F49" s="635">
        <f t="shared" si="21"/>
        <v>0</v>
      </c>
      <c r="G49" s="635">
        <f t="shared" si="21"/>
        <v>0</v>
      </c>
      <c r="H49" s="635">
        <f t="shared" si="21"/>
        <v>0</v>
      </c>
      <c r="I49" s="635">
        <f t="shared" si="21"/>
        <v>0</v>
      </c>
      <c r="J49" s="635">
        <f t="shared" si="21"/>
        <v>0</v>
      </c>
      <c r="K49" s="635">
        <f t="shared" si="21"/>
        <v>0</v>
      </c>
      <c r="L49" s="635">
        <f t="shared" si="21"/>
        <v>0</v>
      </c>
      <c r="M49" s="635">
        <f t="shared" si="21"/>
        <v>3484</v>
      </c>
      <c r="N49" s="635">
        <f t="shared" si="21"/>
        <v>0</v>
      </c>
      <c r="O49" s="635">
        <f t="shared" si="21"/>
        <v>3484</v>
      </c>
    </row>
    <row r="50" spans="1:16" ht="34.5" customHeight="1" thickTop="1" x14ac:dyDescent="0.25">
      <c r="A50" s="630" t="s">
        <v>148</v>
      </c>
      <c r="B50" s="672" t="s">
        <v>1203</v>
      </c>
      <c r="C50" s="672"/>
      <c r="D50" s="672"/>
      <c r="E50" s="672"/>
      <c r="F50" s="672"/>
      <c r="G50" s="672"/>
      <c r="H50" s="672"/>
      <c r="I50" s="672"/>
      <c r="J50" s="672"/>
      <c r="K50" s="672"/>
      <c r="L50" s="672"/>
      <c r="M50" s="672"/>
      <c r="N50" s="672"/>
      <c r="O50" s="672"/>
    </row>
    <row r="51" spans="1:16" x14ac:dyDescent="0.25">
      <c r="A51" s="630"/>
      <c r="B51" s="673" t="s">
        <v>363</v>
      </c>
      <c r="C51" s="673">
        <v>6373</v>
      </c>
      <c r="D51" s="673"/>
      <c r="E51" s="673"/>
      <c r="F51" s="673">
        <v>1882</v>
      </c>
      <c r="G51" s="673"/>
      <c r="H51" s="673"/>
      <c r="I51" s="673"/>
      <c r="J51" s="673">
        <f>SUM(C51+E51+F51+H51)</f>
        <v>8255</v>
      </c>
      <c r="K51" s="673">
        <f>SUM(D51+G51+I51)</f>
        <v>0</v>
      </c>
      <c r="L51" s="673">
        <f>SUM(J51:K51)</f>
        <v>8255</v>
      </c>
      <c r="M51" s="673">
        <v>105030</v>
      </c>
      <c r="N51" s="673">
        <v>304</v>
      </c>
      <c r="O51" s="673">
        <f>SUM(L51:N51)</f>
        <v>113589</v>
      </c>
    </row>
    <row r="52" spans="1:16" s="674" customFormat="1" x14ac:dyDescent="0.25">
      <c r="A52" s="631"/>
      <c r="B52" s="632" t="s">
        <v>402</v>
      </c>
      <c r="C52" s="632">
        <v>6373</v>
      </c>
      <c r="D52" s="632"/>
      <c r="E52" s="632"/>
      <c r="F52" s="632">
        <v>1882</v>
      </c>
      <c r="G52" s="632"/>
      <c r="H52" s="632"/>
      <c r="I52" s="632"/>
      <c r="J52" s="633">
        <f>SUM(C52+E52+F52+H52)</f>
        <v>8255</v>
      </c>
      <c r="K52" s="633">
        <f>SUM(D52+G52+I52)</f>
        <v>0</v>
      </c>
      <c r="L52" s="633">
        <f>SUM(J52:K52)</f>
        <v>8255</v>
      </c>
      <c r="M52" s="633">
        <v>102000</v>
      </c>
      <c r="N52" s="633">
        <v>304</v>
      </c>
      <c r="O52" s="633">
        <f>SUM(L52:N52)</f>
        <v>110559</v>
      </c>
    </row>
    <row r="53" spans="1:16" s="674" customFormat="1" x14ac:dyDescent="0.25">
      <c r="A53" s="631"/>
      <c r="B53" s="632" t="s">
        <v>401</v>
      </c>
      <c r="C53" s="632">
        <v>0</v>
      </c>
      <c r="D53" s="632"/>
      <c r="E53" s="632"/>
      <c r="F53" s="632">
        <v>0</v>
      </c>
      <c r="G53" s="632"/>
      <c r="H53" s="632"/>
      <c r="I53" s="632"/>
      <c r="J53" s="633">
        <f>SUM(C53+E53+F53+H53)</f>
        <v>0</v>
      </c>
      <c r="K53" s="633">
        <f>SUM(D53+G53+I53)</f>
        <v>0</v>
      </c>
      <c r="L53" s="633">
        <f>SUM(J53:K53)</f>
        <v>0</v>
      </c>
      <c r="M53" s="633">
        <v>3030</v>
      </c>
      <c r="N53" s="633">
        <v>0</v>
      </c>
      <c r="O53" s="633">
        <f>SUM(L53:N53)</f>
        <v>3030</v>
      </c>
    </row>
    <row r="54" spans="1:16" s="674" customFormat="1" x14ac:dyDescent="0.25">
      <c r="A54" s="631"/>
      <c r="B54" s="632" t="s">
        <v>132</v>
      </c>
      <c r="C54" s="634"/>
      <c r="D54" s="634"/>
      <c r="E54" s="634"/>
      <c r="F54" s="634"/>
      <c r="G54" s="634"/>
      <c r="H54" s="634"/>
      <c r="I54" s="634"/>
      <c r="J54" s="634"/>
      <c r="K54" s="634"/>
      <c r="L54" s="634"/>
      <c r="M54" s="634"/>
      <c r="N54" s="634"/>
      <c r="O54" s="634"/>
    </row>
    <row r="55" spans="1:16" s="674" customFormat="1" x14ac:dyDescent="0.25">
      <c r="A55" s="631"/>
      <c r="B55" s="634" t="s">
        <v>1197</v>
      </c>
      <c r="C55" s="634"/>
      <c r="D55" s="634"/>
      <c r="E55" s="634"/>
      <c r="F55" s="634"/>
      <c r="G55" s="634"/>
      <c r="H55" s="634"/>
      <c r="I55" s="634"/>
      <c r="J55" s="634">
        <f t="shared" ref="J55:J59" si="22">SUM(C55+E55+F55+H55)</f>
        <v>0</v>
      </c>
      <c r="K55" s="634">
        <f t="shared" ref="K55:K59" si="23">SUM(D55+G55+I55)</f>
        <v>0</v>
      </c>
      <c r="L55" s="634">
        <f t="shared" ref="L55:L59" si="24">SUM(J55:K55)</f>
        <v>0</v>
      </c>
      <c r="M55" s="634">
        <v>89</v>
      </c>
      <c r="N55" s="634"/>
      <c r="O55" s="634">
        <f t="shared" ref="O55:O59" si="25">SUM(L55:N55)</f>
        <v>89</v>
      </c>
    </row>
    <row r="56" spans="1:16" s="674" customFormat="1" ht="33" customHeight="1" x14ac:dyDescent="0.25">
      <c r="A56" s="631"/>
      <c r="B56" s="634" t="s">
        <v>1200</v>
      </c>
      <c r="C56" s="634"/>
      <c r="D56" s="634"/>
      <c r="E56" s="634"/>
      <c r="F56" s="634"/>
      <c r="G56" s="634"/>
      <c r="H56" s="634"/>
      <c r="I56" s="634"/>
      <c r="J56" s="634">
        <f t="shared" si="22"/>
        <v>0</v>
      </c>
      <c r="K56" s="634">
        <f t="shared" si="23"/>
        <v>0</v>
      </c>
      <c r="L56" s="634">
        <f t="shared" si="24"/>
        <v>0</v>
      </c>
      <c r="M56" s="634">
        <v>150</v>
      </c>
      <c r="N56" s="634"/>
      <c r="O56" s="634">
        <f t="shared" si="25"/>
        <v>150</v>
      </c>
    </row>
    <row r="57" spans="1:16" s="674" customFormat="1" ht="31.5" x14ac:dyDescent="0.25">
      <c r="A57" s="631"/>
      <c r="B57" s="634" t="s">
        <v>935</v>
      </c>
      <c r="C57" s="634"/>
      <c r="D57" s="634"/>
      <c r="E57" s="634"/>
      <c r="F57" s="634">
        <v>3001</v>
      </c>
      <c r="G57" s="634"/>
      <c r="H57" s="634"/>
      <c r="I57" s="634"/>
      <c r="J57" s="634">
        <f t="shared" si="22"/>
        <v>3001</v>
      </c>
      <c r="K57" s="634">
        <f t="shared" si="23"/>
        <v>0</v>
      </c>
      <c r="L57" s="634">
        <f t="shared" si="24"/>
        <v>3001</v>
      </c>
      <c r="M57" s="634"/>
      <c r="N57" s="634"/>
      <c r="O57" s="634">
        <f t="shared" si="25"/>
        <v>3001</v>
      </c>
    </row>
    <row r="58" spans="1:16" s="674" customFormat="1" x14ac:dyDescent="0.25">
      <c r="A58" s="631"/>
      <c r="B58" s="632" t="s">
        <v>133</v>
      </c>
      <c r="C58" s="634"/>
      <c r="D58" s="634"/>
      <c r="E58" s="634"/>
      <c r="F58" s="634"/>
      <c r="G58" s="634"/>
      <c r="H58" s="634"/>
      <c r="I58" s="634"/>
      <c r="J58" s="634"/>
      <c r="K58" s="634"/>
      <c r="L58" s="634"/>
      <c r="M58" s="634"/>
      <c r="N58" s="634"/>
      <c r="O58" s="634"/>
    </row>
    <row r="59" spans="1:16" s="674" customFormat="1" ht="16.5" thickBot="1" x14ac:dyDescent="0.3">
      <c r="A59" s="631"/>
      <c r="B59" s="634" t="s">
        <v>1199</v>
      </c>
      <c r="C59" s="634"/>
      <c r="D59" s="634"/>
      <c r="E59" s="634"/>
      <c r="F59" s="634"/>
      <c r="G59" s="634"/>
      <c r="H59" s="634"/>
      <c r="I59" s="634"/>
      <c r="J59" s="634">
        <f t="shared" si="22"/>
        <v>0</v>
      </c>
      <c r="K59" s="634">
        <f t="shared" si="23"/>
        <v>0</v>
      </c>
      <c r="L59" s="634">
        <f t="shared" si="24"/>
        <v>0</v>
      </c>
      <c r="M59" s="634">
        <v>562</v>
      </c>
      <c r="N59" s="634"/>
      <c r="O59" s="634">
        <f t="shared" si="25"/>
        <v>562</v>
      </c>
    </row>
    <row r="60" spans="1:16" ht="17.25" thickTop="1" thickBot="1" x14ac:dyDescent="0.3">
      <c r="A60" s="626"/>
      <c r="B60" s="635" t="s">
        <v>400</v>
      </c>
      <c r="C60" s="635">
        <f>+C51+C55+C59+C56+C57</f>
        <v>6373</v>
      </c>
      <c r="D60" s="635">
        <f t="shared" ref="D60:O60" si="26">+D51+D55+D59+D56+D57</f>
        <v>0</v>
      </c>
      <c r="E60" s="635">
        <f t="shared" si="26"/>
        <v>0</v>
      </c>
      <c r="F60" s="635">
        <f t="shared" si="26"/>
        <v>4883</v>
      </c>
      <c r="G60" s="635">
        <f t="shared" si="26"/>
        <v>0</v>
      </c>
      <c r="H60" s="635">
        <f t="shared" si="26"/>
        <v>0</v>
      </c>
      <c r="I60" s="635">
        <f t="shared" si="26"/>
        <v>0</v>
      </c>
      <c r="J60" s="635">
        <f t="shared" si="26"/>
        <v>11256</v>
      </c>
      <c r="K60" s="635">
        <f t="shared" si="26"/>
        <v>0</v>
      </c>
      <c r="L60" s="635">
        <f t="shared" si="26"/>
        <v>11256</v>
      </c>
      <c r="M60" s="635">
        <f t="shared" si="26"/>
        <v>105831</v>
      </c>
      <c r="N60" s="635">
        <f t="shared" si="26"/>
        <v>304</v>
      </c>
      <c r="O60" s="635">
        <f t="shared" si="26"/>
        <v>117391</v>
      </c>
      <c r="P60" s="671">
        <f>O61+O62</f>
        <v>117391</v>
      </c>
    </row>
    <row r="61" spans="1:16" ht="17.25" thickTop="1" thickBot="1" x14ac:dyDescent="0.3">
      <c r="A61" s="626"/>
      <c r="B61" s="635" t="s">
        <v>399</v>
      </c>
      <c r="C61" s="635">
        <f t="shared" ref="C61:O61" si="27">+C52+C55+C56+C57</f>
        <v>6373</v>
      </c>
      <c r="D61" s="635">
        <f t="shared" si="27"/>
        <v>0</v>
      </c>
      <c r="E61" s="635">
        <f t="shared" si="27"/>
        <v>0</v>
      </c>
      <c r="F61" s="635">
        <f t="shared" si="27"/>
        <v>4883</v>
      </c>
      <c r="G61" s="635">
        <f t="shared" si="27"/>
        <v>0</v>
      </c>
      <c r="H61" s="635">
        <f t="shared" si="27"/>
        <v>0</v>
      </c>
      <c r="I61" s="635">
        <f t="shared" si="27"/>
        <v>0</v>
      </c>
      <c r="J61" s="635">
        <f t="shared" si="27"/>
        <v>11256</v>
      </c>
      <c r="K61" s="635">
        <f t="shared" si="27"/>
        <v>0</v>
      </c>
      <c r="L61" s="635">
        <f t="shared" si="27"/>
        <v>11256</v>
      </c>
      <c r="M61" s="635">
        <f t="shared" si="27"/>
        <v>102239</v>
      </c>
      <c r="N61" s="635">
        <f t="shared" si="27"/>
        <v>304</v>
      </c>
      <c r="O61" s="635">
        <f t="shared" si="27"/>
        <v>113799</v>
      </c>
    </row>
    <row r="62" spans="1:16" ht="17.25" thickTop="1" thickBot="1" x14ac:dyDescent="0.3">
      <c r="A62" s="626"/>
      <c r="B62" s="635" t="s">
        <v>398</v>
      </c>
      <c r="C62" s="635">
        <f>+C53+C59</f>
        <v>0</v>
      </c>
      <c r="D62" s="635">
        <f t="shared" ref="D62:O62" si="28">+D53+D59</f>
        <v>0</v>
      </c>
      <c r="E62" s="635">
        <f t="shared" si="28"/>
        <v>0</v>
      </c>
      <c r="F62" s="635">
        <f t="shared" si="28"/>
        <v>0</v>
      </c>
      <c r="G62" s="635">
        <f t="shared" si="28"/>
        <v>0</v>
      </c>
      <c r="H62" s="635">
        <f t="shared" si="28"/>
        <v>0</v>
      </c>
      <c r="I62" s="635">
        <f t="shared" si="28"/>
        <v>0</v>
      </c>
      <c r="J62" s="635">
        <f t="shared" si="28"/>
        <v>0</v>
      </c>
      <c r="K62" s="635">
        <f t="shared" si="28"/>
        <v>0</v>
      </c>
      <c r="L62" s="635">
        <f t="shared" si="28"/>
        <v>0</v>
      </c>
      <c r="M62" s="635">
        <f t="shared" si="28"/>
        <v>3592</v>
      </c>
      <c r="N62" s="635">
        <f t="shared" si="28"/>
        <v>0</v>
      </c>
      <c r="O62" s="635">
        <f t="shared" si="28"/>
        <v>3592</v>
      </c>
    </row>
    <row r="63" spans="1:16" ht="16.5" thickTop="1" x14ac:dyDescent="0.25">
      <c r="A63" s="630" t="s">
        <v>149</v>
      </c>
      <c r="B63" s="672" t="s">
        <v>428</v>
      </c>
      <c r="C63" s="672"/>
      <c r="D63" s="672"/>
      <c r="E63" s="672"/>
      <c r="F63" s="672"/>
      <c r="G63" s="672"/>
      <c r="H63" s="672"/>
      <c r="I63" s="672"/>
      <c r="J63" s="672"/>
      <c r="K63" s="672"/>
      <c r="L63" s="672"/>
      <c r="M63" s="672"/>
      <c r="N63" s="672"/>
      <c r="O63" s="672"/>
    </row>
    <row r="64" spans="1:16" x14ac:dyDescent="0.25">
      <c r="A64" s="630"/>
      <c r="B64" s="673" t="s">
        <v>363</v>
      </c>
      <c r="C64" s="673">
        <v>6147</v>
      </c>
      <c r="D64" s="673"/>
      <c r="E64" s="673"/>
      <c r="F64" s="673">
        <v>2256</v>
      </c>
      <c r="G64" s="673"/>
      <c r="H64" s="673"/>
      <c r="I64" s="673"/>
      <c r="J64" s="673">
        <f>SUM(C64+E64+F64+H64)</f>
        <v>8403</v>
      </c>
      <c r="K64" s="673">
        <f>SUM(D64+G64+I64)</f>
        <v>0</v>
      </c>
      <c r="L64" s="673">
        <f>SUM(J64:K64)</f>
        <v>8403</v>
      </c>
      <c r="M64" s="673">
        <v>103284</v>
      </c>
      <c r="N64" s="673">
        <v>256</v>
      </c>
      <c r="O64" s="673">
        <f>SUM(L64:N64)</f>
        <v>111943</v>
      </c>
    </row>
    <row r="65" spans="1:16" s="674" customFormat="1" x14ac:dyDescent="0.25">
      <c r="A65" s="631"/>
      <c r="B65" s="632" t="s">
        <v>402</v>
      </c>
      <c r="C65" s="632">
        <v>6147</v>
      </c>
      <c r="D65" s="632"/>
      <c r="E65" s="632"/>
      <c r="F65" s="632">
        <v>2256</v>
      </c>
      <c r="G65" s="632"/>
      <c r="H65" s="632"/>
      <c r="I65" s="632"/>
      <c r="J65" s="633">
        <f>SUM(C65+E65+F65+H65)</f>
        <v>8403</v>
      </c>
      <c r="K65" s="633">
        <f>SUM(D65+G65+I65)</f>
        <v>0</v>
      </c>
      <c r="L65" s="633">
        <f>SUM(J65:K65)</f>
        <v>8403</v>
      </c>
      <c r="M65" s="633">
        <v>100297</v>
      </c>
      <c r="N65" s="633">
        <v>256</v>
      </c>
      <c r="O65" s="633">
        <f>SUM(L65:N65)</f>
        <v>108956</v>
      </c>
    </row>
    <row r="66" spans="1:16" s="674" customFormat="1" x14ac:dyDescent="0.25">
      <c r="A66" s="631"/>
      <c r="B66" s="632" t="s">
        <v>401</v>
      </c>
      <c r="C66" s="632">
        <v>0</v>
      </c>
      <c r="D66" s="632"/>
      <c r="E66" s="632"/>
      <c r="F66" s="632">
        <v>0</v>
      </c>
      <c r="G66" s="632"/>
      <c r="H66" s="632"/>
      <c r="I66" s="632"/>
      <c r="J66" s="633">
        <f>SUM(C66+E66+F66+H66)</f>
        <v>0</v>
      </c>
      <c r="K66" s="633">
        <f>SUM(D66+G66+I66)</f>
        <v>0</v>
      </c>
      <c r="L66" s="633">
        <f>SUM(J66:K66)</f>
        <v>0</v>
      </c>
      <c r="M66" s="633">
        <v>2987</v>
      </c>
      <c r="N66" s="633"/>
      <c r="O66" s="633">
        <f>SUM(L66:N66)</f>
        <v>2987</v>
      </c>
    </row>
    <row r="67" spans="1:16" s="674" customFormat="1" x14ac:dyDescent="0.25">
      <c r="A67" s="631"/>
      <c r="B67" s="632" t="s">
        <v>132</v>
      </c>
      <c r="C67" s="634"/>
      <c r="D67" s="634"/>
      <c r="E67" s="634"/>
      <c r="F67" s="634"/>
      <c r="G67" s="634"/>
      <c r="H67" s="634"/>
      <c r="I67" s="634"/>
      <c r="J67" s="634"/>
      <c r="K67" s="634"/>
      <c r="L67" s="634"/>
      <c r="M67" s="634"/>
      <c r="N67" s="634"/>
      <c r="O67" s="634"/>
    </row>
    <row r="68" spans="1:16" s="674" customFormat="1" x14ac:dyDescent="0.25">
      <c r="A68" s="631"/>
      <c r="B68" s="634" t="s">
        <v>1197</v>
      </c>
      <c r="C68" s="634"/>
      <c r="D68" s="634"/>
      <c r="E68" s="634"/>
      <c r="F68" s="634"/>
      <c r="G68" s="634"/>
      <c r="H68" s="634"/>
      <c r="I68" s="634"/>
      <c r="J68" s="634">
        <f t="shared" ref="J68:J72" si="29">SUM(C68+E68+F68+H68)</f>
        <v>0</v>
      </c>
      <c r="K68" s="634">
        <f>SUM(D68+G68+I68)</f>
        <v>0</v>
      </c>
      <c r="L68" s="634">
        <f t="shared" ref="L68:L72" si="30">SUM(J68:K68)</f>
        <v>0</v>
      </c>
      <c r="M68" s="634">
        <v>46</v>
      </c>
      <c r="N68" s="634"/>
      <c r="O68" s="634">
        <f t="shared" ref="O68:O72" si="31">SUM(L68:N68)</f>
        <v>46</v>
      </c>
    </row>
    <row r="69" spans="1:16" s="674" customFormat="1" ht="33" customHeight="1" x14ac:dyDescent="0.25">
      <c r="A69" s="631"/>
      <c r="B69" s="634" t="s">
        <v>1200</v>
      </c>
      <c r="C69" s="634"/>
      <c r="D69" s="634"/>
      <c r="E69" s="634"/>
      <c r="F69" s="634"/>
      <c r="G69" s="634"/>
      <c r="H69" s="634"/>
      <c r="I69" s="634"/>
      <c r="J69" s="634">
        <f t="shared" si="29"/>
        <v>0</v>
      </c>
      <c r="K69" s="634">
        <f t="shared" ref="K69:K72" si="32">SUM(D69+G69+I69)</f>
        <v>0</v>
      </c>
      <c r="L69" s="634">
        <f t="shared" si="30"/>
        <v>0</v>
      </c>
      <c r="M69" s="634">
        <v>166</v>
      </c>
      <c r="N69" s="634"/>
      <c r="O69" s="634">
        <f t="shared" si="31"/>
        <v>166</v>
      </c>
    </row>
    <row r="70" spans="1:16" s="674" customFormat="1" ht="31.5" x14ac:dyDescent="0.25">
      <c r="A70" s="631"/>
      <c r="B70" s="634" t="s">
        <v>935</v>
      </c>
      <c r="C70" s="634"/>
      <c r="D70" s="634"/>
      <c r="E70" s="634"/>
      <c r="F70" s="634">
        <v>386</v>
      </c>
      <c r="G70" s="634"/>
      <c r="H70" s="634"/>
      <c r="I70" s="634"/>
      <c r="J70" s="634">
        <f t="shared" si="29"/>
        <v>386</v>
      </c>
      <c r="K70" s="634">
        <f t="shared" si="32"/>
        <v>0</v>
      </c>
      <c r="L70" s="634">
        <f t="shared" si="30"/>
        <v>386</v>
      </c>
      <c r="M70" s="634"/>
      <c r="N70" s="634"/>
      <c r="O70" s="634">
        <f t="shared" si="31"/>
        <v>386</v>
      </c>
    </row>
    <row r="71" spans="1:16" s="674" customFormat="1" x14ac:dyDescent="0.25">
      <c r="A71" s="631"/>
      <c r="B71" s="632" t="s">
        <v>133</v>
      </c>
      <c r="C71" s="634"/>
      <c r="D71" s="634"/>
      <c r="E71" s="634"/>
      <c r="F71" s="634"/>
      <c r="G71" s="634"/>
      <c r="H71" s="634"/>
      <c r="I71" s="634"/>
      <c r="J71" s="634"/>
      <c r="K71" s="634"/>
      <c r="L71" s="634"/>
      <c r="M71" s="634"/>
      <c r="N71" s="634"/>
      <c r="O71" s="634"/>
    </row>
    <row r="72" spans="1:16" s="674" customFormat="1" ht="16.5" thickBot="1" x14ac:dyDescent="0.3">
      <c r="A72" s="631"/>
      <c r="B72" s="634" t="s">
        <v>1199</v>
      </c>
      <c r="C72" s="634"/>
      <c r="D72" s="634"/>
      <c r="E72" s="634"/>
      <c r="F72" s="634"/>
      <c r="G72" s="634"/>
      <c r="H72" s="634"/>
      <c r="I72" s="634"/>
      <c r="J72" s="634">
        <f t="shared" si="29"/>
        <v>0</v>
      </c>
      <c r="K72" s="634">
        <f t="shared" si="32"/>
        <v>0</v>
      </c>
      <c r="L72" s="634">
        <f t="shared" si="30"/>
        <v>0</v>
      </c>
      <c r="M72" s="634">
        <v>582</v>
      </c>
      <c r="N72" s="634"/>
      <c r="O72" s="634">
        <f t="shared" si="31"/>
        <v>582</v>
      </c>
    </row>
    <row r="73" spans="1:16" ht="17.25" thickTop="1" thickBot="1" x14ac:dyDescent="0.3">
      <c r="A73" s="626"/>
      <c r="B73" s="635" t="s">
        <v>400</v>
      </c>
      <c r="C73" s="635">
        <f>+C64+C68+C72+C69+C70</f>
        <v>6147</v>
      </c>
      <c r="D73" s="635">
        <f t="shared" ref="D73:O73" si="33">+D64+D68+D72+D69+D70</f>
        <v>0</v>
      </c>
      <c r="E73" s="635">
        <f t="shared" si="33"/>
        <v>0</v>
      </c>
      <c r="F73" s="635">
        <f t="shared" si="33"/>
        <v>2642</v>
      </c>
      <c r="G73" s="635">
        <f t="shared" si="33"/>
        <v>0</v>
      </c>
      <c r="H73" s="635">
        <f t="shared" si="33"/>
        <v>0</v>
      </c>
      <c r="I73" s="635">
        <f t="shared" si="33"/>
        <v>0</v>
      </c>
      <c r="J73" s="635">
        <f t="shared" si="33"/>
        <v>8789</v>
      </c>
      <c r="K73" s="635">
        <f t="shared" si="33"/>
        <v>0</v>
      </c>
      <c r="L73" s="635">
        <f t="shared" si="33"/>
        <v>8789</v>
      </c>
      <c r="M73" s="635">
        <f t="shared" si="33"/>
        <v>104078</v>
      </c>
      <c r="N73" s="635">
        <f t="shared" si="33"/>
        <v>256</v>
      </c>
      <c r="O73" s="635">
        <f t="shared" si="33"/>
        <v>113123</v>
      </c>
      <c r="P73" s="671">
        <f>O74+O75</f>
        <v>113123</v>
      </c>
    </row>
    <row r="74" spans="1:16" ht="17.25" thickTop="1" thickBot="1" x14ac:dyDescent="0.3">
      <c r="A74" s="626"/>
      <c r="B74" s="635" t="s">
        <v>399</v>
      </c>
      <c r="C74" s="635">
        <f>+C65+C68+C69+C70</f>
        <v>6147</v>
      </c>
      <c r="D74" s="635">
        <f t="shared" ref="D74:O74" si="34">+D65+D68+D69+D70</f>
        <v>0</v>
      </c>
      <c r="E74" s="635">
        <f t="shared" si="34"/>
        <v>0</v>
      </c>
      <c r="F74" s="635">
        <f t="shared" si="34"/>
        <v>2642</v>
      </c>
      <c r="G74" s="635">
        <f t="shared" si="34"/>
        <v>0</v>
      </c>
      <c r="H74" s="635">
        <f t="shared" si="34"/>
        <v>0</v>
      </c>
      <c r="I74" s="635">
        <f t="shared" si="34"/>
        <v>0</v>
      </c>
      <c r="J74" s="635">
        <f t="shared" si="34"/>
        <v>8789</v>
      </c>
      <c r="K74" s="635">
        <f t="shared" si="34"/>
        <v>0</v>
      </c>
      <c r="L74" s="635">
        <f t="shared" si="34"/>
        <v>8789</v>
      </c>
      <c r="M74" s="635">
        <f t="shared" si="34"/>
        <v>100509</v>
      </c>
      <c r="N74" s="635">
        <f t="shared" si="34"/>
        <v>256</v>
      </c>
      <c r="O74" s="635">
        <f t="shared" si="34"/>
        <v>109554</v>
      </c>
    </row>
    <row r="75" spans="1:16" ht="17.25" thickTop="1" thickBot="1" x14ac:dyDescent="0.3">
      <c r="A75" s="626"/>
      <c r="B75" s="635" t="s">
        <v>398</v>
      </c>
      <c r="C75" s="635">
        <f>+C66+C72</f>
        <v>0</v>
      </c>
      <c r="D75" s="635">
        <f t="shared" ref="D75:O75" si="35">+D66+D72</f>
        <v>0</v>
      </c>
      <c r="E75" s="635">
        <f t="shared" si="35"/>
        <v>0</v>
      </c>
      <c r="F75" s="635">
        <f t="shared" si="35"/>
        <v>0</v>
      </c>
      <c r="G75" s="635">
        <f t="shared" si="35"/>
        <v>0</v>
      </c>
      <c r="H75" s="635">
        <f t="shared" si="35"/>
        <v>0</v>
      </c>
      <c r="I75" s="635">
        <f t="shared" si="35"/>
        <v>0</v>
      </c>
      <c r="J75" s="635">
        <f t="shared" si="35"/>
        <v>0</v>
      </c>
      <c r="K75" s="635">
        <f t="shared" si="35"/>
        <v>0</v>
      </c>
      <c r="L75" s="635">
        <f t="shared" si="35"/>
        <v>0</v>
      </c>
      <c r="M75" s="635">
        <f t="shared" si="35"/>
        <v>3569</v>
      </c>
      <c r="N75" s="635">
        <f t="shared" si="35"/>
        <v>0</v>
      </c>
      <c r="O75" s="635">
        <f t="shared" si="35"/>
        <v>3569</v>
      </c>
    </row>
    <row r="76" spans="1:16" ht="16.5" thickTop="1" x14ac:dyDescent="0.25">
      <c r="A76" s="630" t="s">
        <v>150</v>
      </c>
      <c r="B76" s="672" t="s">
        <v>427</v>
      </c>
      <c r="C76" s="672"/>
      <c r="D76" s="672"/>
      <c r="E76" s="672"/>
      <c r="F76" s="672"/>
      <c r="G76" s="672"/>
      <c r="H76" s="672"/>
      <c r="I76" s="672"/>
      <c r="J76" s="672"/>
      <c r="K76" s="672"/>
      <c r="L76" s="672"/>
      <c r="M76" s="672"/>
      <c r="N76" s="672"/>
      <c r="O76" s="672"/>
    </row>
    <row r="77" spans="1:16" x14ac:dyDescent="0.25">
      <c r="A77" s="630"/>
      <c r="B77" s="673" t="s">
        <v>363</v>
      </c>
      <c r="C77" s="673">
        <v>3349</v>
      </c>
      <c r="D77" s="673"/>
      <c r="E77" s="673"/>
      <c r="F77" s="673">
        <v>470</v>
      </c>
      <c r="G77" s="673"/>
      <c r="H77" s="673"/>
      <c r="I77" s="673"/>
      <c r="J77" s="673">
        <f>SUM(C77+E77+F77+H77)</f>
        <v>3819</v>
      </c>
      <c r="K77" s="673">
        <f>SUM(D77+G77+I77)</f>
        <v>0</v>
      </c>
      <c r="L77" s="673">
        <f>SUM(J77:K77)</f>
        <v>3819</v>
      </c>
      <c r="M77" s="673">
        <v>57921</v>
      </c>
      <c r="N77" s="673">
        <v>314</v>
      </c>
      <c r="O77" s="673">
        <f>SUM(L77:N77)</f>
        <v>62054</v>
      </c>
    </row>
    <row r="78" spans="1:16" s="674" customFormat="1" x14ac:dyDescent="0.25">
      <c r="A78" s="631"/>
      <c r="B78" s="632" t="s">
        <v>402</v>
      </c>
      <c r="C78" s="632">
        <v>3349</v>
      </c>
      <c r="D78" s="632"/>
      <c r="E78" s="632"/>
      <c r="F78" s="632">
        <v>470</v>
      </c>
      <c r="G78" s="632"/>
      <c r="H78" s="632"/>
      <c r="I78" s="632"/>
      <c r="J78" s="633">
        <f>SUM(C78+E78+F78+H78)</f>
        <v>3819</v>
      </c>
      <c r="K78" s="633">
        <f>SUM(D78+G78+I78)</f>
        <v>0</v>
      </c>
      <c r="L78" s="633">
        <f>SUM(J78:K78)</f>
        <v>3819</v>
      </c>
      <c r="M78" s="633">
        <v>56167</v>
      </c>
      <c r="N78" s="633">
        <v>314</v>
      </c>
      <c r="O78" s="633">
        <f>SUM(L78:N78)</f>
        <v>60300</v>
      </c>
    </row>
    <row r="79" spans="1:16" s="674" customFormat="1" x14ac:dyDescent="0.25">
      <c r="A79" s="631"/>
      <c r="B79" s="632" t="s">
        <v>401</v>
      </c>
      <c r="C79" s="632">
        <v>0</v>
      </c>
      <c r="D79" s="632"/>
      <c r="E79" s="632"/>
      <c r="F79" s="632">
        <v>0</v>
      </c>
      <c r="G79" s="632"/>
      <c r="H79" s="632"/>
      <c r="I79" s="632"/>
      <c r="J79" s="633">
        <f>SUM(C79+E79+F79+H79)</f>
        <v>0</v>
      </c>
      <c r="K79" s="633">
        <f>SUM(D79+G79+I79)</f>
        <v>0</v>
      </c>
      <c r="L79" s="633">
        <f>SUM(J79:K79)</f>
        <v>0</v>
      </c>
      <c r="M79" s="633">
        <v>1754</v>
      </c>
      <c r="N79" s="633">
        <v>0</v>
      </c>
      <c r="O79" s="633">
        <f>SUM(L79:N79)</f>
        <v>1754</v>
      </c>
    </row>
    <row r="80" spans="1:16" s="674" customFormat="1" x14ac:dyDescent="0.25">
      <c r="A80" s="631"/>
      <c r="B80" s="632" t="s">
        <v>132</v>
      </c>
      <c r="C80" s="634"/>
      <c r="D80" s="634"/>
      <c r="E80" s="634"/>
      <c r="F80" s="634"/>
      <c r="G80" s="634"/>
      <c r="H80" s="634"/>
      <c r="I80" s="634"/>
      <c r="J80" s="634"/>
      <c r="K80" s="634"/>
      <c r="L80" s="634"/>
      <c r="M80" s="634"/>
      <c r="N80" s="634"/>
      <c r="O80" s="634"/>
    </row>
    <row r="81" spans="1:16" s="674" customFormat="1" x14ac:dyDescent="0.25">
      <c r="A81" s="631"/>
      <c r="B81" s="634" t="s">
        <v>1197</v>
      </c>
      <c r="C81" s="634"/>
      <c r="D81" s="634"/>
      <c r="E81" s="634"/>
      <c r="F81" s="634"/>
      <c r="G81" s="634"/>
      <c r="H81" s="634"/>
      <c r="I81" s="634"/>
      <c r="J81" s="634">
        <f t="shared" ref="J81:J85" si="36">SUM(C81+E81+F81+H81)</f>
        <v>0</v>
      </c>
      <c r="K81" s="634">
        <f t="shared" ref="K81:K85" si="37">SUM(D81+G81+I81)</f>
        <v>0</v>
      </c>
      <c r="L81" s="634">
        <f t="shared" ref="L81:L85" si="38">SUM(J81:K81)</f>
        <v>0</v>
      </c>
      <c r="M81" s="634">
        <v>25</v>
      </c>
      <c r="N81" s="634"/>
      <c r="O81" s="634">
        <f t="shared" ref="O81:O85" si="39">SUM(L81:N81)</f>
        <v>25</v>
      </c>
    </row>
    <row r="82" spans="1:16" s="674" customFormat="1" ht="32.25" customHeight="1" x14ac:dyDescent="0.25">
      <c r="A82" s="631"/>
      <c r="B82" s="634" t="s">
        <v>1200</v>
      </c>
      <c r="C82" s="634"/>
      <c r="D82" s="634"/>
      <c r="E82" s="634"/>
      <c r="F82" s="634"/>
      <c r="G82" s="634"/>
      <c r="H82" s="634"/>
      <c r="I82" s="634"/>
      <c r="J82" s="634">
        <f t="shared" si="36"/>
        <v>0</v>
      </c>
      <c r="K82" s="634">
        <f t="shared" si="37"/>
        <v>0</v>
      </c>
      <c r="L82" s="634">
        <f t="shared" si="38"/>
        <v>0</v>
      </c>
      <c r="M82" s="634">
        <v>78</v>
      </c>
      <c r="N82" s="634"/>
      <c r="O82" s="634">
        <f t="shared" si="39"/>
        <v>78</v>
      </c>
    </row>
    <row r="83" spans="1:16" s="674" customFormat="1" ht="32.25" customHeight="1" x14ac:dyDescent="0.25">
      <c r="A83" s="631"/>
      <c r="B83" s="634" t="s">
        <v>935</v>
      </c>
      <c r="C83" s="634"/>
      <c r="D83" s="634"/>
      <c r="E83" s="634"/>
      <c r="F83" s="634">
        <v>445</v>
      </c>
      <c r="G83" s="634"/>
      <c r="H83" s="634"/>
      <c r="I83" s="634"/>
      <c r="J83" s="634">
        <f t="shared" si="36"/>
        <v>445</v>
      </c>
      <c r="K83" s="634">
        <f t="shared" si="37"/>
        <v>0</v>
      </c>
      <c r="L83" s="634">
        <f t="shared" si="38"/>
        <v>445</v>
      </c>
      <c r="M83" s="634"/>
      <c r="N83" s="634"/>
      <c r="O83" s="634">
        <f t="shared" si="39"/>
        <v>445</v>
      </c>
    </row>
    <row r="84" spans="1:16" s="674" customFormat="1" x14ac:dyDescent="0.25">
      <c r="A84" s="636"/>
      <c r="B84" s="632" t="s">
        <v>546</v>
      </c>
      <c r="C84" s="634"/>
      <c r="D84" s="634"/>
      <c r="E84" s="634"/>
      <c r="F84" s="634"/>
      <c r="G84" s="634"/>
      <c r="H84" s="634"/>
      <c r="I84" s="634"/>
      <c r="J84" s="634"/>
      <c r="K84" s="634"/>
      <c r="L84" s="634"/>
      <c r="M84" s="634"/>
      <c r="N84" s="634"/>
      <c r="O84" s="634"/>
    </row>
    <row r="85" spans="1:16" s="674" customFormat="1" ht="16.5" thickBot="1" x14ac:dyDescent="0.3">
      <c r="A85" s="631"/>
      <c r="B85" s="634" t="s">
        <v>1199</v>
      </c>
      <c r="C85" s="634"/>
      <c r="D85" s="634"/>
      <c r="E85" s="634"/>
      <c r="F85" s="634"/>
      <c r="G85" s="634"/>
      <c r="H85" s="634"/>
      <c r="I85" s="634"/>
      <c r="J85" s="634">
        <f t="shared" si="36"/>
        <v>0</v>
      </c>
      <c r="K85" s="634">
        <f t="shared" si="37"/>
        <v>0</v>
      </c>
      <c r="L85" s="634">
        <f t="shared" si="38"/>
        <v>0</v>
      </c>
      <c r="M85" s="634">
        <v>313</v>
      </c>
      <c r="N85" s="634"/>
      <c r="O85" s="634">
        <f t="shared" si="39"/>
        <v>313</v>
      </c>
    </row>
    <row r="86" spans="1:16" ht="17.25" thickTop="1" thickBot="1" x14ac:dyDescent="0.3">
      <c r="A86" s="626"/>
      <c r="B86" s="635" t="s">
        <v>400</v>
      </c>
      <c r="C86" s="635">
        <f>+C77+C81+C85+C82+C83</f>
        <v>3349</v>
      </c>
      <c r="D86" s="635">
        <f t="shared" ref="D86:O86" si="40">+D77+D81+D85+D82+D83</f>
        <v>0</v>
      </c>
      <c r="E86" s="635">
        <f t="shared" si="40"/>
        <v>0</v>
      </c>
      <c r="F86" s="635">
        <f t="shared" si="40"/>
        <v>915</v>
      </c>
      <c r="G86" s="635">
        <f t="shared" si="40"/>
        <v>0</v>
      </c>
      <c r="H86" s="635">
        <f t="shared" si="40"/>
        <v>0</v>
      </c>
      <c r="I86" s="635">
        <f t="shared" si="40"/>
        <v>0</v>
      </c>
      <c r="J86" s="635">
        <f t="shared" si="40"/>
        <v>4264</v>
      </c>
      <c r="K86" s="635">
        <f t="shared" si="40"/>
        <v>0</v>
      </c>
      <c r="L86" s="635">
        <f t="shared" si="40"/>
        <v>4264</v>
      </c>
      <c r="M86" s="635">
        <f t="shared" si="40"/>
        <v>58337</v>
      </c>
      <c r="N86" s="635">
        <f t="shared" si="40"/>
        <v>314</v>
      </c>
      <c r="O86" s="635">
        <f t="shared" si="40"/>
        <v>62915</v>
      </c>
      <c r="P86" s="671">
        <f>O87+O88</f>
        <v>62915</v>
      </c>
    </row>
    <row r="87" spans="1:16" ht="17.25" thickTop="1" thickBot="1" x14ac:dyDescent="0.3">
      <c r="A87" s="626"/>
      <c r="B87" s="635" t="s">
        <v>399</v>
      </c>
      <c r="C87" s="635">
        <f t="shared" ref="C87:O87" si="41">+C78+C81+C82+C83</f>
        <v>3349</v>
      </c>
      <c r="D87" s="635">
        <f t="shared" si="41"/>
        <v>0</v>
      </c>
      <c r="E87" s="635">
        <f t="shared" si="41"/>
        <v>0</v>
      </c>
      <c r="F87" s="635">
        <f t="shared" si="41"/>
        <v>915</v>
      </c>
      <c r="G87" s="635">
        <f t="shared" si="41"/>
        <v>0</v>
      </c>
      <c r="H87" s="635">
        <f t="shared" si="41"/>
        <v>0</v>
      </c>
      <c r="I87" s="635">
        <f t="shared" si="41"/>
        <v>0</v>
      </c>
      <c r="J87" s="635">
        <f t="shared" si="41"/>
        <v>4264</v>
      </c>
      <c r="K87" s="635">
        <f t="shared" si="41"/>
        <v>0</v>
      </c>
      <c r="L87" s="635">
        <f t="shared" si="41"/>
        <v>4264</v>
      </c>
      <c r="M87" s="635">
        <f t="shared" si="41"/>
        <v>56270</v>
      </c>
      <c r="N87" s="635">
        <f t="shared" si="41"/>
        <v>314</v>
      </c>
      <c r="O87" s="635">
        <f t="shared" si="41"/>
        <v>60848</v>
      </c>
    </row>
    <row r="88" spans="1:16" ht="17.25" thickTop="1" thickBot="1" x14ac:dyDescent="0.3">
      <c r="A88" s="626"/>
      <c r="B88" s="635" t="s">
        <v>398</v>
      </c>
      <c r="C88" s="635">
        <f>+C79+C85</f>
        <v>0</v>
      </c>
      <c r="D88" s="635">
        <f t="shared" ref="D88:O88" si="42">+D79+D85</f>
        <v>0</v>
      </c>
      <c r="E88" s="635">
        <f t="shared" si="42"/>
        <v>0</v>
      </c>
      <c r="F88" s="635">
        <f t="shared" si="42"/>
        <v>0</v>
      </c>
      <c r="G88" s="635">
        <f t="shared" si="42"/>
        <v>0</v>
      </c>
      <c r="H88" s="635">
        <f t="shared" si="42"/>
        <v>0</v>
      </c>
      <c r="I88" s="635">
        <f t="shared" si="42"/>
        <v>0</v>
      </c>
      <c r="J88" s="635">
        <f t="shared" si="42"/>
        <v>0</v>
      </c>
      <c r="K88" s="635">
        <f t="shared" si="42"/>
        <v>0</v>
      </c>
      <c r="L88" s="635">
        <f t="shared" si="42"/>
        <v>0</v>
      </c>
      <c r="M88" s="635">
        <f t="shared" si="42"/>
        <v>2067</v>
      </c>
      <c r="N88" s="635">
        <f t="shared" si="42"/>
        <v>0</v>
      </c>
      <c r="O88" s="635">
        <f t="shared" si="42"/>
        <v>2067</v>
      </c>
    </row>
    <row r="89" spans="1:16" ht="16.5" thickTop="1" x14ac:dyDescent="0.25">
      <c r="A89" s="630" t="s">
        <v>151</v>
      </c>
      <c r="B89" s="672" t="s">
        <v>1204</v>
      </c>
      <c r="C89" s="672"/>
      <c r="D89" s="672"/>
      <c r="E89" s="672"/>
      <c r="F89" s="672"/>
      <c r="G89" s="672"/>
      <c r="H89" s="672"/>
      <c r="I89" s="672"/>
      <c r="J89" s="672"/>
      <c r="K89" s="672"/>
      <c r="L89" s="672"/>
      <c r="M89" s="672"/>
      <c r="N89" s="672"/>
      <c r="O89" s="672"/>
    </row>
    <row r="90" spans="1:16" ht="16.5" thickBot="1" x14ac:dyDescent="0.3">
      <c r="A90" s="640"/>
      <c r="B90" s="676" t="s">
        <v>363</v>
      </c>
      <c r="C90" s="676">
        <v>7562</v>
      </c>
      <c r="D90" s="676"/>
      <c r="E90" s="676"/>
      <c r="F90" s="676">
        <v>1361</v>
      </c>
      <c r="G90" s="676"/>
      <c r="H90" s="676"/>
      <c r="I90" s="676"/>
      <c r="J90" s="676">
        <f>SUM(C90+E90+F90+H90)</f>
        <v>8923</v>
      </c>
      <c r="K90" s="676">
        <f>SUM(D90+G90+I90)</f>
        <v>0</v>
      </c>
      <c r="L90" s="676">
        <f>SUM(J90:K90)</f>
        <v>8923</v>
      </c>
      <c r="M90" s="676">
        <v>128453</v>
      </c>
      <c r="N90" s="676">
        <v>393</v>
      </c>
      <c r="O90" s="676">
        <f>SUM(L90:N90)</f>
        <v>137769</v>
      </c>
    </row>
    <row r="91" spans="1:16" s="674" customFormat="1" ht="16.5" thickBot="1" x14ac:dyDescent="0.3">
      <c r="A91" s="984"/>
      <c r="B91" s="985" t="s">
        <v>402</v>
      </c>
      <c r="C91" s="985">
        <v>7562</v>
      </c>
      <c r="D91" s="985"/>
      <c r="E91" s="985"/>
      <c r="F91" s="985">
        <v>1361</v>
      </c>
      <c r="G91" s="985"/>
      <c r="H91" s="985"/>
      <c r="I91" s="985"/>
      <c r="J91" s="986">
        <f>SUM(C91+E91+F91+H91)</f>
        <v>8923</v>
      </c>
      <c r="K91" s="986">
        <f>SUM(D91+G91+I91)</f>
        <v>0</v>
      </c>
      <c r="L91" s="986">
        <f>SUM(J91:K91)</f>
        <v>8923</v>
      </c>
      <c r="M91" s="986">
        <v>124776</v>
      </c>
      <c r="N91" s="986">
        <v>393</v>
      </c>
      <c r="O91" s="986">
        <f>SUM(L91:N91)</f>
        <v>134092</v>
      </c>
    </row>
    <row r="92" spans="1:16" s="674" customFormat="1" x14ac:dyDescent="0.25">
      <c r="A92" s="641"/>
      <c r="B92" s="642" t="s">
        <v>401</v>
      </c>
      <c r="C92" s="642">
        <v>0</v>
      </c>
      <c r="D92" s="642"/>
      <c r="E92" s="642"/>
      <c r="F92" s="642">
        <v>0</v>
      </c>
      <c r="G92" s="642"/>
      <c r="H92" s="642"/>
      <c r="I92" s="642"/>
      <c r="J92" s="643">
        <f>SUM(C92+E92+F92+H92)</f>
        <v>0</v>
      </c>
      <c r="K92" s="643">
        <f>SUM(D92+G92+I92)</f>
        <v>0</v>
      </c>
      <c r="L92" s="643">
        <f>SUM(J92:K92)</f>
        <v>0</v>
      </c>
      <c r="M92" s="643">
        <v>3677</v>
      </c>
      <c r="N92" s="643">
        <v>0</v>
      </c>
      <c r="O92" s="643">
        <f>SUM(L92:N92)</f>
        <v>3677</v>
      </c>
    </row>
    <row r="93" spans="1:16" s="674" customFormat="1" x14ac:dyDescent="0.25">
      <c r="A93" s="631"/>
      <c r="B93" s="632" t="s">
        <v>132</v>
      </c>
      <c r="C93" s="634"/>
      <c r="D93" s="634"/>
      <c r="E93" s="634"/>
      <c r="F93" s="634"/>
      <c r="G93" s="634"/>
      <c r="H93" s="634"/>
      <c r="I93" s="634"/>
      <c r="J93" s="634"/>
      <c r="K93" s="634"/>
      <c r="L93" s="634"/>
      <c r="M93" s="634"/>
      <c r="N93" s="634"/>
      <c r="O93" s="634"/>
    </row>
    <row r="94" spans="1:16" s="674" customFormat="1" x14ac:dyDescent="0.25">
      <c r="A94" s="631"/>
      <c r="B94" s="634" t="s">
        <v>1197</v>
      </c>
      <c r="C94" s="634"/>
      <c r="D94" s="634"/>
      <c r="E94" s="634"/>
      <c r="F94" s="634"/>
      <c r="G94" s="634"/>
      <c r="H94" s="634"/>
      <c r="I94" s="634"/>
      <c r="J94" s="634">
        <f t="shared" ref="J94:J99" si="43">SUM(C94+E94+F94+H94)</f>
        <v>0</v>
      </c>
      <c r="K94" s="634">
        <f t="shared" ref="K94:K99" si="44">SUM(D94+G94+I94)</f>
        <v>0</v>
      </c>
      <c r="L94" s="634">
        <f t="shared" ref="L94:L99" si="45">SUM(J94:K94)</f>
        <v>0</v>
      </c>
      <c r="M94" s="634">
        <v>204</v>
      </c>
      <c r="N94" s="634"/>
      <c r="O94" s="634">
        <f t="shared" ref="O94:O99" si="46">SUM(L94:N94)</f>
        <v>204</v>
      </c>
    </row>
    <row r="95" spans="1:16" s="674" customFormat="1" ht="30" customHeight="1" x14ac:dyDescent="0.25">
      <c r="A95" s="631"/>
      <c r="B95" s="634" t="s">
        <v>1200</v>
      </c>
      <c r="C95" s="634"/>
      <c r="D95" s="634"/>
      <c r="E95" s="634"/>
      <c r="F95" s="634"/>
      <c r="G95" s="634"/>
      <c r="H95" s="634"/>
      <c r="I95" s="634"/>
      <c r="J95" s="634">
        <f t="shared" si="43"/>
        <v>0</v>
      </c>
      <c r="K95" s="634">
        <f t="shared" si="44"/>
        <v>0</v>
      </c>
      <c r="L95" s="634">
        <f t="shared" si="45"/>
        <v>0</v>
      </c>
      <c r="M95" s="634">
        <v>159</v>
      </c>
      <c r="N95" s="634"/>
      <c r="O95" s="634">
        <f t="shared" si="46"/>
        <v>159</v>
      </c>
    </row>
    <row r="96" spans="1:16" s="674" customFormat="1" ht="30" customHeight="1" x14ac:dyDescent="0.25">
      <c r="A96" s="631"/>
      <c r="B96" s="634" t="s">
        <v>935</v>
      </c>
      <c r="C96" s="634"/>
      <c r="D96" s="634"/>
      <c r="E96" s="634"/>
      <c r="F96" s="634">
        <v>1374</v>
      </c>
      <c r="G96" s="634"/>
      <c r="H96" s="634"/>
      <c r="I96" s="634"/>
      <c r="J96" s="634">
        <f t="shared" si="43"/>
        <v>1374</v>
      </c>
      <c r="K96" s="634">
        <f t="shared" si="44"/>
        <v>0</v>
      </c>
      <c r="L96" s="634">
        <f t="shared" si="45"/>
        <v>1374</v>
      </c>
      <c r="M96" s="634"/>
      <c r="N96" s="634"/>
      <c r="O96" s="634">
        <f t="shared" si="46"/>
        <v>1374</v>
      </c>
    </row>
    <row r="97" spans="1:16" s="674" customFormat="1" ht="30" customHeight="1" x14ac:dyDescent="0.25">
      <c r="A97" s="631"/>
      <c r="B97" s="634" t="s">
        <v>675</v>
      </c>
      <c r="C97" s="634"/>
      <c r="D97" s="634"/>
      <c r="E97" s="634"/>
      <c r="F97" s="634">
        <v>-1</v>
      </c>
      <c r="G97" s="634"/>
      <c r="H97" s="634"/>
      <c r="I97" s="634"/>
      <c r="J97" s="634">
        <f t="shared" si="43"/>
        <v>-1</v>
      </c>
      <c r="K97" s="634">
        <f t="shared" si="44"/>
        <v>0</v>
      </c>
      <c r="L97" s="634">
        <f t="shared" si="45"/>
        <v>-1</v>
      </c>
      <c r="M97" s="634"/>
      <c r="N97" s="634">
        <v>1</v>
      </c>
      <c r="O97" s="634">
        <f t="shared" si="46"/>
        <v>0</v>
      </c>
    </row>
    <row r="98" spans="1:16" s="674" customFormat="1" x14ac:dyDescent="0.25">
      <c r="A98" s="631"/>
      <c r="B98" s="632" t="s">
        <v>133</v>
      </c>
      <c r="C98" s="634"/>
      <c r="D98" s="634"/>
      <c r="E98" s="634"/>
      <c r="F98" s="634"/>
      <c r="G98" s="634"/>
      <c r="H98" s="634"/>
      <c r="I98" s="634"/>
      <c r="J98" s="634"/>
      <c r="K98" s="634"/>
      <c r="L98" s="634"/>
      <c r="M98" s="634"/>
      <c r="N98" s="634"/>
      <c r="O98" s="634"/>
    </row>
    <row r="99" spans="1:16" s="674" customFormat="1" ht="16.5" thickBot="1" x14ac:dyDescent="0.3">
      <c r="A99" s="631"/>
      <c r="B99" s="634" t="s">
        <v>1199</v>
      </c>
      <c r="C99" s="634"/>
      <c r="D99" s="634"/>
      <c r="E99" s="634"/>
      <c r="F99" s="634"/>
      <c r="G99" s="634"/>
      <c r="H99" s="634"/>
      <c r="I99" s="634"/>
      <c r="J99" s="634">
        <f t="shared" si="43"/>
        <v>0</v>
      </c>
      <c r="K99" s="634">
        <f t="shared" si="44"/>
        <v>0</v>
      </c>
      <c r="L99" s="634">
        <f t="shared" si="45"/>
        <v>0</v>
      </c>
      <c r="M99" s="634">
        <v>695</v>
      </c>
      <c r="N99" s="634"/>
      <c r="O99" s="634">
        <f t="shared" si="46"/>
        <v>695</v>
      </c>
    </row>
    <row r="100" spans="1:16" ht="17.25" thickTop="1" thickBot="1" x14ac:dyDescent="0.3">
      <c r="A100" s="626"/>
      <c r="B100" s="635" t="s">
        <v>400</v>
      </c>
      <c r="C100" s="635">
        <f>+C90+C94+C99+C95+C96+C97</f>
        <v>7562</v>
      </c>
      <c r="D100" s="635">
        <f t="shared" ref="D100:O100" si="47">+D90+D94+D99+D95+D96+D97</f>
        <v>0</v>
      </c>
      <c r="E100" s="635">
        <f t="shared" si="47"/>
        <v>0</v>
      </c>
      <c r="F100" s="635">
        <f t="shared" si="47"/>
        <v>2734</v>
      </c>
      <c r="G100" s="635">
        <f t="shared" si="47"/>
        <v>0</v>
      </c>
      <c r="H100" s="635">
        <f t="shared" si="47"/>
        <v>0</v>
      </c>
      <c r="I100" s="635">
        <f t="shared" si="47"/>
        <v>0</v>
      </c>
      <c r="J100" s="635">
        <f t="shared" si="47"/>
        <v>10296</v>
      </c>
      <c r="K100" s="635">
        <f t="shared" si="47"/>
        <v>0</v>
      </c>
      <c r="L100" s="635">
        <f t="shared" si="47"/>
        <v>10296</v>
      </c>
      <c r="M100" s="635">
        <f t="shared" si="47"/>
        <v>129511</v>
      </c>
      <c r="N100" s="635">
        <f t="shared" si="47"/>
        <v>394</v>
      </c>
      <c r="O100" s="635">
        <f t="shared" si="47"/>
        <v>140201</v>
      </c>
      <c r="P100" s="671">
        <f>O101+O102</f>
        <v>140201</v>
      </c>
    </row>
    <row r="101" spans="1:16" ht="17.25" thickTop="1" thickBot="1" x14ac:dyDescent="0.3">
      <c r="A101" s="626"/>
      <c r="B101" s="635" t="s">
        <v>399</v>
      </c>
      <c r="C101" s="635">
        <f t="shared" ref="C101:O101" si="48">+C91+C94+C95+C96+C97</f>
        <v>7562</v>
      </c>
      <c r="D101" s="635">
        <f t="shared" si="48"/>
        <v>0</v>
      </c>
      <c r="E101" s="635">
        <f t="shared" si="48"/>
        <v>0</v>
      </c>
      <c r="F101" s="635">
        <f t="shared" si="48"/>
        <v>2734</v>
      </c>
      <c r="G101" s="635">
        <f t="shared" si="48"/>
        <v>0</v>
      </c>
      <c r="H101" s="635">
        <f t="shared" si="48"/>
        <v>0</v>
      </c>
      <c r="I101" s="635">
        <f t="shared" si="48"/>
        <v>0</v>
      </c>
      <c r="J101" s="635">
        <f t="shared" si="48"/>
        <v>10296</v>
      </c>
      <c r="K101" s="635">
        <f t="shared" si="48"/>
        <v>0</v>
      </c>
      <c r="L101" s="635">
        <f t="shared" si="48"/>
        <v>10296</v>
      </c>
      <c r="M101" s="635">
        <f t="shared" si="48"/>
        <v>125139</v>
      </c>
      <c r="N101" s="635">
        <f t="shared" si="48"/>
        <v>394</v>
      </c>
      <c r="O101" s="635">
        <f t="shared" si="48"/>
        <v>135829</v>
      </c>
    </row>
    <row r="102" spans="1:16" ht="17.25" thickTop="1" thickBot="1" x14ac:dyDescent="0.3">
      <c r="A102" s="626"/>
      <c r="B102" s="635" t="s">
        <v>398</v>
      </c>
      <c r="C102" s="635">
        <f>+C92+C99</f>
        <v>0</v>
      </c>
      <c r="D102" s="635">
        <f t="shared" ref="D102:O102" si="49">+D92+D99</f>
        <v>0</v>
      </c>
      <c r="E102" s="635">
        <f t="shared" si="49"/>
        <v>0</v>
      </c>
      <c r="F102" s="635">
        <f t="shared" si="49"/>
        <v>0</v>
      </c>
      <c r="G102" s="635">
        <f t="shared" si="49"/>
        <v>0</v>
      </c>
      <c r="H102" s="635">
        <f t="shared" si="49"/>
        <v>0</v>
      </c>
      <c r="I102" s="635">
        <f t="shared" si="49"/>
        <v>0</v>
      </c>
      <c r="J102" s="635">
        <f t="shared" si="49"/>
        <v>0</v>
      </c>
      <c r="K102" s="635">
        <f t="shared" si="49"/>
        <v>0</v>
      </c>
      <c r="L102" s="635">
        <f t="shared" si="49"/>
        <v>0</v>
      </c>
      <c r="M102" s="635">
        <f t="shared" si="49"/>
        <v>4372</v>
      </c>
      <c r="N102" s="635">
        <f t="shared" si="49"/>
        <v>0</v>
      </c>
      <c r="O102" s="635">
        <f t="shared" si="49"/>
        <v>4372</v>
      </c>
    </row>
    <row r="103" spans="1:16" ht="16.5" thickTop="1" x14ac:dyDescent="0.25">
      <c r="A103" s="630" t="s">
        <v>152</v>
      </c>
      <c r="B103" s="672" t="s">
        <v>1205</v>
      </c>
      <c r="C103" s="672"/>
      <c r="D103" s="672"/>
      <c r="E103" s="672"/>
      <c r="F103" s="672"/>
      <c r="G103" s="672"/>
      <c r="H103" s="672"/>
      <c r="I103" s="672"/>
      <c r="J103" s="672"/>
      <c r="K103" s="672"/>
      <c r="L103" s="672"/>
      <c r="M103" s="672"/>
      <c r="N103" s="672"/>
      <c r="O103" s="672"/>
    </row>
    <row r="104" spans="1:16" x14ac:dyDescent="0.25">
      <c r="A104" s="630"/>
      <c r="B104" s="673" t="s">
        <v>363</v>
      </c>
      <c r="C104" s="673">
        <v>5554</v>
      </c>
      <c r="D104" s="673"/>
      <c r="E104" s="673"/>
      <c r="F104" s="673">
        <v>1844</v>
      </c>
      <c r="G104" s="673"/>
      <c r="H104" s="673"/>
      <c r="I104" s="673"/>
      <c r="J104" s="673">
        <f>SUM(C104+E104+F104+H104)</f>
        <v>7398</v>
      </c>
      <c r="K104" s="673">
        <f>SUM(D104+G104+I104)</f>
        <v>0</v>
      </c>
      <c r="L104" s="673">
        <f>SUM(J104:K104)</f>
        <v>7398</v>
      </c>
      <c r="M104" s="673">
        <v>100174</v>
      </c>
      <c r="N104" s="673">
        <v>652</v>
      </c>
      <c r="O104" s="673">
        <f>SUM(L104:N104)</f>
        <v>108224</v>
      </c>
    </row>
    <row r="105" spans="1:16" s="674" customFormat="1" x14ac:dyDescent="0.25">
      <c r="A105" s="636"/>
      <c r="B105" s="637" t="s">
        <v>402</v>
      </c>
      <c r="C105" s="637">
        <v>5554</v>
      </c>
      <c r="D105" s="637"/>
      <c r="E105" s="637"/>
      <c r="F105" s="637">
        <v>1844</v>
      </c>
      <c r="G105" s="637"/>
      <c r="H105" s="637"/>
      <c r="I105" s="637"/>
      <c r="J105" s="638">
        <f>SUM(C105+E105+F105+H105)</f>
        <v>7398</v>
      </c>
      <c r="K105" s="638">
        <f>SUM(D105+G105+I105)</f>
        <v>0</v>
      </c>
      <c r="L105" s="638">
        <f>SUM(J105:K105)</f>
        <v>7398</v>
      </c>
      <c r="M105" s="638">
        <v>97016</v>
      </c>
      <c r="N105" s="638">
        <v>652</v>
      </c>
      <c r="O105" s="638">
        <f>SUM(L105:N105)</f>
        <v>105066</v>
      </c>
    </row>
    <row r="106" spans="1:16" s="674" customFormat="1" x14ac:dyDescent="0.25">
      <c r="A106" s="636"/>
      <c r="B106" s="637" t="s">
        <v>401</v>
      </c>
      <c r="C106" s="637">
        <v>0</v>
      </c>
      <c r="D106" s="637"/>
      <c r="E106" s="637"/>
      <c r="F106" s="637">
        <v>0</v>
      </c>
      <c r="G106" s="637"/>
      <c r="H106" s="637"/>
      <c r="I106" s="637"/>
      <c r="J106" s="638">
        <f>SUM(C106+E106+F106+H106)</f>
        <v>0</v>
      </c>
      <c r="K106" s="638">
        <f>SUM(D106+G106+I106)</f>
        <v>0</v>
      </c>
      <c r="L106" s="638">
        <f>SUM(J106:K106)</f>
        <v>0</v>
      </c>
      <c r="M106" s="638">
        <v>3158</v>
      </c>
      <c r="N106" s="638">
        <v>0</v>
      </c>
      <c r="O106" s="638">
        <f>SUM(L106:N106)</f>
        <v>3158</v>
      </c>
    </row>
    <row r="107" spans="1:16" s="674" customFormat="1" x14ac:dyDescent="0.25">
      <c r="A107" s="636"/>
      <c r="B107" s="637" t="s">
        <v>132</v>
      </c>
      <c r="C107" s="639"/>
      <c r="D107" s="639"/>
      <c r="E107" s="639"/>
      <c r="F107" s="639"/>
      <c r="G107" s="639"/>
      <c r="H107" s="639"/>
      <c r="I107" s="639"/>
      <c r="J107" s="639"/>
      <c r="K107" s="639"/>
      <c r="L107" s="639"/>
      <c r="M107" s="639"/>
      <c r="N107" s="639"/>
      <c r="O107" s="639"/>
    </row>
    <row r="108" spans="1:16" s="674" customFormat="1" x14ac:dyDescent="0.25">
      <c r="A108" s="636"/>
      <c r="B108" s="634" t="s">
        <v>1197</v>
      </c>
      <c r="C108" s="639"/>
      <c r="D108" s="639"/>
      <c r="E108" s="639"/>
      <c r="F108" s="639"/>
      <c r="G108" s="639"/>
      <c r="H108" s="639"/>
      <c r="I108" s="639"/>
      <c r="J108" s="639">
        <f t="shared" ref="J108:J112" si="50">SUM(C108+E108+F108+H108)</f>
        <v>0</v>
      </c>
      <c r="K108" s="639">
        <f t="shared" ref="K108:K112" si="51">SUM(D108+G108+I108)</f>
        <v>0</v>
      </c>
      <c r="L108" s="639">
        <f t="shared" ref="L108:L112" si="52">SUM(J108:K108)</f>
        <v>0</v>
      </c>
      <c r="M108" s="639">
        <v>31</v>
      </c>
      <c r="N108" s="639"/>
      <c r="O108" s="639">
        <f t="shared" ref="O108:O112" si="53">SUM(L108:N108)</f>
        <v>31</v>
      </c>
    </row>
    <row r="109" spans="1:16" s="674" customFormat="1" ht="33" customHeight="1" x14ac:dyDescent="0.25">
      <c r="A109" s="636"/>
      <c r="B109" s="634" t="s">
        <v>1200</v>
      </c>
      <c r="C109" s="639"/>
      <c r="D109" s="639"/>
      <c r="E109" s="639"/>
      <c r="F109" s="639"/>
      <c r="G109" s="639"/>
      <c r="H109" s="639"/>
      <c r="I109" s="639"/>
      <c r="J109" s="639">
        <f t="shared" si="50"/>
        <v>0</v>
      </c>
      <c r="K109" s="639">
        <f t="shared" si="51"/>
        <v>0</v>
      </c>
      <c r="L109" s="639">
        <f t="shared" si="52"/>
        <v>0</v>
      </c>
      <c r="M109" s="639">
        <v>113</v>
      </c>
      <c r="N109" s="639"/>
      <c r="O109" s="639">
        <f t="shared" si="53"/>
        <v>113</v>
      </c>
    </row>
    <row r="110" spans="1:16" s="674" customFormat="1" ht="33" customHeight="1" x14ac:dyDescent="0.25">
      <c r="A110" s="636"/>
      <c r="B110" s="634" t="s">
        <v>935</v>
      </c>
      <c r="C110" s="639"/>
      <c r="D110" s="639"/>
      <c r="E110" s="639"/>
      <c r="F110" s="639">
        <v>572</v>
      </c>
      <c r="G110" s="639"/>
      <c r="H110" s="639"/>
      <c r="I110" s="639"/>
      <c r="J110" s="639">
        <f t="shared" si="50"/>
        <v>572</v>
      </c>
      <c r="K110" s="639">
        <f t="shared" si="51"/>
        <v>0</v>
      </c>
      <c r="L110" s="639">
        <f t="shared" si="52"/>
        <v>572</v>
      </c>
      <c r="M110" s="639"/>
      <c r="N110" s="639"/>
      <c r="O110" s="639">
        <f t="shared" si="53"/>
        <v>572</v>
      </c>
    </row>
    <row r="111" spans="1:16" s="674" customFormat="1" x14ac:dyDescent="0.25">
      <c r="A111" s="636"/>
      <c r="B111" s="637" t="s">
        <v>133</v>
      </c>
      <c r="C111" s="639"/>
      <c r="D111" s="639"/>
      <c r="E111" s="639"/>
      <c r="F111" s="639"/>
      <c r="G111" s="639"/>
      <c r="H111" s="639"/>
      <c r="I111" s="639"/>
      <c r="J111" s="639"/>
      <c r="K111" s="639"/>
      <c r="L111" s="639"/>
      <c r="M111" s="639"/>
      <c r="N111" s="639"/>
      <c r="O111" s="639"/>
    </row>
    <row r="112" spans="1:16" s="674" customFormat="1" ht="16.5" thickBot="1" x14ac:dyDescent="0.3">
      <c r="A112" s="636"/>
      <c r="B112" s="634" t="s">
        <v>1199</v>
      </c>
      <c r="C112" s="639"/>
      <c r="D112" s="639"/>
      <c r="E112" s="639"/>
      <c r="F112" s="639"/>
      <c r="G112" s="639"/>
      <c r="H112" s="639"/>
      <c r="I112" s="639"/>
      <c r="J112" s="639">
        <f t="shared" si="50"/>
        <v>0</v>
      </c>
      <c r="K112" s="639">
        <f t="shared" si="51"/>
        <v>0</v>
      </c>
      <c r="L112" s="639">
        <f t="shared" si="52"/>
        <v>0</v>
      </c>
      <c r="M112" s="639">
        <v>567</v>
      </c>
      <c r="N112" s="639"/>
      <c r="O112" s="639">
        <f t="shared" si="53"/>
        <v>567</v>
      </c>
    </row>
    <row r="113" spans="1:16" ht="17.25" thickTop="1" thickBot="1" x14ac:dyDescent="0.3">
      <c r="A113" s="626"/>
      <c r="B113" s="635" t="s">
        <v>400</v>
      </c>
      <c r="C113" s="635">
        <f>+C104+C108+C112+C109+C110</f>
        <v>5554</v>
      </c>
      <c r="D113" s="635">
        <f t="shared" ref="D113:O113" si="54">+D104+D108+D112+D109+D110</f>
        <v>0</v>
      </c>
      <c r="E113" s="635">
        <f t="shared" si="54"/>
        <v>0</v>
      </c>
      <c r="F113" s="635">
        <f t="shared" si="54"/>
        <v>2416</v>
      </c>
      <c r="G113" s="635">
        <f t="shared" si="54"/>
        <v>0</v>
      </c>
      <c r="H113" s="635">
        <f t="shared" si="54"/>
        <v>0</v>
      </c>
      <c r="I113" s="635">
        <f t="shared" si="54"/>
        <v>0</v>
      </c>
      <c r="J113" s="635">
        <f t="shared" si="54"/>
        <v>7970</v>
      </c>
      <c r="K113" s="635">
        <f t="shared" si="54"/>
        <v>0</v>
      </c>
      <c r="L113" s="635">
        <f t="shared" si="54"/>
        <v>7970</v>
      </c>
      <c r="M113" s="635">
        <f t="shared" si="54"/>
        <v>100885</v>
      </c>
      <c r="N113" s="635">
        <f t="shared" si="54"/>
        <v>652</v>
      </c>
      <c r="O113" s="635">
        <f t="shared" si="54"/>
        <v>109507</v>
      </c>
      <c r="P113" s="671">
        <f>O114+O115</f>
        <v>109507</v>
      </c>
    </row>
    <row r="114" spans="1:16" ht="17.25" thickTop="1" thickBot="1" x14ac:dyDescent="0.3">
      <c r="A114" s="626"/>
      <c r="B114" s="635" t="s">
        <v>399</v>
      </c>
      <c r="C114" s="635">
        <f t="shared" ref="C114:O114" si="55">+C105+C108+C109+C110</f>
        <v>5554</v>
      </c>
      <c r="D114" s="635">
        <f t="shared" si="55"/>
        <v>0</v>
      </c>
      <c r="E114" s="635">
        <f t="shared" si="55"/>
        <v>0</v>
      </c>
      <c r="F114" s="635">
        <f t="shared" si="55"/>
        <v>2416</v>
      </c>
      <c r="G114" s="635">
        <f t="shared" si="55"/>
        <v>0</v>
      </c>
      <c r="H114" s="635">
        <f t="shared" si="55"/>
        <v>0</v>
      </c>
      <c r="I114" s="635">
        <f t="shared" si="55"/>
        <v>0</v>
      </c>
      <c r="J114" s="635">
        <f t="shared" si="55"/>
        <v>7970</v>
      </c>
      <c r="K114" s="635">
        <f t="shared" si="55"/>
        <v>0</v>
      </c>
      <c r="L114" s="635">
        <f t="shared" si="55"/>
        <v>7970</v>
      </c>
      <c r="M114" s="635">
        <f t="shared" si="55"/>
        <v>97160</v>
      </c>
      <c r="N114" s="635">
        <f t="shared" si="55"/>
        <v>652</v>
      </c>
      <c r="O114" s="635">
        <f t="shared" si="55"/>
        <v>105782</v>
      </c>
    </row>
    <row r="115" spans="1:16" ht="17.25" thickTop="1" thickBot="1" x14ac:dyDescent="0.3">
      <c r="A115" s="626"/>
      <c r="B115" s="635" t="s">
        <v>398</v>
      </c>
      <c r="C115" s="635">
        <f>+C106+C112</f>
        <v>0</v>
      </c>
      <c r="D115" s="635">
        <f t="shared" ref="D115:O115" si="56">+D106+D112</f>
        <v>0</v>
      </c>
      <c r="E115" s="635">
        <f t="shared" si="56"/>
        <v>0</v>
      </c>
      <c r="F115" s="635">
        <f t="shared" si="56"/>
        <v>0</v>
      </c>
      <c r="G115" s="635">
        <f t="shared" si="56"/>
        <v>0</v>
      </c>
      <c r="H115" s="635">
        <f t="shared" si="56"/>
        <v>0</v>
      </c>
      <c r="I115" s="635">
        <f t="shared" si="56"/>
        <v>0</v>
      </c>
      <c r="J115" s="635">
        <f t="shared" si="56"/>
        <v>0</v>
      </c>
      <c r="K115" s="635">
        <f t="shared" si="56"/>
        <v>0</v>
      </c>
      <c r="L115" s="635">
        <f t="shared" si="56"/>
        <v>0</v>
      </c>
      <c r="M115" s="635">
        <f t="shared" si="56"/>
        <v>3725</v>
      </c>
      <c r="N115" s="635">
        <f t="shared" si="56"/>
        <v>0</v>
      </c>
      <c r="O115" s="635">
        <f t="shared" si="56"/>
        <v>3725</v>
      </c>
    </row>
    <row r="116" spans="1:16" ht="17.25" thickTop="1" thickBot="1" x14ac:dyDescent="0.3">
      <c r="A116" s="626"/>
      <c r="B116" s="635" t="s">
        <v>426</v>
      </c>
      <c r="C116" s="635">
        <f t="shared" ref="C116:O116" si="57">SUM(C47+C60+C73+C86+C100+C113)</f>
        <v>34570</v>
      </c>
      <c r="D116" s="635">
        <f t="shared" si="57"/>
        <v>0</v>
      </c>
      <c r="E116" s="635">
        <f t="shared" si="57"/>
        <v>0</v>
      </c>
      <c r="F116" s="635">
        <f t="shared" si="57"/>
        <v>15790</v>
      </c>
      <c r="G116" s="635">
        <f t="shared" si="57"/>
        <v>0</v>
      </c>
      <c r="H116" s="635">
        <f t="shared" si="57"/>
        <v>0</v>
      </c>
      <c r="I116" s="635">
        <f t="shared" si="57"/>
        <v>0</v>
      </c>
      <c r="J116" s="635">
        <f t="shared" si="57"/>
        <v>50360</v>
      </c>
      <c r="K116" s="635">
        <f t="shared" si="57"/>
        <v>0</v>
      </c>
      <c r="L116" s="635">
        <f t="shared" si="57"/>
        <v>50360</v>
      </c>
      <c r="M116" s="635">
        <f t="shared" si="57"/>
        <v>597754</v>
      </c>
      <c r="N116" s="635">
        <f t="shared" si="57"/>
        <v>2548</v>
      </c>
      <c r="O116" s="635">
        <f t="shared" si="57"/>
        <v>650662</v>
      </c>
    </row>
    <row r="117" spans="1:16" ht="16.5" thickTop="1" x14ac:dyDescent="0.25">
      <c r="A117" s="630" t="s">
        <v>153</v>
      </c>
      <c r="B117" s="672" t="s">
        <v>425</v>
      </c>
      <c r="C117" s="672"/>
      <c r="D117" s="672"/>
      <c r="E117" s="672"/>
      <c r="F117" s="672"/>
      <c r="G117" s="672"/>
      <c r="H117" s="672"/>
      <c r="I117" s="672"/>
      <c r="J117" s="672"/>
      <c r="K117" s="672"/>
      <c r="L117" s="672"/>
      <c r="M117" s="672"/>
      <c r="N117" s="672"/>
      <c r="O117" s="672"/>
    </row>
    <row r="118" spans="1:16" x14ac:dyDescent="0.25">
      <c r="A118" s="630"/>
      <c r="B118" s="673" t="s">
        <v>363</v>
      </c>
      <c r="C118" s="673">
        <v>15132</v>
      </c>
      <c r="D118" s="673"/>
      <c r="E118" s="673"/>
      <c r="F118" s="673">
        <v>8652</v>
      </c>
      <c r="G118" s="673"/>
      <c r="H118" s="673"/>
      <c r="I118" s="673"/>
      <c r="J118" s="673">
        <f>SUM(C118+E118+F118+H118)</f>
        <v>23784</v>
      </c>
      <c r="K118" s="673">
        <f>SUM(D118+G118+I118)</f>
        <v>0</v>
      </c>
      <c r="L118" s="673">
        <f>SUM(J118:K118)</f>
        <v>23784</v>
      </c>
      <c r="M118" s="673">
        <v>269918</v>
      </c>
      <c r="N118" s="673">
        <v>2194</v>
      </c>
      <c r="O118" s="673">
        <f>SUM(L118:N118)</f>
        <v>295896</v>
      </c>
    </row>
    <row r="119" spans="1:16" s="674" customFormat="1" x14ac:dyDescent="0.25">
      <c r="A119" s="631"/>
      <c r="B119" s="632" t="s">
        <v>402</v>
      </c>
      <c r="C119" s="632">
        <v>15132</v>
      </c>
      <c r="D119" s="632"/>
      <c r="E119" s="632"/>
      <c r="F119" s="632">
        <v>8652</v>
      </c>
      <c r="G119" s="632"/>
      <c r="H119" s="632"/>
      <c r="I119" s="632"/>
      <c r="J119" s="633">
        <f>SUM(C119+E119+F119+H119)</f>
        <v>23784</v>
      </c>
      <c r="K119" s="633">
        <f>SUM(D119+G119+I119)</f>
        <v>0</v>
      </c>
      <c r="L119" s="633">
        <f>SUM(J119:K119)</f>
        <v>23784</v>
      </c>
      <c r="M119" s="633">
        <v>263783</v>
      </c>
      <c r="N119" s="633">
        <v>2194</v>
      </c>
      <c r="O119" s="633">
        <f>SUM(L119:N119)</f>
        <v>289761</v>
      </c>
    </row>
    <row r="120" spans="1:16" s="674" customFormat="1" x14ac:dyDescent="0.25">
      <c r="A120" s="636"/>
      <c r="B120" s="632" t="s">
        <v>401</v>
      </c>
      <c r="C120" s="632">
        <v>0</v>
      </c>
      <c r="D120" s="632"/>
      <c r="E120" s="632"/>
      <c r="F120" s="632">
        <v>0</v>
      </c>
      <c r="G120" s="632"/>
      <c r="H120" s="632"/>
      <c r="I120" s="632"/>
      <c r="J120" s="633">
        <f>SUM(C120+E120+F120+H120)</f>
        <v>0</v>
      </c>
      <c r="K120" s="633">
        <f>SUM(D120+G120+I120)</f>
        <v>0</v>
      </c>
      <c r="L120" s="633">
        <f>SUM(J120:K120)</f>
        <v>0</v>
      </c>
      <c r="M120" s="633">
        <v>6135</v>
      </c>
      <c r="N120" s="633">
        <v>0</v>
      </c>
      <c r="O120" s="633">
        <f>SUM(L120:N120)</f>
        <v>6135</v>
      </c>
    </row>
    <row r="121" spans="1:16" s="674" customFormat="1" x14ac:dyDescent="0.25">
      <c r="A121" s="636"/>
      <c r="B121" s="632" t="s">
        <v>132</v>
      </c>
      <c r="C121" s="634"/>
      <c r="D121" s="634"/>
      <c r="E121" s="634"/>
      <c r="F121" s="634"/>
      <c r="G121" s="634"/>
      <c r="H121" s="634"/>
      <c r="I121" s="634"/>
      <c r="J121" s="634"/>
      <c r="K121" s="634"/>
      <c r="L121" s="634"/>
      <c r="M121" s="634"/>
      <c r="N121" s="634"/>
      <c r="O121" s="634"/>
    </row>
    <row r="122" spans="1:16" s="674" customFormat="1" x14ac:dyDescent="0.25">
      <c r="A122" s="636"/>
      <c r="B122" s="634" t="s">
        <v>1197</v>
      </c>
      <c r="C122" s="634"/>
      <c r="D122" s="634"/>
      <c r="E122" s="634"/>
      <c r="F122" s="634"/>
      <c r="G122" s="634"/>
      <c r="H122" s="634"/>
      <c r="I122" s="634"/>
      <c r="J122" s="634">
        <f t="shared" ref="J122:J126" si="58">SUM(C122+E122+F122+H122)</f>
        <v>0</v>
      </c>
      <c r="K122" s="634">
        <f t="shared" ref="K122:K126" si="59">SUM(D122+G122+I122)</f>
        <v>0</v>
      </c>
      <c r="L122" s="634">
        <f t="shared" ref="L122:L126" si="60">SUM(J122:K122)</f>
        <v>0</v>
      </c>
      <c r="M122" s="634">
        <v>13</v>
      </c>
      <c r="N122" s="634"/>
      <c r="O122" s="634">
        <f t="shared" ref="O122:O126" si="61">SUM(L122:N122)</f>
        <v>13</v>
      </c>
    </row>
    <row r="123" spans="1:16" s="674" customFormat="1" ht="47.25" x14ac:dyDescent="0.25">
      <c r="A123" s="636"/>
      <c r="B123" s="634" t="s">
        <v>1198</v>
      </c>
      <c r="C123" s="634"/>
      <c r="D123" s="634"/>
      <c r="E123" s="634"/>
      <c r="F123" s="634"/>
      <c r="G123" s="634"/>
      <c r="H123" s="634"/>
      <c r="I123" s="634"/>
      <c r="J123" s="634">
        <f t="shared" si="58"/>
        <v>0</v>
      </c>
      <c r="K123" s="634">
        <f t="shared" si="59"/>
        <v>0</v>
      </c>
      <c r="L123" s="634">
        <f t="shared" si="60"/>
        <v>0</v>
      </c>
      <c r="M123" s="634">
        <v>1213</v>
      </c>
      <c r="N123" s="634"/>
      <c r="O123" s="634">
        <f t="shared" si="61"/>
        <v>1213</v>
      </c>
    </row>
    <row r="124" spans="1:16" s="674" customFormat="1" ht="31.5" x14ac:dyDescent="0.25">
      <c r="A124" s="636"/>
      <c r="B124" s="634" t="s">
        <v>935</v>
      </c>
      <c r="C124" s="634">
        <v>1000</v>
      </c>
      <c r="D124" s="634"/>
      <c r="E124" s="634"/>
      <c r="F124" s="634">
        <v>3535</v>
      </c>
      <c r="G124" s="634"/>
      <c r="H124" s="634"/>
      <c r="I124" s="634"/>
      <c r="J124" s="634">
        <f t="shared" si="58"/>
        <v>4535</v>
      </c>
      <c r="K124" s="634">
        <f t="shared" si="59"/>
        <v>0</v>
      </c>
      <c r="L124" s="634">
        <f t="shared" si="60"/>
        <v>4535</v>
      </c>
      <c r="M124" s="634"/>
      <c r="N124" s="634"/>
      <c r="O124" s="634">
        <f t="shared" si="61"/>
        <v>4535</v>
      </c>
    </row>
    <row r="125" spans="1:16" s="674" customFormat="1" x14ac:dyDescent="0.25">
      <c r="A125" s="636"/>
      <c r="B125" s="632" t="s">
        <v>133</v>
      </c>
      <c r="C125" s="634"/>
      <c r="D125" s="634"/>
      <c r="E125" s="634"/>
      <c r="F125" s="634"/>
      <c r="G125" s="634"/>
      <c r="H125" s="634"/>
      <c r="I125" s="634"/>
      <c r="J125" s="634"/>
      <c r="K125" s="634"/>
      <c r="L125" s="634"/>
      <c r="M125" s="634"/>
      <c r="N125" s="634"/>
      <c r="O125" s="634"/>
    </row>
    <row r="126" spans="1:16" s="674" customFormat="1" ht="16.5" thickBot="1" x14ac:dyDescent="0.3">
      <c r="A126" s="636"/>
      <c r="B126" s="634" t="s">
        <v>1199</v>
      </c>
      <c r="C126" s="634"/>
      <c r="D126" s="634"/>
      <c r="E126" s="634"/>
      <c r="F126" s="634"/>
      <c r="G126" s="634"/>
      <c r="H126" s="634"/>
      <c r="I126" s="634"/>
      <c r="J126" s="634">
        <f t="shared" si="58"/>
        <v>0</v>
      </c>
      <c r="K126" s="634">
        <f t="shared" si="59"/>
        <v>0</v>
      </c>
      <c r="L126" s="634">
        <f t="shared" si="60"/>
        <v>0</v>
      </c>
      <c r="M126" s="634">
        <v>1159</v>
      </c>
      <c r="N126" s="634"/>
      <c r="O126" s="634">
        <f t="shared" si="61"/>
        <v>1159</v>
      </c>
    </row>
    <row r="127" spans="1:16" ht="17.25" thickTop="1" thickBot="1" x14ac:dyDescent="0.3">
      <c r="A127" s="626"/>
      <c r="B127" s="635" t="s">
        <v>400</v>
      </c>
      <c r="C127" s="635">
        <f>+C118+C122+C126+C123+C124</f>
        <v>16132</v>
      </c>
      <c r="D127" s="635">
        <f t="shared" ref="D127:O127" si="62">+D118+D122+D126+D123+D124</f>
        <v>0</v>
      </c>
      <c r="E127" s="635">
        <f t="shared" si="62"/>
        <v>0</v>
      </c>
      <c r="F127" s="635">
        <f t="shared" si="62"/>
        <v>12187</v>
      </c>
      <c r="G127" s="635">
        <f t="shared" si="62"/>
        <v>0</v>
      </c>
      <c r="H127" s="635">
        <f t="shared" si="62"/>
        <v>0</v>
      </c>
      <c r="I127" s="635">
        <f t="shared" si="62"/>
        <v>0</v>
      </c>
      <c r="J127" s="635">
        <f t="shared" si="62"/>
        <v>28319</v>
      </c>
      <c r="K127" s="635">
        <f t="shared" si="62"/>
        <v>0</v>
      </c>
      <c r="L127" s="635">
        <f t="shared" si="62"/>
        <v>28319</v>
      </c>
      <c r="M127" s="635">
        <f t="shared" si="62"/>
        <v>272303</v>
      </c>
      <c r="N127" s="635">
        <f t="shared" si="62"/>
        <v>2194</v>
      </c>
      <c r="O127" s="635">
        <f t="shared" si="62"/>
        <v>302816</v>
      </c>
      <c r="P127" s="671">
        <f>O128+O129</f>
        <v>302816</v>
      </c>
    </row>
    <row r="128" spans="1:16" ht="17.25" thickTop="1" thickBot="1" x14ac:dyDescent="0.3">
      <c r="A128" s="626"/>
      <c r="B128" s="635" t="s">
        <v>399</v>
      </c>
      <c r="C128" s="635">
        <f t="shared" ref="C128:O128" si="63">+C119+C122+C123+C124</f>
        <v>16132</v>
      </c>
      <c r="D128" s="635">
        <f t="shared" si="63"/>
        <v>0</v>
      </c>
      <c r="E128" s="635">
        <f t="shared" si="63"/>
        <v>0</v>
      </c>
      <c r="F128" s="635">
        <f t="shared" si="63"/>
        <v>12187</v>
      </c>
      <c r="G128" s="635">
        <f t="shared" si="63"/>
        <v>0</v>
      </c>
      <c r="H128" s="635">
        <f t="shared" si="63"/>
        <v>0</v>
      </c>
      <c r="I128" s="635">
        <f t="shared" si="63"/>
        <v>0</v>
      </c>
      <c r="J128" s="635">
        <f t="shared" si="63"/>
        <v>28319</v>
      </c>
      <c r="K128" s="635">
        <f t="shared" si="63"/>
        <v>0</v>
      </c>
      <c r="L128" s="635">
        <f t="shared" si="63"/>
        <v>28319</v>
      </c>
      <c r="M128" s="635">
        <f t="shared" si="63"/>
        <v>265009</v>
      </c>
      <c r="N128" s="635">
        <f t="shared" si="63"/>
        <v>2194</v>
      </c>
      <c r="O128" s="635">
        <f t="shared" si="63"/>
        <v>295522</v>
      </c>
    </row>
    <row r="129" spans="1:16" ht="17.25" thickTop="1" thickBot="1" x14ac:dyDescent="0.3">
      <c r="A129" s="630"/>
      <c r="B129" s="635" t="s">
        <v>398</v>
      </c>
      <c r="C129" s="635">
        <f>+C120+C126</f>
        <v>0</v>
      </c>
      <c r="D129" s="635">
        <f t="shared" ref="D129:O129" si="64">+D120+D126</f>
        <v>0</v>
      </c>
      <c r="E129" s="635">
        <f t="shared" si="64"/>
        <v>0</v>
      </c>
      <c r="F129" s="635">
        <f t="shared" si="64"/>
        <v>0</v>
      </c>
      <c r="G129" s="635">
        <f t="shared" si="64"/>
        <v>0</v>
      </c>
      <c r="H129" s="635">
        <f t="shared" si="64"/>
        <v>0</v>
      </c>
      <c r="I129" s="635">
        <f t="shared" si="64"/>
        <v>0</v>
      </c>
      <c r="J129" s="635">
        <f t="shared" si="64"/>
        <v>0</v>
      </c>
      <c r="K129" s="635">
        <f t="shared" si="64"/>
        <v>0</v>
      </c>
      <c r="L129" s="635">
        <f t="shared" si="64"/>
        <v>0</v>
      </c>
      <c r="M129" s="635">
        <f t="shared" si="64"/>
        <v>7294</v>
      </c>
      <c r="N129" s="635">
        <f t="shared" si="64"/>
        <v>0</v>
      </c>
      <c r="O129" s="635">
        <f t="shared" si="64"/>
        <v>7294</v>
      </c>
    </row>
    <row r="130" spans="1:16" ht="16.5" thickTop="1" x14ac:dyDescent="0.25">
      <c r="A130" s="630" t="s">
        <v>0</v>
      </c>
      <c r="B130" s="672" t="s">
        <v>874</v>
      </c>
      <c r="C130" s="672"/>
      <c r="D130" s="672"/>
      <c r="E130" s="672"/>
      <c r="F130" s="672"/>
      <c r="G130" s="672"/>
      <c r="H130" s="672"/>
      <c r="I130" s="672"/>
      <c r="J130" s="672"/>
      <c r="K130" s="672"/>
      <c r="L130" s="672"/>
      <c r="M130" s="672"/>
      <c r="N130" s="672"/>
      <c r="O130" s="672"/>
    </row>
    <row r="131" spans="1:16" x14ac:dyDescent="0.25">
      <c r="A131" s="630"/>
      <c r="B131" s="673" t="s">
        <v>363</v>
      </c>
      <c r="C131" s="673">
        <v>15124</v>
      </c>
      <c r="D131" s="673"/>
      <c r="E131" s="673"/>
      <c r="F131" s="673">
        <v>6149</v>
      </c>
      <c r="G131" s="673"/>
      <c r="H131" s="673"/>
      <c r="I131" s="673"/>
      <c r="J131" s="673">
        <f>SUM(C131+E131+F131+H131)</f>
        <v>21273</v>
      </c>
      <c r="K131" s="673">
        <f>SUM(D131+G131+I131)</f>
        <v>0</v>
      </c>
      <c r="L131" s="673">
        <f>SUM(J131:K131)</f>
        <v>21273</v>
      </c>
      <c r="M131" s="673">
        <v>271061</v>
      </c>
      <c r="N131" s="673">
        <v>345</v>
      </c>
      <c r="O131" s="673">
        <f>SUM(L131:N131)</f>
        <v>292679</v>
      </c>
    </row>
    <row r="132" spans="1:16" s="674" customFormat="1" x14ac:dyDescent="0.25">
      <c r="A132" s="631"/>
      <c r="B132" s="632" t="s">
        <v>402</v>
      </c>
      <c r="C132" s="632">
        <v>15124</v>
      </c>
      <c r="D132" s="632"/>
      <c r="E132" s="632"/>
      <c r="F132" s="632">
        <v>6149</v>
      </c>
      <c r="G132" s="632"/>
      <c r="H132" s="632"/>
      <c r="I132" s="632"/>
      <c r="J132" s="633">
        <f>SUM(C132+E132+F132+H132)</f>
        <v>21273</v>
      </c>
      <c r="K132" s="633">
        <f>SUM(D132+G132+I132)</f>
        <v>0</v>
      </c>
      <c r="L132" s="633">
        <f>SUM(J132:K132)</f>
        <v>21273</v>
      </c>
      <c r="M132" s="633">
        <v>264513</v>
      </c>
      <c r="N132" s="633">
        <v>345</v>
      </c>
      <c r="O132" s="633">
        <f>SUM(L132:N132)</f>
        <v>286131</v>
      </c>
    </row>
    <row r="133" spans="1:16" s="674" customFormat="1" x14ac:dyDescent="0.25">
      <c r="A133" s="631"/>
      <c r="B133" s="632" t="s">
        <v>401</v>
      </c>
      <c r="C133" s="632">
        <v>0</v>
      </c>
      <c r="D133" s="632"/>
      <c r="E133" s="632"/>
      <c r="F133" s="632">
        <v>0</v>
      </c>
      <c r="G133" s="632"/>
      <c r="H133" s="632"/>
      <c r="I133" s="632"/>
      <c r="J133" s="633">
        <f>SUM(C133+E133+F133+H133)</f>
        <v>0</v>
      </c>
      <c r="K133" s="633">
        <f>SUM(D133+G133+I133)</f>
        <v>0</v>
      </c>
      <c r="L133" s="633">
        <f>SUM(J133:K133)</f>
        <v>0</v>
      </c>
      <c r="M133" s="633">
        <v>6548</v>
      </c>
      <c r="N133" s="633">
        <v>0</v>
      </c>
      <c r="O133" s="633">
        <f>SUM(L133:N133)</f>
        <v>6548</v>
      </c>
    </row>
    <row r="134" spans="1:16" s="674" customFormat="1" x14ac:dyDescent="0.25">
      <c r="A134" s="631"/>
      <c r="B134" s="632" t="s">
        <v>132</v>
      </c>
      <c r="C134" s="634"/>
      <c r="D134" s="634"/>
      <c r="E134" s="634"/>
      <c r="F134" s="634"/>
      <c r="G134" s="634"/>
      <c r="H134" s="634"/>
      <c r="I134" s="634"/>
      <c r="J134" s="634"/>
      <c r="K134" s="634"/>
      <c r="L134" s="634"/>
      <c r="M134" s="634"/>
      <c r="N134" s="634"/>
      <c r="O134" s="634"/>
    </row>
    <row r="135" spans="1:16" s="674" customFormat="1" x14ac:dyDescent="0.25">
      <c r="A135" s="631"/>
      <c r="B135" s="634" t="s">
        <v>1197</v>
      </c>
      <c r="C135" s="634"/>
      <c r="D135" s="634"/>
      <c r="E135" s="634"/>
      <c r="F135" s="634"/>
      <c r="G135" s="634"/>
      <c r="H135" s="634"/>
      <c r="I135" s="634"/>
      <c r="J135" s="634">
        <f t="shared" ref="J135:J139" si="65">SUM(C135+E135+F135+H135)</f>
        <v>0</v>
      </c>
      <c r="K135" s="634">
        <f t="shared" ref="K135:K139" si="66">SUM(D135+G135+I135)</f>
        <v>0</v>
      </c>
      <c r="L135" s="634">
        <f t="shared" ref="L135:L139" si="67">SUM(J135:K135)</f>
        <v>0</v>
      </c>
      <c r="M135" s="634">
        <v>42</v>
      </c>
      <c r="N135" s="634"/>
      <c r="O135" s="634">
        <f t="shared" ref="O135:O139" si="68">SUM(L135:N135)</f>
        <v>42</v>
      </c>
    </row>
    <row r="136" spans="1:16" s="674" customFormat="1" ht="48" thickBot="1" x14ac:dyDescent="0.3">
      <c r="A136" s="644"/>
      <c r="B136" s="645" t="s">
        <v>1198</v>
      </c>
      <c r="C136" s="645"/>
      <c r="D136" s="645"/>
      <c r="E136" s="645"/>
      <c r="F136" s="645"/>
      <c r="G136" s="645"/>
      <c r="H136" s="645"/>
      <c r="I136" s="645"/>
      <c r="J136" s="645">
        <f t="shared" si="65"/>
        <v>0</v>
      </c>
      <c r="K136" s="645">
        <f t="shared" si="66"/>
        <v>0</v>
      </c>
      <c r="L136" s="645">
        <f t="shared" si="67"/>
        <v>0</v>
      </c>
      <c r="M136" s="645">
        <v>351</v>
      </c>
      <c r="N136" s="645"/>
      <c r="O136" s="645">
        <f t="shared" si="68"/>
        <v>351</v>
      </c>
    </row>
    <row r="137" spans="1:16" s="674" customFormat="1" ht="32.25" thickBot="1" x14ac:dyDescent="0.3">
      <c r="A137" s="984"/>
      <c r="B137" s="987" t="s">
        <v>935</v>
      </c>
      <c r="C137" s="987">
        <v>-1</v>
      </c>
      <c r="D137" s="987"/>
      <c r="E137" s="987"/>
      <c r="F137" s="987">
        <f>5716-1</f>
        <v>5715</v>
      </c>
      <c r="G137" s="987"/>
      <c r="H137" s="987"/>
      <c r="I137" s="987"/>
      <c r="J137" s="987">
        <f t="shared" si="65"/>
        <v>5714</v>
      </c>
      <c r="K137" s="987">
        <f t="shared" si="66"/>
        <v>0</v>
      </c>
      <c r="L137" s="987">
        <f t="shared" si="67"/>
        <v>5714</v>
      </c>
      <c r="M137" s="987"/>
      <c r="N137" s="987"/>
      <c r="O137" s="987">
        <f t="shared" si="68"/>
        <v>5714</v>
      </c>
    </row>
    <row r="138" spans="1:16" s="674" customFormat="1" x14ac:dyDescent="0.25">
      <c r="A138" s="641"/>
      <c r="B138" s="642" t="s">
        <v>133</v>
      </c>
      <c r="C138" s="646"/>
      <c r="D138" s="646"/>
      <c r="E138" s="646"/>
      <c r="F138" s="646"/>
      <c r="G138" s="646"/>
      <c r="H138" s="646"/>
      <c r="I138" s="646"/>
      <c r="J138" s="646"/>
      <c r="K138" s="646"/>
      <c r="L138" s="646"/>
      <c r="M138" s="646"/>
      <c r="N138" s="646"/>
      <c r="O138" s="646"/>
    </row>
    <row r="139" spans="1:16" s="674" customFormat="1" ht="16.5" thickBot="1" x14ac:dyDescent="0.3">
      <c r="A139" s="631"/>
      <c r="B139" s="634" t="s">
        <v>1199</v>
      </c>
      <c r="C139" s="634"/>
      <c r="D139" s="634"/>
      <c r="E139" s="634"/>
      <c r="F139" s="634"/>
      <c r="G139" s="634"/>
      <c r="H139" s="634"/>
      <c r="I139" s="634"/>
      <c r="J139" s="634">
        <f t="shared" si="65"/>
        <v>0</v>
      </c>
      <c r="K139" s="634">
        <f t="shared" si="66"/>
        <v>0</v>
      </c>
      <c r="L139" s="634">
        <f t="shared" si="67"/>
        <v>0</v>
      </c>
      <c r="M139" s="634">
        <v>1240</v>
      </c>
      <c r="N139" s="634"/>
      <c r="O139" s="634">
        <f t="shared" si="68"/>
        <v>1240</v>
      </c>
    </row>
    <row r="140" spans="1:16" ht="17.25" thickTop="1" thickBot="1" x14ac:dyDescent="0.3">
      <c r="A140" s="626"/>
      <c r="B140" s="635" t="s">
        <v>400</v>
      </c>
      <c r="C140" s="635">
        <f>+C131+C135+C139+C136+C137</f>
        <v>15123</v>
      </c>
      <c r="D140" s="635">
        <f t="shared" ref="D140:O140" si="69">+D131+D135+D139+D136+D137</f>
        <v>0</v>
      </c>
      <c r="E140" s="635">
        <f t="shared" si="69"/>
        <v>0</v>
      </c>
      <c r="F140" s="635">
        <f t="shared" si="69"/>
        <v>11864</v>
      </c>
      <c r="G140" s="635">
        <f t="shared" si="69"/>
        <v>0</v>
      </c>
      <c r="H140" s="635">
        <f t="shared" si="69"/>
        <v>0</v>
      </c>
      <c r="I140" s="635">
        <f t="shared" si="69"/>
        <v>0</v>
      </c>
      <c r="J140" s="635">
        <f t="shared" si="69"/>
        <v>26987</v>
      </c>
      <c r="K140" s="635">
        <f t="shared" si="69"/>
        <v>0</v>
      </c>
      <c r="L140" s="635">
        <f t="shared" si="69"/>
        <v>26987</v>
      </c>
      <c r="M140" s="635">
        <f t="shared" si="69"/>
        <v>272694</v>
      </c>
      <c r="N140" s="635">
        <f t="shared" si="69"/>
        <v>345</v>
      </c>
      <c r="O140" s="635">
        <f t="shared" si="69"/>
        <v>300026</v>
      </c>
      <c r="P140" s="671">
        <f>O141+O142</f>
        <v>300026</v>
      </c>
    </row>
    <row r="141" spans="1:16" ht="17.25" thickTop="1" thickBot="1" x14ac:dyDescent="0.3">
      <c r="A141" s="626"/>
      <c r="B141" s="635" t="s">
        <v>399</v>
      </c>
      <c r="C141" s="635">
        <f t="shared" ref="C141:O141" si="70">+C132+C135+C136+C137</f>
        <v>15123</v>
      </c>
      <c r="D141" s="635">
        <f t="shared" si="70"/>
        <v>0</v>
      </c>
      <c r="E141" s="635">
        <f t="shared" si="70"/>
        <v>0</v>
      </c>
      <c r="F141" s="635">
        <f t="shared" si="70"/>
        <v>11864</v>
      </c>
      <c r="G141" s="635">
        <f t="shared" si="70"/>
        <v>0</v>
      </c>
      <c r="H141" s="635">
        <f t="shared" si="70"/>
        <v>0</v>
      </c>
      <c r="I141" s="635">
        <f t="shared" si="70"/>
        <v>0</v>
      </c>
      <c r="J141" s="635">
        <f t="shared" si="70"/>
        <v>26987</v>
      </c>
      <c r="K141" s="635">
        <f t="shared" si="70"/>
        <v>0</v>
      </c>
      <c r="L141" s="635">
        <f t="shared" si="70"/>
        <v>26987</v>
      </c>
      <c r="M141" s="635">
        <f t="shared" si="70"/>
        <v>264906</v>
      </c>
      <c r="N141" s="635">
        <f t="shared" si="70"/>
        <v>345</v>
      </c>
      <c r="O141" s="635">
        <f t="shared" si="70"/>
        <v>292238</v>
      </c>
    </row>
    <row r="142" spans="1:16" ht="17.25" thickTop="1" thickBot="1" x14ac:dyDescent="0.3">
      <c r="A142" s="626"/>
      <c r="B142" s="635" t="s">
        <v>398</v>
      </c>
      <c r="C142" s="635">
        <f>+C133+C139</f>
        <v>0</v>
      </c>
      <c r="D142" s="635">
        <f t="shared" ref="D142:O142" si="71">+D133+D139</f>
        <v>0</v>
      </c>
      <c r="E142" s="635">
        <f t="shared" si="71"/>
        <v>0</v>
      </c>
      <c r="F142" s="635">
        <f t="shared" si="71"/>
        <v>0</v>
      </c>
      <c r="G142" s="635">
        <f t="shared" si="71"/>
        <v>0</v>
      </c>
      <c r="H142" s="635">
        <f t="shared" si="71"/>
        <v>0</v>
      </c>
      <c r="I142" s="635">
        <f t="shared" si="71"/>
        <v>0</v>
      </c>
      <c r="J142" s="635">
        <f t="shared" si="71"/>
        <v>0</v>
      </c>
      <c r="K142" s="635">
        <f t="shared" si="71"/>
        <v>0</v>
      </c>
      <c r="L142" s="635">
        <f t="shared" si="71"/>
        <v>0</v>
      </c>
      <c r="M142" s="635">
        <f t="shared" si="71"/>
        <v>7788</v>
      </c>
      <c r="N142" s="635">
        <f t="shared" si="71"/>
        <v>0</v>
      </c>
      <c r="O142" s="635">
        <f t="shared" si="71"/>
        <v>7788</v>
      </c>
    </row>
    <row r="143" spans="1:16" ht="32.25" thickTop="1" x14ac:dyDescent="0.25">
      <c r="A143" s="630" t="s">
        <v>1</v>
      </c>
      <c r="B143" s="672" t="s">
        <v>875</v>
      </c>
      <c r="C143" s="672"/>
      <c r="D143" s="672"/>
      <c r="E143" s="672"/>
      <c r="F143" s="672"/>
      <c r="G143" s="672"/>
      <c r="H143" s="672"/>
      <c r="I143" s="672"/>
      <c r="J143" s="672"/>
      <c r="K143" s="672"/>
      <c r="L143" s="672"/>
      <c r="M143" s="672"/>
      <c r="N143" s="672"/>
      <c r="O143" s="672"/>
    </row>
    <row r="144" spans="1:16" x14ac:dyDescent="0.25">
      <c r="A144" s="630"/>
      <c r="B144" s="673" t="s">
        <v>363</v>
      </c>
      <c r="C144" s="673">
        <v>10851</v>
      </c>
      <c r="D144" s="673"/>
      <c r="E144" s="673"/>
      <c r="F144" s="673">
        <v>14870</v>
      </c>
      <c r="G144" s="673"/>
      <c r="H144" s="673"/>
      <c r="I144" s="673"/>
      <c r="J144" s="673">
        <f>SUM(C144+E144+F144+H144)</f>
        <v>25721</v>
      </c>
      <c r="K144" s="673">
        <f>SUM(D144+G144+I144)</f>
        <v>0</v>
      </c>
      <c r="L144" s="673">
        <f>SUM(J144:K144)</f>
        <v>25721</v>
      </c>
      <c r="M144" s="673">
        <v>306992</v>
      </c>
      <c r="N144" s="673">
        <v>5267</v>
      </c>
      <c r="O144" s="673">
        <f>SUM(L144:N144)</f>
        <v>337980</v>
      </c>
    </row>
    <row r="145" spans="1:16" s="674" customFormat="1" x14ac:dyDescent="0.25">
      <c r="A145" s="631"/>
      <c r="B145" s="632" t="s">
        <v>402</v>
      </c>
      <c r="C145" s="632">
        <v>10851</v>
      </c>
      <c r="D145" s="632"/>
      <c r="E145" s="632"/>
      <c r="F145" s="632">
        <v>14870</v>
      </c>
      <c r="G145" s="632"/>
      <c r="H145" s="632"/>
      <c r="I145" s="632"/>
      <c r="J145" s="633">
        <f>SUM(C145+E145+F145+H145)</f>
        <v>25721</v>
      </c>
      <c r="K145" s="633">
        <f>SUM(D145+G145+I145)</f>
        <v>0</v>
      </c>
      <c r="L145" s="633">
        <f>SUM(J145:K145)</f>
        <v>25721</v>
      </c>
      <c r="M145" s="633">
        <v>300498</v>
      </c>
      <c r="N145" s="633">
        <v>5267</v>
      </c>
      <c r="O145" s="633">
        <f>SUM(L145:N145)</f>
        <v>331486</v>
      </c>
    </row>
    <row r="146" spans="1:16" s="674" customFormat="1" x14ac:dyDescent="0.25">
      <c r="A146" s="631"/>
      <c r="B146" s="632" t="s">
        <v>401</v>
      </c>
      <c r="C146" s="632">
        <v>0</v>
      </c>
      <c r="D146" s="632"/>
      <c r="E146" s="632"/>
      <c r="F146" s="632">
        <v>0</v>
      </c>
      <c r="G146" s="632"/>
      <c r="H146" s="632"/>
      <c r="I146" s="632"/>
      <c r="J146" s="633">
        <f>SUM(C146+E146+F146+H146)</f>
        <v>0</v>
      </c>
      <c r="K146" s="633">
        <f>SUM(D146+G146+I146)</f>
        <v>0</v>
      </c>
      <c r="L146" s="633">
        <f>SUM(J146:K146)</f>
        <v>0</v>
      </c>
      <c r="M146" s="633">
        <v>6494</v>
      </c>
      <c r="N146" s="633">
        <v>0</v>
      </c>
      <c r="O146" s="633">
        <f>SUM(L146:N146)</f>
        <v>6494</v>
      </c>
    </row>
    <row r="147" spans="1:16" s="674" customFormat="1" x14ac:dyDescent="0.25">
      <c r="A147" s="631"/>
      <c r="B147" s="632" t="s">
        <v>132</v>
      </c>
      <c r="C147" s="634"/>
      <c r="D147" s="634"/>
      <c r="E147" s="634"/>
      <c r="F147" s="634"/>
      <c r="G147" s="634"/>
      <c r="H147" s="634"/>
      <c r="I147" s="634"/>
      <c r="J147" s="634"/>
      <c r="K147" s="634"/>
      <c r="L147" s="634"/>
      <c r="M147" s="634"/>
      <c r="N147" s="634"/>
      <c r="O147" s="634"/>
    </row>
    <row r="148" spans="1:16" s="674" customFormat="1" x14ac:dyDescent="0.25">
      <c r="A148" s="631"/>
      <c r="B148" s="634" t="s">
        <v>1197</v>
      </c>
      <c r="C148" s="634"/>
      <c r="D148" s="634"/>
      <c r="E148" s="634"/>
      <c r="F148" s="634"/>
      <c r="G148" s="634"/>
      <c r="H148" s="634"/>
      <c r="I148" s="634"/>
      <c r="J148" s="634">
        <f t="shared" ref="J148:J153" si="72">SUM(C148+E148+F148+H148)</f>
        <v>0</v>
      </c>
      <c r="K148" s="634">
        <f t="shared" ref="K148:K153" si="73">SUM(D148+G148+I148)</f>
        <v>0</v>
      </c>
      <c r="L148" s="634">
        <f t="shared" ref="L148:L153" si="74">SUM(J148:K148)</f>
        <v>0</v>
      </c>
      <c r="M148" s="634">
        <v>48</v>
      </c>
      <c r="N148" s="634"/>
      <c r="O148" s="634">
        <f t="shared" ref="O148:O153" si="75">SUM(L148:N148)</f>
        <v>48</v>
      </c>
    </row>
    <row r="149" spans="1:16" s="674" customFormat="1" ht="47.25" x14ac:dyDescent="0.25">
      <c r="A149" s="631"/>
      <c r="B149" s="634" t="s">
        <v>1198</v>
      </c>
      <c r="C149" s="634"/>
      <c r="D149" s="634"/>
      <c r="E149" s="634"/>
      <c r="F149" s="634"/>
      <c r="G149" s="634"/>
      <c r="H149" s="634"/>
      <c r="I149" s="634"/>
      <c r="J149" s="634">
        <f t="shared" si="72"/>
        <v>0</v>
      </c>
      <c r="K149" s="634">
        <f t="shared" si="73"/>
        <v>0</v>
      </c>
      <c r="L149" s="634">
        <f t="shared" si="74"/>
        <v>0</v>
      </c>
      <c r="M149" s="634">
        <v>490</v>
      </c>
      <c r="N149" s="634"/>
      <c r="O149" s="634">
        <f t="shared" si="75"/>
        <v>490</v>
      </c>
    </row>
    <row r="150" spans="1:16" s="674" customFormat="1" ht="31.5" x14ac:dyDescent="0.25">
      <c r="A150" s="631"/>
      <c r="B150" s="634" t="s">
        <v>935</v>
      </c>
      <c r="C150" s="634"/>
      <c r="D150" s="634"/>
      <c r="E150" s="634"/>
      <c r="F150" s="634">
        <v>6333</v>
      </c>
      <c r="G150" s="634"/>
      <c r="H150" s="634"/>
      <c r="I150" s="634"/>
      <c r="J150" s="634">
        <f t="shared" si="72"/>
        <v>6333</v>
      </c>
      <c r="K150" s="634">
        <f t="shared" si="73"/>
        <v>0</v>
      </c>
      <c r="L150" s="634">
        <f t="shared" si="74"/>
        <v>6333</v>
      </c>
      <c r="M150" s="634"/>
      <c r="N150" s="634"/>
      <c r="O150" s="634">
        <f t="shared" si="75"/>
        <v>6333</v>
      </c>
    </row>
    <row r="151" spans="1:16" s="674" customFormat="1" ht="31.5" x14ac:dyDescent="0.25">
      <c r="A151" s="631"/>
      <c r="B151" s="634" t="s">
        <v>675</v>
      </c>
      <c r="C151" s="634"/>
      <c r="D151" s="634"/>
      <c r="E151" s="634"/>
      <c r="F151" s="634">
        <v>-1</v>
      </c>
      <c r="G151" s="634"/>
      <c r="H151" s="634"/>
      <c r="I151" s="634"/>
      <c r="J151" s="634">
        <f t="shared" si="72"/>
        <v>-1</v>
      </c>
      <c r="K151" s="634">
        <f t="shared" si="73"/>
        <v>0</v>
      </c>
      <c r="L151" s="634">
        <f t="shared" si="74"/>
        <v>-1</v>
      </c>
      <c r="M151" s="634"/>
      <c r="N151" s="634">
        <v>1</v>
      </c>
      <c r="O151" s="634">
        <f t="shared" si="75"/>
        <v>0</v>
      </c>
    </row>
    <row r="152" spans="1:16" s="674" customFormat="1" x14ac:dyDescent="0.25">
      <c r="A152" s="631"/>
      <c r="B152" s="632" t="s">
        <v>133</v>
      </c>
      <c r="C152" s="634"/>
      <c r="D152" s="634"/>
      <c r="E152" s="634"/>
      <c r="F152" s="634"/>
      <c r="G152" s="634"/>
      <c r="H152" s="634"/>
      <c r="I152" s="634"/>
      <c r="J152" s="634"/>
      <c r="K152" s="634"/>
      <c r="L152" s="634"/>
      <c r="M152" s="634"/>
      <c r="N152" s="634"/>
      <c r="O152" s="634"/>
    </row>
    <row r="153" spans="1:16" s="674" customFormat="1" ht="16.5" thickBot="1" x14ac:dyDescent="0.3">
      <c r="A153" s="631"/>
      <c r="B153" s="634" t="s">
        <v>1199</v>
      </c>
      <c r="C153" s="634"/>
      <c r="D153" s="634"/>
      <c r="E153" s="634"/>
      <c r="F153" s="634"/>
      <c r="G153" s="634"/>
      <c r="H153" s="634"/>
      <c r="I153" s="634"/>
      <c r="J153" s="634">
        <f t="shared" si="72"/>
        <v>0</v>
      </c>
      <c r="K153" s="634">
        <f t="shared" si="73"/>
        <v>0</v>
      </c>
      <c r="L153" s="634">
        <f t="shared" si="74"/>
        <v>0</v>
      </c>
      <c r="M153" s="634">
        <v>1265</v>
      </c>
      <c r="N153" s="634"/>
      <c r="O153" s="634">
        <f t="shared" si="75"/>
        <v>1265</v>
      </c>
    </row>
    <row r="154" spans="1:16" ht="17.25" thickTop="1" thickBot="1" x14ac:dyDescent="0.3">
      <c r="A154" s="626"/>
      <c r="B154" s="635" t="s">
        <v>400</v>
      </c>
      <c r="C154" s="635">
        <f>+C144+C148+C153+C149+C150+C151</f>
        <v>10851</v>
      </c>
      <c r="D154" s="635">
        <f t="shared" ref="D154:O154" si="76">+D144+D148+D153+D149+D150+D151</f>
        <v>0</v>
      </c>
      <c r="E154" s="635">
        <f t="shared" si="76"/>
        <v>0</v>
      </c>
      <c r="F154" s="635">
        <f t="shared" si="76"/>
        <v>21202</v>
      </c>
      <c r="G154" s="635">
        <f t="shared" si="76"/>
        <v>0</v>
      </c>
      <c r="H154" s="635">
        <f t="shared" si="76"/>
        <v>0</v>
      </c>
      <c r="I154" s="635">
        <f t="shared" si="76"/>
        <v>0</v>
      </c>
      <c r="J154" s="635">
        <f t="shared" si="76"/>
        <v>32053</v>
      </c>
      <c r="K154" s="635">
        <f t="shared" si="76"/>
        <v>0</v>
      </c>
      <c r="L154" s="635">
        <f t="shared" si="76"/>
        <v>32053</v>
      </c>
      <c r="M154" s="635">
        <f t="shared" si="76"/>
        <v>308795</v>
      </c>
      <c r="N154" s="635">
        <f t="shared" si="76"/>
        <v>5268</v>
      </c>
      <c r="O154" s="635">
        <f t="shared" si="76"/>
        <v>346116</v>
      </c>
      <c r="P154" s="671">
        <f>O155+O156</f>
        <v>346116</v>
      </c>
    </row>
    <row r="155" spans="1:16" ht="17.25" thickTop="1" thickBot="1" x14ac:dyDescent="0.3">
      <c r="A155" s="626"/>
      <c r="B155" s="635" t="s">
        <v>399</v>
      </c>
      <c r="C155" s="635">
        <f t="shared" ref="C155:O155" si="77">+C145+C148+C149+C150+C151</f>
        <v>10851</v>
      </c>
      <c r="D155" s="635">
        <f t="shared" si="77"/>
        <v>0</v>
      </c>
      <c r="E155" s="635">
        <f t="shared" si="77"/>
        <v>0</v>
      </c>
      <c r="F155" s="635">
        <f t="shared" si="77"/>
        <v>21202</v>
      </c>
      <c r="G155" s="635">
        <f t="shared" si="77"/>
        <v>0</v>
      </c>
      <c r="H155" s="635">
        <f t="shared" si="77"/>
        <v>0</v>
      </c>
      <c r="I155" s="635">
        <f t="shared" si="77"/>
        <v>0</v>
      </c>
      <c r="J155" s="635">
        <f t="shared" si="77"/>
        <v>32053</v>
      </c>
      <c r="K155" s="635">
        <f t="shared" si="77"/>
        <v>0</v>
      </c>
      <c r="L155" s="635">
        <f t="shared" si="77"/>
        <v>32053</v>
      </c>
      <c r="M155" s="635">
        <f t="shared" si="77"/>
        <v>301036</v>
      </c>
      <c r="N155" s="635">
        <f t="shared" si="77"/>
        <v>5268</v>
      </c>
      <c r="O155" s="635">
        <f t="shared" si="77"/>
        <v>338357</v>
      </c>
    </row>
    <row r="156" spans="1:16" ht="17.25" thickTop="1" thickBot="1" x14ac:dyDescent="0.3">
      <c r="A156" s="626"/>
      <c r="B156" s="635" t="s">
        <v>398</v>
      </c>
      <c r="C156" s="635">
        <f>+C146+C153</f>
        <v>0</v>
      </c>
      <c r="D156" s="635">
        <f t="shared" ref="D156:O156" si="78">+D146+D153</f>
        <v>0</v>
      </c>
      <c r="E156" s="635">
        <f t="shared" si="78"/>
        <v>0</v>
      </c>
      <c r="F156" s="635">
        <f t="shared" si="78"/>
        <v>0</v>
      </c>
      <c r="G156" s="635">
        <f t="shared" si="78"/>
        <v>0</v>
      </c>
      <c r="H156" s="635">
        <f t="shared" si="78"/>
        <v>0</v>
      </c>
      <c r="I156" s="635">
        <f t="shared" si="78"/>
        <v>0</v>
      </c>
      <c r="J156" s="635">
        <f t="shared" si="78"/>
        <v>0</v>
      </c>
      <c r="K156" s="635">
        <f t="shared" si="78"/>
        <v>0</v>
      </c>
      <c r="L156" s="635">
        <f t="shared" si="78"/>
        <v>0</v>
      </c>
      <c r="M156" s="635">
        <f t="shared" si="78"/>
        <v>7759</v>
      </c>
      <c r="N156" s="635">
        <f t="shared" si="78"/>
        <v>0</v>
      </c>
      <c r="O156" s="635">
        <f t="shared" si="78"/>
        <v>7759</v>
      </c>
    </row>
    <row r="157" spans="1:16" ht="16.5" thickTop="1" x14ac:dyDescent="0.25">
      <c r="A157" s="647" t="s">
        <v>2</v>
      </c>
      <c r="B157" s="672" t="s">
        <v>424</v>
      </c>
      <c r="C157" s="672"/>
      <c r="D157" s="672"/>
      <c r="E157" s="672"/>
      <c r="F157" s="672"/>
      <c r="G157" s="672"/>
      <c r="H157" s="672"/>
      <c r="I157" s="672"/>
      <c r="J157" s="672"/>
      <c r="K157" s="672"/>
      <c r="L157" s="672"/>
      <c r="M157" s="672"/>
      <c r="N157" s="672"/>
      <c r="O157" s="672"/>
    </row>
    <row r="158" spans="1:16" x14ac:dyDescent="0.25">
      <c r="A158" s="647"/>
      <c r="B158" s="672" t="s">
        <v>363</v>
      </c>
      <c r="C158" s="672">
        <v>10118</v>
      </c>
      <c r="D158" s="672"/>
      <c r="E158" s="672"/>
      <c r="F158" s="672">
        <v>7707</v>
      </c>
      <c r="G158" s="672"/>
      <c r="H158" s="672"/>
      <c r="I158" s="672"/>
      <c r="J158" s="673">
        <f>SUM(C158+E158+F158+H158)</f>
        <v>17825</v>
      </c>
      <c r="K158" s="673">
        <f>SUM(D158+G158+I158)</f>
        <v>0</v>
      </c>
      <c r="L158" s="673">
        <f>SUM(J158:K158)</f>
        <v>17825</v>
      </c>
      <c r="M158" s="673">
        <v>199500</v>
      </c>
      <c r="N158" s="673">
        <v>1642</v>
      </c>
      <c r="O158" s="673">
        <f>SUM(L158:N158)</f>
        <v>218967</v>
      </c>
    </row>
    <row r="159" spans="1:16" s="674" customFormat="1" x14ac:dyDescent="0.25">
      <c r="A159" s="636"/>
      <c r="B159" s="632" t="s">
        <v>402</v>
      </c>
      <c r="C159" s="632">
        <v>10118</v>
      </c>
      <c r="D159" s="632"/>
      <c r="E159" s="632"/>
      <c r="F159" s="632">
        <v>7707</v>
      </c>
      <c r="G159" s="632"/>
      <c r="H159" s="632"/>
      <c r="I159" s="632"/>
      <c r="J159" s="633">
        <f>SUM(C159+E159+F159+H159)</f>
        <v>17825</v>
      </c>
      <c r="K159" s="633">
        <f>SUM(D159+G159+I159)</f>
        <v>0</v>
      </c>
      <c r="L159" s="633">
        <f>SUM(J159:K159)</f>
        <v>17825</v>
      </c>
      <c r="M159" s="633">
        <v>194715</v>
      </c>
      <c r="N159" s="633">
        <v>1642</v>
      </c>
      <c r="O159" s="633">
        <f>SUM(L159:N159)</f>
        <v>214182</v>
      </c>
    </row>
    <row r="160" spans="1:16" s="674" customFormat="1" x14ac:dyDescent="0.25">
      <c r="A160" s="636"/>
      <c r="B160" s="632" t="s">
        <v>401</v>
      </c>
      <c r="C160" s="632">
        <v>0</v>
      </c>
      <c r="D160" s="632"/>
      <c r="E160" s="632"/>
      <c r="F160" s="632">
        <v>0</v>
      </c>
      <c r="G160" s="632"/>
      <c r="H160" s="632"/>
      <c r="I160" s="632"/>
      <c r="J160" s="633">
        <f>SUM(C160+E160+F160+H160)</f>
        <v>0</v>
      </c>
      <c r="K160" s="633">
        <f>SUM(D160+G160+I160)</f>
        <v>0</v>
      </c>
      <c r="L160" s="633">
        <f>SUM(J160:K160)</f>
        <v>0</v>
      </c>
      <c r="M160" s="633">
        <v>4785</v>
      </c>
      <c r="N160" s="633">
        <v>0</v>
      </c>
      <c r="O160" s="633">
        <f>SUM(L160:N160)</f>
        <v>4785</v>
      </c>
    </row>
    <row r="161" spans="1:16" x14ac:dyDescent="0.25">
      <c r="A161" s="647"/>
      <c r="B161" s="637" t="s">
        <v>132</v>
      </c>
      <c r="C161" s="637"/>
      <c r="D161" s="637"/>
      <c r="E161" s="637"/>
      <c r="F161" s="637"/>
      <c r="G161" s="637"/>
      <c r="H161" s="637"/>
      <c r="I161" s="637"/>
      <c r="J161" s="672"/>
      <c r="K161" s="672"/>
      <c r="L161" s="672"/>
      <c r="M161" s="672"/>
      <c r="N161" s="672"/>
      <c r="O161" s="672"/>
    </row>
    <row r="162" spans="1:16" x14ac:dyDescent="0.25">
      <c r="A162" s="647"/>
      <c r="B162" s="634" t="s">
        <v>1197</v>
      </c>
      <c r="C162" s="639"/>
      <c r="D162" s="637"/>
      <c r="E162" s="637"/>
      <c r="F162" s="637"/>
      <c r="G162" s="637"/>
      <c r="H162" s="637"/>
      <c r="I162" s="637"/>
      <c r="J162" s="672">
        <f>SUM(C162+E162+F162+H162)</f>
        <v>0</v>
      </c>
      <c r="K162" s="672">
        <f>SUM(D162+G162+I162)</f>
        <v>0</v>
      </c>
      <c r="L162" s="672">
        <f>SUM(J162:K162)</f>
        <v>0</v>
      </c>
      <c r="M162" s="672">
        <v>93</v>
      </c>
      <c r="N162" s="672"/>
      <c r="O162" s="672">
        <f>SUM(L162:N162)</f>
        <v>93</v>
      </c>
    </row>
    <row r="163" spans="1:16" ht="47.25" x14ac:dyDescent="0.25">
      <c r="A163" s="647"/>
      <c r="B163" s="634" t="s">
        <v>1198</v>
      </c>
      <c r="C163" s="637"/>
      <c r="D163" s="637"/>
      <c r="E163" s="637"/>
      <c r="F163" s="637"/>
      <c r="G163" s="637"/>
      <c r="H163" s="637"/>
      <c r="I163" s="637"/>
      <c r="J163" s="672">
        <f t="shared" ref="J163:J166" si="79">SUM(C163+E163+F163+H163)</f>
        <v>0</v>
      </c>
      <c r="K163" s="672">
        <f t="shared" ref="K163:K166" si="80">SUM(D163+G163+I163)</f>
        <v>0</v>
      </c>
      <c r="L163" s="672">
        <f t="shared" ref="L163:L166" si="81">SUM(J163:K163)</f>
        <v>0</v>
      </c>
      <c r="M163" s="672">
        <v>6882</v>
      </c>
      <c r="N163" s="672"/>
      <c r="O163" s="672">
        <f t="shared" ref="O163:O166" si="82">SUM(L163:N163)</f>
        <v>6882</v>
      </c>
    </row>
    <row r="164" spans="1:16" ht="31.5" x14ac:dyDescent="0.25">
      <c r="A164" s="647"/>
      <c r="B164" s="634" t="s">
        <v>935</v>
      </c>
      <c r="C164" s="639">
        <v>1</v>
      </c>
      <c r="D164" s="637"/>
      <c r="E164" s="637"/>
      <c r="F164" s="639">
        <v>5119</v>
      </c>
      <c r="G164" s="637"/>
      <c r="H164" s="637"/>
      <c r="I164" s="637"/>
      <c r="J164" s="672">
        <f t="shared" si="79"/>
        <v>5120</v>
      </c>
      <c r="K164" s="672">
        <f t="shared" si="80"/>
        <v>0</v>
      </c>
      <c r="L164" s="672">
        <f t="shared" si="81"/>
        <v>5120</v>
      </c>
      <c r="M164" s="672">
        <f>255+8</f>
        <v>263</v>
      </c>
      <c r="N164" s="672"/>
      <c r="O164" s="672">
        <f t="shared" si="82"/>
        <v>5383</v>
      </c>
    </row>
    <row r="165" spans="1:16" x14ac:dyDescent="0.25">
      <c r="A165" s="647"/>
      <c r="B165" s="637" t="s">
        <v>133</v>
      </c>
      <c r="C165" s="637"/>
      <c r="D165" s="637"/>
      <c r="E165" s="637"/>
      <c r="F165" s="637"/>
      <c r="G165" s="637"/>
      <c r="H165" s="637"/>
      <c r="I165" s="637"/>
      <c r="J165" s="672"/>
      <c r="K165" s="672"/>
      <c r="L165" s="672"/>
      <c r="M165" s="672"/>
      <c r="N165" s="672"/>
      <c r="O165" s="672"/>
    </row>
    <row r="166" spans="1:16" ht="16.5" thickBot="1" x14ac:dyDescent="0.3">
      <c r="A166" s="647"/>
      <c r="B166" s="634" t="s">
        <v>1199</v>
      </c>
      <c r="C166" s="637"/>
      <c r="D166" s="637"/>
      <c r="E166" s="637"/>
      <c r="F166" s="637"/>
      <c r="G166" s="637"/>
      <c r="H166" s="637"/>
      <c r="I166" s="637"/>
      <c r="J166" s="672">
        <f t="shared" si="79"/>
        <v>0</v>
      </c>
      <c r="K166" s="672">
        <f t="shared" si="80"/>
        <v>0</v>
      </c>
      <c r="L166" s="672">
        <f t="shared" si="81"/>
        <v>0</v>
      </c>
      <c r="M166" s="672">
        <v>790</v>
      </c>
      <c r="N166" s="672"/>
      <c r="O166" s="672">
        <f t="shared" si="82"/>
        <v>790</v>
      </c>
    </row>
    <row r="167" spans="1:16" ht="17.25" thickTop="1" thickBot="1" x14ac:dyDescent="0.3">
      <c r="A167" s="626"/>
      <c r="B167" s="635" t="s">
        <v>400</v>
      </c>
      <c r="C167" s="635">
        <f>+C158+C162+C163+C166+C164</f>
        <v>10119</v>
      </c>
      <c r="D167" s="635">
        <f t="shared" ref="D167:O167" si="83">+D158+D162+D163+D166+D164</f>
        <v>0</v>
      </c>
      <c r="E167" s="635">
        <f t="shared" si="83"/>
        <v>0</v>
      </c>
      <c r="F167" s="635">
        <f t="shared" si="83"/>
        <v>12826</v>
      </c>
      <c r="G167" s="635">
        <f t="shared" si="83"/>
        <v>0</v>
      </c>
      <c r="H167" s="635">
        <f t="shared" si="83"/>
        <v>0</v>
      </c>
      <c r="I167" s="635">
        <f t="shared" si="83"/>
        <v>0</v>
      </c>
      <c r="J167" s="635">
        <f t="shared" si="83"/>
        <v>22945</v>
      </c>
      <c r="K167" s="635">
        <f t="shared" si="83"/>
        <v>0</v>
      </c>
      <c r="L167" s="635">
        <f t="shared" si="83"/>
        <v>22945</v>
      </c>
      <c r="M167" s="635">
        <f t="shared" si="83"/>
        <v>207528</v>
      </c>
      <c r="N167" s="635">
        <f t="shared" si="83"/>
        <v>1642</v>
      </c>
      <c r="O167" s="635">
        <f t="shared" si="83"/>
        <v>232115</v>
      </c>
      <c r="P167" s="671">
        <f>O168+O169</f>
        <v>232115</v>
      </c>
    </row>
    <row r="168" spans="1:16" ht="17.25" thickTop="1" thickBot="1" x14ac:dyDescent="0.3">
      <c r="A168" s="626"/>
      <c r="B168" s="635" t="s">
        <v>399</v>
      </c>
      <c r="C168" s="635">
        <f t="shared" ref="C168:O168" si="84">+C159+C162+C163+C164</f>
        <v>10119</v>
      </c>
      <c r="D168" s="635">
        <f t="shared" si="84"/>
        <v>0</v>
      </c>
      <c r="E168" s="635">
        <f t="shared" si="84"/>
        <v>0</v>
      </c>
      <c r="F168" s="635">
        <f t="shared" si="84"/>
        <v>12826</v>
      </c>
      <c r="G168" s="635">
        <f t="shared" si="84"/>
        <v>0</v>
      </c>
      <c r="H168" s="635">
        <f t="shared" si="84"/>
        <v>0</v>
      </c>
      <c r="I168" s="635">
        <f t="shared" si="84"/>
        <v>0</v>
      </c>
      <c r="J168" s="635">
        <f t="shared" si="84"/>
        <v>22945</v>
      </c>
      <c r="K168" s="635">
        <f t="shared" si="84"/>
        <v>0</v>
      </c>
      <c r="L168" s="635">
        <f t="shared" si="84"/>
        <v>22945</v>
      </c>
      <c r="M168" s="635">
        <f t="shared" si="84"/>
        <v>201953</v>
      </c>
      <c r="N168" s="635">
        <f t="shared" si="84"/>
        <v>1642</v>
      </c>
      <c r="O168" s="635">
        <f t="shared" si="84"/>
        <v>226540</v>
      </c>
    </row>
    <row r="169" spans="1:16" ht="17.25" thickTop="1" thickBot="1" x14ac:dyDescent="0.3">
      <c r="A169" s="626"/>
      <c r="B169" s="635" t="s">
        <v>398</v>
      </c>
      <c r="C169" s="635">
        <f>+C160+C166</f>
        <v>0</v>
      </c>
      <c r="D169" s="635">
        <f t="shared" ref="D169:O169" si="85">+D160+D166</f>
        <v>0</v>
      </c>
      <c r="E169" s="635">
        <f t="shared" si="85"/>
        <v>0</v>
      </c>
      <c r="F169" s="635">
        <f t="shared" si="85"/>
        <v>0</v>
      </c>
      <c r="G169" s="635">
        <f t="shared" si="85"/>
        <v>0</v>
      </c>
      <c r="H169" s="635">
        <f t="shared" si="85"/>
        <v>0</v>
      </c>
      <c r="I169" s="635">
        <f t="shared" si="85"/>
        <v>0</v>
      </c>
      <c r="J169" s="635">
        <f t="shared" si="85"/>
        <v>0</v>
      </c>
      <c r="K169" s="635">
        <f t="shared" si="85"/>
        <v>0</v>
      </c>
      <c r="L169" s="635">
        <f t="shared" si="85"/>
        <v>0</v>
      </c>
      <c r="M169" s="635">
        <f t="shared" si="85"/>
        <v>5575</v>
      </c>
      <c r="N169" s="635">
        <f t="shared" si="85"/>
        <v>0</v>
      </c>
      <c r="O169" s="635">
        <f t="shared" si="85"/>
        <v>5575</v>
      </c>
    </row>
    <row r="170" spans="1:16" ht="16.5" thickTop="1" x14ac:dyDescent="0.25">
      <c r="A170" s="630" t="s">
        <v>3</v>
      </c>
      <c r="B170" s="672" t="s">
        <v>423</v>
      </c>
      <c r="C170" s="672"/>
      <c r="D170" s="672"/>
      <c r="E170" s="672"/>
      <c r="F170" s="672"/>
      <c r="G170" s="672"/>
      <c r="H170" s="672"/>
      <c r="I170" s="672"/>
      <c r="J170" s="672"/>
      <c r="K170" s="672"/>
      <c r="L170" s="672"/>
      <c r="M170" s="672"/>
      <c r="N170" s="672"/>
      <c r="O170" s="672"/>
    </row>
    <row r="171" spans="1:16" x14ac:dyDescent="0.25">
      <c r="A171" s="630"/>
      <c r="B171" s="673" t="s">
        <v>363</v>
      </c>
      <c r="C171" s="673">
        <v>12976</v>
      </c>
      <c r="D171" s="673"/>
      <c r="E171" s="673"/>
      <c r="F171" s="673">
        <v>6061</v>
      </c>
      <c r="G171" s="673"/>
      <c r="H171" s="673"/>
      <c r="I171" s="673"/>
      <c r="J171" s="673">
        <f>SUM(C171+E171+F171+H171)</f>
        <v>19037</v>
      </c>
      <c r="K171" s="673">
        <f>SUM(D171+G171+I171)</f>
        <v>0</v>
      </c>
      <c r="L171" s="673">
        <f>SUM(J171:K171)</f>
        <v>19037</v>
      </c>
      <c r="M171" s="673">
        <v>229431</v>
      </c>
      <c r="N171" s="673">
        <v>3583</v>
      </c>
      <c r="O171" s="673">
        <f>SUM(L171:N171)</f>
        <v>252051</v>
      </c>
    </row>
    <row r="172" spans="1:16" s="674" customFormat="1" x14ac:dyDescent="0.25">
      <c r="A172" s="631"/>
      <c r="B172" s="632" t="s">
        <v>402</v>
      </c>
      <c r="C172" s="632">
        <v>12976</v>
      </c>
      <c r="D172" s="632"/>
      <c r="E172" s="632"/>
      <c r="F172" s="632">
        <v>6061</v>
      </c>
      <c r="G172" s="632"/>
      <c r="H172" s="632"/>
      <c r="I172" s="632"/>
      <c r="J172" s="633">
        <f>SUM(C172+E172+F172+H172)</f>
        <v>19037</v>
      </c>
      <c r="K172" s="633">
        <f>SUM(D172+G172+I172)</f>
        <v>0</v>
      </c>
      <c r="L172" s="633">
        <f>SUM(J172:K172)</f>
        <v>19037</v>
      </c>
      <c r="M172" s="633">
        <v>223897</v>
      </c>
      <c r="N172" s="633">
        <v>3583</v>
      </c>
      <c r="O172" s="633">
        <f>SUM(L172:N172)</f>
        <v>246517</v>
      </c>
    </row>
    <row r="173" spans="1:16" s="674" customFormat="1" x14ac:dyDescent="0.25">
      <c r="A173" s="631"/>
      <c r="B173" s="632" t="s">
        <v>401</v>
      </c>
      <c r="C173" s="632">
        <v>0</v>
      </c>
      <c r="D173" s="632"/>
      <c r="E173" s="632"/>
      <c r="F173" s="632">
        <v>0</v>
      </c>
      <c r="G173" s="632"/>
      <c r="H173" s="632"/>
      <c r="I173" s="632"/>
      <c r="J173" s="633">
        <f>SUM(C173+E173+F173+H173)</f>
        <v>0</v>
      </c>
      <c r="K173" s="633">
        <f>SUM(D173+G173+I173)</f>
        <v>0</v>
      </c>
      <c r="L173" s="633">
        <f>SUM(J173:K173)</f>
        <v>0</v>
      </c>
      <c r="M173" s="633">
        <v>5534</v>
      </c>
      <c r="N173" s="633">
        <v>0</v>
      </c>
      <c r="O173" s="633">
        <f>SUM(L173:N173)</f>
        <v>5534</v>
      </c>
    </row>
    <row r="174" spans="1:16" s="674" customFormat="1" x14ac:dyDescent="0.25">
      <c r="A174" s="631"/>
      <c r="B174" s="632" t="s">
        <v>132</v>
      </c>
      <c r="C174" s="634"/>
      <c r="D174" s="634"/>
      <c r="E174" s="634"/>
      <c r="F174" s="634"/>
      <c r="G174" s="634"/>
      <c r="H174" s="634"/>
      <c r="I174" s="634"/>
      <c r="J174" s="634"/>
      <c r="K174" s="634"/>
      <c r="L174" s="634"/>
      <c r="M174" s="634"/>
      <c r="N174" s="634"/>
      <c r="O174" s="634"/>
    </row>
    <row r="175" spans="1:16" s="674" customFormat="1" x14ac:dyDescent="0.25">
      <c r="A175" s="631"/>
      <c r="B175" s="634" t="s">
        <v>1197</v>
      </c>
      <c r="C175" s="634"/>
      <c r="D175" s="634"/>
      <c r="E175" s="634"/>
      <c r="F175" s="634"/>
      <c r="G175" s="634"/>
      <c r="H175" s="634"/>
      <c r="I175" s="634"/>
      <c r="J175" s="634">
        <f t="shared" ref="J175:J180" si="86">SUM(C175+E175+F175+H175)</f>
        <v>0</v>
      </c>
      <c r="K175" s="634">
        <f t="shared" ref="K175:K180" si="87">SUM(D175+G175+I175)</f>
        <v>0</v>
      </c>
      <c r="L175" s="634">
        <f t="shared" ref="L175:L180" si="88">SUM(J175:K175)</f>
        <v>0</v>
      </c>
      <c r="M175" s="634">
        <v>12</v>
      </c>
      <c r="N175" s="634"/>
      <c r="O175" s="634">
        <f t="shared" ref="O175:O180" si="89">SUM(L175:N175)</f>
        <v>12</v>
      </c>
    </row>
    <row r="176" spans="1:16" s="674" customFormat="1" ht="31.5" x14ac:dyDescent="0.25">
      <c r="A176" s="631"/>
      <c r="B176" s="634" t="s">
        <v>935</v>
      </c>
      <c r="C176" s="634"/>
      <c r="D176" s="634"/>
      <c r="E176" s="634"/>
      <c r="F176" s="634">
        <v>1068</v>
      </c>
      <c r="G176" s="634"/>
      <c r="H176" s="634"/>
      <c r="I176" s="634"/>
      <c r="J176" s="634">
        <f t="shared" si="86"/>
        <v>1068</v>
      </c>
      <c r="K176" s="634">
        <f t="shared" si="87"/>
        <v>0</v>
      </c>
      <c r="L176" s="634">
        <f t="shared" si="88"/>
        <v>1068</v>
      </c>
      <c r="M176" s="634"/>
      <c r="N176" s="634"/>
      <c r="O176" s="634">
        <f t="shared" si="89"/>
        <v>1068</v>
      </c>
    </row>
    <row r="177" spans="1:16" s="674" customFormat="1" ht="31.5" x14ac:dyDescent="0.25">
      <c r="A177" s="631"/>
      <c r="B177" s="634" t="s">
        <v>675</v>
      </c>
      <c r="C177" s="634"/>
      <c r="D177" s="634"/>
      <c r="E177" s="634"/>
      <c r="F177" s="634">
        <v>-1</v>
      </c>
      <c r="G177" s="634"/>
      <c r="H177" s="634"/>
      <c r="I177" s="634"/>
      <c r="J177" s="634">
        <f t="shared" si="86"/>
        <v>-1</v>
      </c>
      <c r="K177" s="634">
        <f t="shared" si="87"/>
        <v>0</v>
      </c>
      <c r="L177" s="634">
        <f t="shared" si="88"/>
        <v>-1</v>
      </c>
      <c r="M177" s="634"/>
      <c r="N177" s="634">
        <v>1</v>
      </c>
      <c r="O177" s="634">
        <f t="shared" si="89"/>
        <v>0</v>
      </c>
    </row>
    <row r="178" spans="1:16" s="674" customFormat="1" ht="16.5" thickBot="1" x14ac:dyDescent="0.3">
      <c r="A178" s="644"/>
      <c r="B178" s="648" t="s">
        <v>133</v>
      </c>
      <c r="C178" s="645"/>
      <c r="D178" s="645"/>
      <c r="E178" s="645"/>
      <c r="F178" s="645"/>
      <c r="G178" s="645"/>
      <c r="H178" s="645"/>
      <c r="I178" s="645"/>
      <c r="J178" s="645"/>
      <c r="K178" s="645"/>
      <c r="L178" s="645"/>
      <c r="M178" s="645"/>
      <c r="N178" s="645"/>
      <c r="O178" s="645"/>
    </row>
    <row r="179" spans="1:16" s="674" customFormat="1" ht="78.75" x14ac:dyDescent="0.25">
      <c r="A179" s="641"/>
      <c r="B179" s="646" t="s">
        <v>1202</v>
      </c>
      <c r="C179" s="646"/>
      <c r="D179" s="646"/>
      <c r="E179" s="646"/>
      <c r="F179" s="646"/>
      <c r="G179" s="646"/>
      <c r="H179" s="646"/>
      <c r="I179" s="646"/>
      <c r="J179" s="646">
        <f t="shared" si="86"/>
        <v>0</v>
      </c>
      <c r="K179" s="646">
        <f t="shared" si="87"/>
        <v>0</v>
      </c>
      <c r="L179" s="646">
        <f t="shared" si="88"/>
        <v>0</v>
      </c>
      <c r="M179" s="646">
        <v>60</v>
      </c>
      <c r="N179" s="646"/>
      <c r="O179" s="646">
        <f t="shared" si="89"/>
        <v>60</v>
      </c>
    </row>
    <row r="180" spans="1:16" s="674" customFormat="1" ht="16.5" thickBot="1" x14ac:dyDescent="0.3">
      <c r="A180" s="988"/>
      <c r="B180" s="989" t="s">
        <v>1199</v>
      </c>
      <c r="C180" s="989"/>
      <c r="D180" s="989"/>
      <c r="E180" s="989"/>
      <c r="F180" s="989"/>
      <c r="G180" s="989"/>
      <c r="H180" s="989"/>
      <c r="I180" s="989"/>
      <c r="J180" s="989">
        <f t="shared" si="86"/>
        <v>0</v>
      </c>
      <c r="K180" s="989">
        <f t="shared" si="87"/>
        <v>0</v>
      </c>
      <c r="L180" s="989">
        <f t="shared" si="88"/>
        <v>0</v>
      </c>
      <c r="M180" s="989">
        <v>1108</v>
      </c>
      <c r="N180" s="989"/>
      <c r="O180" s="989">
        <f t="shared" si="89"/>
        <v>1108</v>
      </c>
    </row>
    <row r="181" spans="1:16" ht="17.25" thickTop="1" thickBot="1" x14ac:dyDescent="0.3">
      <c r="A181" s="626"/>
      <c r="B181" s="635" t="s">
        <v>400</v>
      </c>
      <c r="C181" s="635">
        <f>+C171+C175+C179+C176+C180+C177</f>
        <v>12976</v>
      </c>
      <c r="D181" s="635">
        <f t="shared" ref="D181:O181" si="90">+D171+D175+D179+D176+D180+D177</f>
        <v>0</v>
      </c>
      <c r="E181" s="635">
        <f t="shared" si="90"/>
        <v>0</v>
      </c>
      <c r="F181" s="635">
        <f t="shared" si="90"/>
        <v>7128</v>
      </c>
      <c r="G181" s="635">
        <f t="shared" si="90"/>
        <v>0</v>
      </c>
      <c r="H181" s="635">
        <f t="shared" si="90"/>
        <v>0</v>
      </c>
      <c r="I181" s="635">
        <f t="shared" si="90"/>
        <v>0</v>
      </c>
      <c r="J181" s="635">
        <f t="shared" si="90"/>
        <v>20104</v>
      </c>
      <c r="K181" s="635">
        <f t="shared" si="90"/>
        <v>0</v>
      </c>
      <c r="L181" s="635">
        <f t="shared" si="90"/>
        <v>20104</v>
      </c>
      <c r="M181" s="635">
        <f t="shared" si="90"/>
        <v>230611</v>
      </c>
      <c r="N181" s="635">
        <f t="shared" si="90"/>
        <v>3584</v>
      </c>
      <c r="O181" s="635">
        <f t="shared" si="90"/>
        <v>254299</v>
      </c>
      <c r="P181" s="671">
        <f>O182+O183</f>
        <v>254299</v>
      </c>
    </row>
    <row r="182" spans="1:16" ht="17.25" thickTop="1" thickBot="1" x14ac:dyDescent="0.3">
      <c r="A182" s="626"/>
      <c r="B182" s="635" t="s">
        <v>399</v>
      </c>
      <c r="C182" s="635">
        <f t="shared" ref="C182:O182" si="91">+C172+C175+C176+C177</f>
        <v>12976</v>
      </c>
      <c r="D182" s="635">
        <f t="shared" si="91"/>
        <v>0</v>
      </c>
      <c r="E182" s="635">
        <f t="shared" si="91"/>
        <v>0</v>
      </c>
      <c r="F182" s="635">
        <f t="shared" si="91"/>
        <v>7128</v>
      </c>
      <c r="G182" s="635">
        <f t="shared" si="91"/>
        <v>0</v>
      </c>
      <c r="H182" s="635">
        <f t="shared" si="91"/>
        <v>0</v>
      </c>
      <c r="I182" s="635">
        <f t="shared" si="91"/>
        <v>0</v>
      </c>
      <c r="J182" s="635">
        <f t="shared" si="91"/>
        <v>20104</v>
      </c>
      <c r="K182" s="635">
        <f t="shared" si="91"/>
        <v>0</v>
      </c>
      <c r="L182" s="635">
        <f t="shared" si="91"/>
        <v>20104</v>
      </c>
      <c r="M182" s="635">
        <f t="shared" si="91"/>
        <v>223909</v>
      </c>
      <c r="N182" s="635">
        <f t="shared" si="91"/>
        <v>3584</v>
      </c>
      <c r="O182" s="635">
        <f t="shared" si="91"/>
        <v>247597</v>
      </c>
    </row>
    <row r="183" spans="1:16" ht="17.25" thickTop="1" thickBot="1" x14ac:dyDescent="0.3">
      <c r="A183" s="626"/>
      <c r="B183" s="635" t="s">
        <v>398</v>
      </c>
      <c r="C183" s="635">
        <f>+C173+C179+C180</f>
        <v>0</v>
      </c>
      <c r="D183" s="635">
        <f t="shared" ref="D183:O183" si="92">+D173+D179+D180</f>
        <v>0</v>
      </c>
      <c r="E183" s="635">
        <f t="shared" si="92"/>
        <v>0</v>
      </c>
      <c r="F183" s="635">
        <f t="shared" si="92"/>
        <v>0</v>
      </c>
      <c r="G183" s="635">
        <f t="shared" si="92"/>
        <v>0</v>
      </c>
      <c r="H183" s="635">
        <f t="shared" si="92"/>
        <v>0</v>
      </c>
      <c r="I183" s="635">
        <f t="shared" si="92"/>
        <v>0</v>
      </c>
      <c r="J183" s="635">
        <f t="shared" si="92"/>
        <v>0</v>
      </c>
      <c r="K183" s="635">
        <f t="shared" si="92"/>
        <v>0</v>
      </c>
      <c r="L183" s="635">
        <f t="shared" si="92"/>
        <v>0</v>
      </c>
      <c r="M183" s="635">
        <f t="shared" si="92"/>
        <v>6702</v>
      </c>
      <c r="N183" s="635">
        <f t="shared" si="92"/>
        <v>0</v>
      </c>
      <c r="O183" s="635">
        <f t="shared" si="92"/>
        <v>6702</v>
      </c>
    </row>
    <row r="184" spans="1:16" ht="16.5" thickTop="1" x14ac:dyDescent="0.25">
      <c r="A184" s="647" t="s">
        <v>4</v>
      </c>
      <c r="B184" s="672" t="s">
        <v>422</v>
      </c>
      <c r="C184" s="672"/>
      <c r="D184" s="672"/>
      <c r="E184" s="672"/>
      <c r="F184" s="672"/>
      <c r="G184" s="672"/>
      <c r="H184" s="672"/>
      <c r="I184" s="672"/>
      <c r="J184" s="672"/>
      <c r="K184" s="672"/>
      <c r="L184" s="672"/>
      <c r="M184" s="672"/>
      <c r="N184" s="672"/>
      <c r="O184" s="672"/>
    </row>
    <row r="185" spans="1:16" x14ac:dyDescent="0.25">
      <c r="A185" s="647"/>
      <c r="B185" s="672" t="s">
        <v>363</v>
      </c>
      <c r="C185" s="672">
        <v>11634</v>
      </c>
      <c r="D185" s="672"/>
      <c r="E185" s="672"/>
      <c r="F185" s="672">
        <v>8144</v>
      </c>
      <c r="G185" s="672"/>
      <c r="H185" s="672"/>
      <c r="I185" s="672"/>
      <c r="J185" s="673">
        <f>SUM(C185+E185+F185+H185)</f>
        <v>19778</v>
      </c>
      <c r="K185" s="673">
        <f>SUM(D185+G185+I185)</f>
        <v>0</v>
      </c>
      <c r="L185" s="673">
        <f>SUM(J185:K185)</f>
        <v>19778</v>
      </c>
      <c r="M185" s="673">
        <v>204257</v>
      </c>
      <c r="N185" s="673">
        <v>475</v>
      </c>
      <c r="O185" s="673">
        <f>SUM(L185:N185)</f>
        <v>224510</v>
      </c>
    </row>
    <row r="186" spans="1:16" s="674" customFormat="1" x14ac:dyDescent="0.25">
      <c r="A186" s="636"/>
      <c r="B186" s="632" t="s">
        <v>402</v>
      </c>
      <c r="C186" s="632">
        <v>11634</v>
      </c>
      <c r="D186" s="632"/>
      <c r="E186" s="632"/>
      <c r="F186" s="632">
        <v>8144</v>
      </c>
      <c r="G186" s="632"/>
      <c r="H186" s="632"/>
      <c r="I186" s="632"/>
      <c r="J186" s="633">
        <f>SUM(C186+E186+F186+H186)</f>
        <v>19778</v>
      </c>
      <c r="K186" s="633">
        <f>SUM(D186+G186+I186)</f>
        <v>0</v>
      </c>
      <c r="L186" s="633">
        <f>SUM(J186:K186)</f>
        <v>19778</v>
      </c>
      <c r="M186" s="633">
        <v>199441</v>
      </c>
      <c r="N186" s="633">
        <v>475</v>
      </c>
      <c r="O186" s="633">
        <f>SUM(L186:N186)</f>
        <v>219694</v>
      </c>
    </row>
    <row r="187" spans="1:16" s="674" customFormat="1" x14ac:dyDescent="0.25">
      <c r="A187" s="636"/>
      <c r="B187" s="632" t="s">
        <v>401</v>
      </c>
      <c r="C187" s="632">
        <v>0</v>
      </c>
      <c r="D187" s="632"/>
      <c r="E187" s="632"/>
      <c r="F187" s="632">
        <v>0</v>
      </c>
      <c r="G187" s="632"/>
      <c r="H187" s="632"/>
      <c r="I187" s="632"/>
      <c r="J187" s="633">
        <f>SUM(C187+E187+F187+H187)</f>
        <v>0</v>
      </c>
      <c r="K187" s="633">
        <f>SUM(D187+G187+I187)</f>
        <v>0</v>
      </c>
      <c r="L187" s="633">
        <f>SUM(J187:K187)</f>
        <v>0</v>
      </c>
      <c r="M187" s="633">
        <v>4816</v>
      </c>
      <c r="N187" s="633">
        <v>0</v>
      </c>
      <c r="O187" s="633">
        <f>SUM(L187:N187)</f>
        <v>4816</v>
      </c>
    </row>
    <row r="188" spans="1:16" s="674" customFormat="1" x14ac:dyDescent="0.25">
      <c r="A188" s="636"/>
      <c r="B188" s="632" t="s">
        <v>132</v>
      </c>
      <c r="C188" s="634"/>
      <c r="D188" s="634"/>
      <c r="E188" s="634"/>
      <c r="F188" s="634"/>
      <c r="G188" s="634"/>
      <c r="H188" s="634"/>
      <c r="I188" s="634"/>
      <c r="J188" s="634"/>
      <c r="K188" s="634"/>
      <c r="L188" s="634"/>
      <c r="M188" s="634"/>
      <c r="N188" s="634"/>
      <c r="O188" s="634"/>
    </row>
    <row r="189" spans="1:16" s="674" customFormat="1" x14ac:dyDescent="0.25">
      <c r="A189" s="636"/>
      <c r="B189" s="634" t="s">
        <v>1197</v>
      </c>
      <c r="C189" s="634"/>
      <c r="D189" s="634"/>
      <c r="E189" s="634"/>
      <c r="F189" s="634"/>
      <c r="G189" s="634"/>
      <c r="H189" s="634"/>
      <c r="I189" s="634"/>
      <c r="J189" s="634">
        <f t="shared" ref="J189:J192" si="93">SUM(C189+E189+F189+H189)</f>
        <v>0</v>
      </c>
      <c r="K189" s="634">
        <f t="shared" ref="K189:K192" si="94">SUM(D189+G189+I189)</f>
        <v>0</v>
      </c>
      <c r="L189" s="634">
        <f t="shared" ref="L189:L192" si="95">SUM(J189:K189)</f>
        <v>0</v>
      </c>
      <c r="M189" s="634">
        <v>2</v>
      </c>
      <c r="N189" s="634"/>
      <c r="O189" s="634">
        <f t="shared" ref="O189:O192" si="96">SUM(L189:N189)</f>
        <v>2</v>
      </c>
    </row>
    <row r="190" spans="1:16" s="674" customFormat="1" ht="31.5" x14ac:dyDescent="0.25">
      <c r="A190" s="636"/>
      <c r="B190" s="634" t="s">
        <v>935</v>
      </c>
      <c r="C190" s="634"/>
      <c r="D190" s="634"/>
      <c r="E190" s="634"/>
      <c r="F190" s="634">
        <v>1717</v>
      </c>
      <c r="G190" s="634"/>
      <c r="H190" s="634"/>
      <c r="I190" s="634"/>
      <c r="J190" s="634">
        <f t="shared" si="93"/>
        <v>1717</v>
      </c>
      <c r="K190" s="634">
        <f t="shared" si="94"/>
        <v>0</v>
      </c>
      <c r="L190" s="634">
        <f t="shared" si="95"/>
        <v>1717</v>
      </c>
      <c r="M190" s="634"/>
      <c r="N190" s="634"/>
      <c r="O190" s="634">
        <f t="shared" si="96"/>
        <v>1717</v>
      </c>
    </row>
    <row r="191" spans="1:16" s="674" customFormat="1" x14ac:dyDescent="0.25">
      <c r="A191" s="636"/>
      <c r="B191" s="632" t="s">
        <v>133</v>
      </c>
      <c r="C191" s="634"/>
      <c r="D191" s="634"/>
      <c r="E191" s="634"/>
      <c r="F191" s="634"/>
      <c r="G191" s="634"/>
      <c r="H191" s="634"/>
      <c r="I191" s="634"/>
      <c r="J191" s="634"/>
      <c r="K191" s="634"/>
      <c r="L191" s="634"/>
      <c r="M191" s="634"/>
      <c r="N191" s="634"/>
      <c r="O191" s="634"/>
    </row>
    <row r="192" spans="1:16" s="674" customFormat="1" ht="16.5" thickBot="1" x14ac:dyDescent="0.3">
      <c r="A192" s="636"/>
      <c r="B192" s="634" t="s">
        <v>1199</v>
      </c>
      <c r="C192" s="634"/>
      <c r="D192" s="634"/>
      <c r="E192" s="634"/>
      <c r="F192" s="634"/>
      <c r="G192" s="634"/>
      <c r="H192" s="634"/>
      <c r="I192" s="634"/>
      <c r="J192" s="634">
        <f t="shared" si="93"/>
        <v>0</v>
      </c>
      <c r="K192" s="634">
        <f t="shared" si="94"/>
        <v>0</v>
      </c>
      <c r="L192" s="634">
        <f t="shared" si="95"/>
        <v>0</v>
      </c>
      <c r="M192" s="634">
        <v>927</v>
      </c>
      <c r="N192" s="634"/>
      <c r="O192" s="634">
        <f t="shared" si="96"/>
        <v>927</v>
      </c>
    </row>
    <row r="193" spans="1:16" ht="17.25" thickTop="1" thickBot="1" x14ac:dyDescent="0.3">
      <c r="A193" s="626"/>
      <c r="B193" s="635" t="s">
        <v>400</v>
      </c>
      <c r="C193" s="635">
        <f>+C185+C189+C192+C190</f>
        <v>11634</v>
      </c>
      <c r="D193" s="635">
        <f t="shared" ref="D193:O193" si="97">+D185+D189+D192+D190</f>
        <v>0</v>
      </c>
      <c r="E193" s="635">
        <f t="shared" si="97"/>
        <v>0</v>
      </c>
      <c r="F193" s="635">
        <f t="shared" si="97"/>
        <v>9861</v>
      </c>
      <c r="G193" s="635">
        <f t="shared" si="97"/>
        <v>0</v>
      </c>
      <c r="H193" s="635">
        <f t="shared" si="97"/>
        <v>0</v>
      </c>
      <c r="I193" s="635">
        <f t="shared" si="97"/>
        <v>0</v>
      </c>
      <c r="J193" s="635">
        <f t="shared" si="97"/>
        <v>21495</v>
      </c>
      <c r="K193" s="635">
        <f t="shared" si="97"/>
        <v>0</v>
      </c>
      <c r="L193" s="635">
        <f t="shared" si="97"/>
        <v>21495</v>
      </c>
      <c r="M193" s="635">
        <f t="shared" si="97"/>
        <v>205186</v>
      </c>
      <c r="N193" s="635">
        <f t="shared" si="97"/>
        <v>475</v>
      </c>
      <c r="O193" s="635">
        <f t="shared" si="97"/>
        <v>227156</v>
      </c>
      <c r="P193" s="671">
        <f>O194+O195</f>
        <v>227156</v>
      </c>
    </row>
    <row r="194" spans="1:16" ht="17.25" thickTop="1" thickBot="1" x14ac:dyDescent="0.3">
      <c r="A194" s="626"/>
      <c r="B194" s="635" t="s">
        <v>399</v>
      </c>
      <c r="C194" s="635">
        <f t="shared" ref="C194:O194" si="98">+C186+C189+C190</f>
        <v>11634</v>
      </c>
      <c r="D194" s="635">
        <f t="shared" si="98"/>
        <v>0</v>
      </c>
      <c r="E194" s="635">
        <f t="shared" si="98"/>
        <v>0</v>
      </c>
      <c r="F194" s="635">
        <f t="shared" si="98"/>
        <v>9861</v>
      </c>
      <c r="G194" s="635">
        <f t="shared" si="98"/>
        <v>0</v>
      </c>
      <c r="H194" s="635">
        <f t="shared" si="98"/>
        <v>0</v>
      </c>
      <c r="I194" s="635">
        <f t="shared" si="98"/>
        <v>0</v>
      </c>
      <c r="J194" s="635">
        <f t="shared" si="98"/>
        <v>21495</v>
      </c>
      <c r="K194" s="635">
        <f t="shared" si="98"/>
        <v>0</v>
      </c>
      <c r="L194" s="635">
        <f t="shared" si="98"/>
        <v>21495</v>
      </c>
      <c r="M194" s="635">
        <f t="shared" si="98"/>
        <v>199443</v>
      </c>
      <c r="N194" s="635">
        <f t="shared" si="98"/>
        <v>475</v>
      </c>
      <c r="O194" s="635">
        <f t="shared" si="98"/>
        <v>221413</v>
      </c>
    </row>
    <row r="195" spans="1:16" ht="17.25" thickTop="1" thickBot="1" x14ac:dyDescent="0.3">
      <c r="A195" s="626"/>
      <c r="B195" s="635" t="s">
        <v>398</v>
      </c>
      <c r="C195" s="635">
        <f>+C187+C192</f>
        <v>0</v>
      </c>
      <c r="D195" s="635">
        <f t="shared" ref="D195:O195" si="99">+D187+D192</f>
        <v>0</v>
      </c>
      <c r="E195" s="635">
        <f t="shared" si="99"/>
        <v>0</v>
      </c>
      <c r="F195" s="635">
        <f t="shared" si="99"/>
        <v>0</v>
      </c>
      <c r="G195" s="635">
        <f t="shared" si="99"/>
        <v>0</v>
      </c>
      <c r="H195" s="635">
        <f t="shared" si="99"/>
        <v>0</v>
      </c>
      <c r="I195" s="635">
        <f t="shared" si="99"/>
        <v>0</v>
      </c>
      <c r="J195" s="635">
        <f t="shared" si="99"/>
        <v>0</v>
      </c>
      <c r="K195" s="635">
        <f t="shared" si="99"/>
        <v>0</v>
      </c>
      <c r="L195" s="635">
        <f t="shared" si="99"/>
        <v>0</v>
      </c>
      <c r="M195" s="635">
        <f t="shared" si="99"/>
        <v>5743</v>
      </c>
      <c r="N195" s="635">
        <f t="shared" si="99"/>
        <v>0</v>
      </c>
      <c r="O195" s="635">
        <f t="shared" si="99"/>
        <v>5743</v>
      </c>
    </row>
    <row r="196" spans="1:16" ht="16.5" thickTop="1" x14ac:dyDescent="0.25">
      <c r="A196" s="630" t="s">
        <v>5</v>
      </c>
      <c r="B196" s="672" t="s">
        <v>421</v>
      </c>
      <c r="C196" s="672"/>
      <c r="D196" s="672"/>
      <c r="E196" s="672"/>
      <c r="F196" s="672"/>
      <c r="G196" s="672"/>
      <c r="H196" s="672"/>
      <c r="I196" s="672"/>
      <c r="J196" s="672"/>
      <c r="K196" s="672"/>
      <c r="L196" s="672"/>
      <c r="M196" s="672"/>
      <c r="N196" s="672"/>
      <c r="O196" s="672"/>
    </row>
    <row r="197" spans="1:16" x14ac:dyDescent="0.25">
      <c r="A197" s="630"/>
      <c r="B197" s="673" t="s">
        <v>363</v>
      </c>
      <c r="C197" s="673">
        <v>11964</v>
      </c>
      <c r="D197" s="673"/>
      <c r="E197" s="673"/>
      <c r="F197" s="673">
        <v>8452</v>
      </c>
      <c r="G197" s="673"/>
      <c r="H197" s="673"/>
      <c r="I197" s="673"/>
      <c r="J197" s="673">
        <f>SUM(C197+E197+F197+H197)</f>
        <v>20416</v>
      </c>
      <c r="K197" s="673">
        <f>SUM(D197+G197+I197)</f>
        <v>0</v>
      </c>
      <c r="L197" s="673">
        <f>SUM(J197:K197)</f>
        <v>20416</v>
      </c>
      <c r="M197" s="673">
        <v>247388</v>
      </c>
      <c r="N197" s="673">
        <v>2947</v>
      </c>
      <c r="O197" s="673">
        <f>SUM(L197:N197)</f>
        <v>270751</v>
      </c>
    </row>
    <row r="198" spans="1:16" s="674" customFormat="1" x14ac:dyDescent="0.25">
      <c r="A198" s="631"/>
      <c r="B198" s="632" t="s">
        <v>402</v>
      </c>
      <c r="C198" s="632">
        <v>11964</v>
      </c>
      <c r="D198" s="632"/>
      <c r="E198" s="632"/>
      <c r="F198" s="632">
        <v>8452</v>
      </c>
      <c r="G198" s="632"/>
      <c r="H198" s="632"/>
      <c r="I198" s="632"/>
      <c r="J198" s="633">
        <f>SUM(C198+E198+F198+H198)</f>
        <v>20416</v>
      </c>
      <c r="K198" s="633">
        <f>SUM(D198+G198+I198)</f>
        <v>0</v>
      </c>
      <c r="L198" s="633">
        <f>SUM(J198:K198)</f>
        <v>20416</v>
      </c>
      <c r="M198" s="633">
        <v>241860</v>
      </c>
      <c r="N198" s="633">
        <v>2947</v>
      </c>
      <c r="O198" s="633">
        <f>SUM(L198:N198)</f>
        <v>265223</v>
      </c>
    </row>
    <row r="199" spans="1:16" s="674" customFormat="1" x14ac:dyDescent="0.25">
      <c r="A199" s="631"/>
      <c r="B199" s="632" t="s">
        <v>401</v>
      </c>
      <c r="C199" s="632">
        <v>0</v>
      </c>
      <c r="D199" s="632"/>
      <c r="E199" s="632"/>
      <c r="F199" s="632">
        <v>0</v>
      </c>
      <c r="G199" s="632"/>
      <c r="H199" s="632"/>
      <c r="I199" s="632"/>
      <c r="J199" s="633">
        <f>SUM(C199+E199+F199+H199)</f>
        <v>0</v>
      </c>
      <c r="K199" s="633">
        <f>SUM(D199+G199+I199)</f>
        <v>0</v>
      </c>
      <c r="L199" s="633">
        <f>SUM(J199:K199)</f>
        <v>0</v>
      </c>
      <c r="M199" s="633">
        <v>5528</v>
      </c>
      <c r="N199" s="633">
        <v>0</v>
      </c>
      <c r="O199" s="633">
        <f>SUM(L199:N199)</f>
        <v>5528</v>
      </c>
    </row>
    <row r="200" spans="1:16" s="674" customFormat="1" x14ac:dyDescent="0.25">
      <c r="A200" s="631"/>
      <c r="B200" s="632" t="s">
        <v>132</v>
      </c>
      <c r="C200" s="634"/>
      <c r="D200" s="634"/>
      <c r="E200" s="634"/>
      <c r="F200" s="634"/>
      <c r="G200" s="634"/>
      <c r="H200" s="634"/>
      <c r="I200" s="634"/>
      <c r="J200" s="634"/>
      <c r="K200" s="634"/>
      <c r="L200" s="634"/>
      <c r="M200" s="634"/>
      <c r="N200" s="634"/>
      <c r="O200" s="634"/>
    </row>
    <row r="201" spans="1:16" s="674" customFormat="1" x14ac:dyDescent="0.25">
      <c r="A201" s="631"/>
      <c r="B201" s="634" t="s">
        <v>1197</v>
      </c>
      <c r="C201" s="634"/>
      <c r="D201" s="634"/>
      <c r="E201" s="634"/>
      <c r="F201" s="634"/>
      <c r="G201" s="634"/>
      <c r="H201" s="634"/>
      <c r="I201" s="634"/>
      <c r="J201" s="634">
        <f t="shared" ref="J201:J206" si="100">SUM(C201+E201+F201+H201)</f>
        <v>0</v>
      </c>
      <c r="K201" s="634">
        <f t="shared" ref="K201:K206" si="101">SUM(D201+G201+I201)</f>
        <v>0</v>
      </c>
      <c r="L201" s="634">
        <f t="shared" ref="L201:L204" si="102">SUM(J201:K201)</f>
        <v>0</v>
      </c>
      <c r="M201" s="634">
        <v>12</v>
      </c>
      <c r="N201" s="634"/>
      <c r="O201" s="634">
        <f t="shared" ref="O201:O206" si="103">SUM(L201:N201)</f>
        <v>12</v>
      </c>
    </row>
    <row r="202" spans="1:16" s="674" customFormat="1" ht="47.25" x14ac:dyDescent="0.25">
      <c r="A202" s="631"/>
      <c r="B202" s="634" t="s">
        <v>1198</v>
      </c>
      <c r="C202" s="634"/>
      <c r="D202" s="634"/>
      <c r="E202" s="634"/>
      <c r="F202" s="634"/>
      <c r="G202" s="634"/>
      <c r="H202" s="634"/>
      <c r="I202" s="634"/>
      <c r="J202" s="634">
        <f t="shared" si="100"/>
        <v>0</v>
      </c>
      <c r="K202" s="634">
        <f t="shared" si="101"/>
        <v>0</v>
      </c>
      <c r="L202" s="634">
        <f t="shared" si="102"/>
        <v>0</v>
      </c>
      <c r="M202" s="634">
        <v>495</v>
      </c>
      <c r="N202" s="634"/>
      <c r="O202" s="634">
        <f t="shared" si="103"/>
        <v>495</v>
      </c>
    </row>
    <row r="203" spans="1:16" s="674" customFormat="1" ht="31.5" x14ac:dyDescent="0.25">
      <c r="A203" s="631"/>
      <c r="B203" s="634" t="s">
        <v>935</v>
      </c>
      <c r="C203" s="634"/>
      <c r="D203" s="634"/>
      <c r="E203" s="634"/>
      <c r="F203" s="634">
        <v>7709</v>
      </c>
      <c r="G203" s="634"/>
      <c r="H203" s="634"/>
      <c r="I203" s="634"/>
      <c r="J203" s="634">
        <f t="shared" si="100"/>
        <v>7709</v>
      </c>
      <c r="K203" s="634">
        <f t="shared" si="101"/>
        <v>0</v>
      </c>
      <c r="L203" s="634">
        <f t="shared" si="102"/>
        <v>7709</v>
      </c>
      <c r="M203" s="634"/>
      <c r="N203" s="634"/>
      <c r="O203" s="634">
        <f t="shared" si="103"/>
        <v>7709</v>
      </c>
    </row>
    <row r="204" spans="1:16" s="674" customFormat="1" ht="31.5" x14ac:dyDescent="0.25">
      <c r="A204" s="631"/>
      <c r="B204" s="634" t="s">
        <v>675</v>
      </c>
      <c r="C204" s="634"/>
      <c r="D204" s="634"/>
      <c r="E204" s="634"/>
      <c r="F204" s="634">
        <v>-1</v>
      </c>
      <c r="G204" s="634"/>
      <c r="H204" s="634"/>
      <c r="I204" s="634"/>
      <c r="J204" s="634">
        <f t="shared" si="100"/>
        <v>-1</v>
      </c>
      <c r="K204" s="634">
        <f t="shared" si="101"/>
        <v>0</v>
      </c>
      <c r="L204" s="634">
        <f t="shared" si="102"/>
        <v>-1</v>
      </c>
      <c r="M204" s="634"/>
      <c r="N204" s="634">
        <v>1</v>
      </c>
      <c r="O204" s="634">
        <f t="shared" si="103"/>
        <v>0</v>
      </c>
    </row>
    <row r="205" spans="1:16" s="674" customFormat="1" x14ac:dyDescent="0.25">
      <c r="A205" s="631"/>
      <c r="B205" s="632" t="s">
        <v>133</v>
      </c>
      <c r="C205" s="634"/>
      <c r="D205" s="634"/>
      <c r="E205" s="634"/>
      <c r="F205" s="634"/>
      <c r="G205" s="634"/>
      <c r="H205" s="634"/>
      <c r="I205" s="634"/>
      <c r="J205" s="634"/>
      <c r="K205" s="634"/>
      <c r="L205" s="634"/>
      <c r="M205" s="634"/>
      <c r="N205" s="634"/>
      <c r="O205" s="634"/>
    </row>
    <row r="206" spans="1:16" s="674" customFormat="1" ht="16.5" thickBot="1" x14ac:dyDescent="0.3">
      <c r="A206" s="631"/>
      <c r="B206" s="634" t="s">
        <v>1199</v>
      </c>
      <c r="C206" s="634"/>
      <c r="D206" s="634"/>
      <c r="E206" s="634"/>
      <c r="F206" s="634"/>
      <c r="G206" s="634"/>
      <c r="H206" s="634"/>
      <c r="I206" s="634"/>
      <c r="J206" s="634">
        <f t="shared" si="100"/>
        <v>0</v>
      </c>
      <c r="K206" s="634">
        <f t="shared" si="101"/>
        <v>0</v>
      </c>
      <c r="L206" s="634">
        <f>SUM(J206:K206)</f>
        <v>0</v>
      </c>
      <c r="M206" s="634">
        <v>1084</v>
      </c>
      <c r="N206" s="634"/>
      <c r="O206" s="634">
        <f t="shared" si="103"/>
        <v>1084</v>
      </c>
    </row>
    <row r="207" spans="1:16" ht="17.25" thickTop="1" thickBot="1" x14ac:dyDescent="0.3">
      <c r="A207" s="626"/>
      <c r="B207" s="635" t="s">
        <v>400</v>
      </c>
      <c r="C207" s="635">
        <f>+C197+C201+C206+C202+C203+C204</f>
        <v>11964</v>
      </c>
      <c r="D207" s="635">
        <f t="shared" ref="D207:O207" si="104">+D197+D201+D206+D202+D203+D204</f>
        <v>0</v>
      </c>
      <c r="E207" s="635">
        <f t="shared" si="104"/>
        <v>0</v>
      </c>
      <c r="F207" s="635">
        <f t="shared" si="104"/>
        <v>16160</v>
      </c>
      <c r="G207" s="635">
        <f t="shared" si="104"/>
        <v>0</v>
      </c>
      <c r="H207" s="635">
        <f t="shared" si="104"/>
        <v>0</v>
      </c>
      <c r="I207" s="635">
        <f t="shared" si="104"/>
        <v>0</v>
      </c>
      <c r="J207" s="635">
        <f t="shared" si="104"/>
        <v>28124</v>
      </c>
      <c r="K207" s="635">
        <f t="shared" si="104"/>
        <v>0</v>
      </c>
      <c r="L207" s="635">
        <f t="shared" si="104"/>
        <v>28124</v>
      </c>
      <c r="M207" s="635">
        <f t="shared" si="104"/>
        <v>248979</v>
      </c>
      <c r="N207" s="635">
        <f t="shared" si="104"/>
        <v>2948</v>
      </c>
      <c r="O207" s="635">
        <f t="shared" si="104"/>
        <v>280051</v>
      </c>
      <c r="P207" s="671">
        <f>O208+O209</f>
        <v>280051</v>
      </c>
    </row>
    <row r="208" spans="1:16" ht="17.25" thickTop="1" thickBot="1" x14ac:dyDescent="0.3">
      <c r="A208" s="626"/>
      <c r="B208" s="635" t="s">
        <v>399</v>
      </c>
      <c r="C208" s="635">
        <f t="shared" ref="C208:O208" si="105">+C198+C201+C202+C203+C204</f>
        <v>11964</v>
      </c>
      <c r="D208" s="635">
        <f t="shared" si="105"/>
        <v>0</v>
      </c>
      <c r="E208" s="635">
        <f t="shared" si="105"/>
        <v>0</v>
      </c>
      <c r="F208" s="635">
        <f t="shared" si="105"/>
        <v>16160</v>
      </c>
      <c r="G208" s="635">
        <f t="shared" si="105"/>
        <v>0</v>
      </c>
      <c r="H208" s="635">
        <f t="shared" si="105"/>
        <v>0</v>
      </c>
      <c r="I208" s="635">
        <f t="shared" si="105"/>
        <v>0</v>
      </c>
      <c r="J208" s="635">
        <f t="shared" si="105"/>
        <v>28124</v>
      </c>
      <c r="K208" s="635">
        <f t="shared" si="105"/>
        <v>0</v>
      </c>
      <c r="L208" s="635">
        <f t="shared" si="105"/>
        <v>28124</v>
      </c>
      <c r="M208" s="635">
        <f t="shared" si="105"/>
        <v>242367</v>
      </c>
      <c r="N208" s="635">
        <f t="shared" si="105"/>
        <v>2948</v>
      </c>
      <c r="O208" s="635">
        <f t="shared" si="105"/>
        <v>273439</v>
      </c>
    </row>
    <row r="209" spans="1:16" ht="17.25" thickTop="1" thickBot="1" x14ac:dyDescent="0.3">
      <c r="A209" s="626"/>
      <c r="B209" s="635" t="s">
        <v>398</v>
      </c>
      <c r="C209" s="635">
        <f>+C199+C206</f>
        <v>0</v>
      </c>
      <c r="D209" s="635">
        <f t="shared" ref="D209:O209" si="106">+D199+D206</f>
        <v>0</v>
      </c>
      <c r="E209" s="635">
        <f t="shared" si="106"/>
        <v>0</v>
      </c>
      <c r="F209" s="635">
        <f t="shared" si="106"/>
        <v>0</v>
      </c>
      <c r="G209" s="635">
        <f t="shared" si="106"/>
        <v>0</v>
      </c>
      <c r="H209" s="635">
        <f t="shared" si="106"/>
        <v>0</v>
      </c>
      <c r="I209" s="635">
        <f t="shared" si="106"/>
        <v>0</v>
      </c>
      <c r="J209" s="635">
        <f t="shared" si="106"/>
        <v>0</v>
      </c>
      <c r="K209" s="635">
        <f t="shared" si="106"/>
        <v>0</v>
      </c>
      <c r="L209" s="635">
        <f t="shared" si="106"/>
        <v>0</v>
      </c>
      <c r="M209" s="635">
        <f t="shared" si="106"/>
        <v>6612</v>
      </c>
      <c r="N209" s="635">
        <f t="shared" si="106"/>
        <v>0</v>
      </c>
      <c r="O209" s="635">
        <f t="shared" si="106"/>
        <v>6612</v>
      </c>
    </row>
    <row r="210" spans="1:16" ht="16.5" thickTop="1" x14ac:dyDescent="0.25">
      <c r="A210" s="647" t="s">
        <v>6</v>
      </c>
      <c r="B210" s="672" t="s">
        <v>465</v>
      </c>
      <c r="C210" s="672"/>
      <c r="D210" s="672"/>
      <c r="E210" s="672"/>
      <c r="F210" s="672"/>
      <c r="G210" s="672"/>
      <c r="H210" s="672"/>
      <c r="I210" s="672"/>
      <c r="J210" s="677"/>
      <c r="K210" s="672"/>
      <c r="L210" s="672"/>
      <c r="M210" s="672"/>
      <c r="N210" s="672"/>
      <c r="O210" s="672"/>
    </row>
    <row r="211" spans="1:16" x14ac:dyDescent="0.25">
      <c r="A211" s="647"/>
      <c r="B211" s="672" t="s">
        <v>363</v>
      </c>
      <c r="C211" s="672">
        <v>10262</v>
      </c>
      <c r="D211" s="672"/>
      <c r="E211" s="672"/>
      <c r="F211" s="672">
        <v>5536</v>
      </c>
      <c r="G211" s="672"/>
      <c r="H211" s="672"/>
      <c r="I211" s="672"/>
      <c r="J211" s="678">
        <f>SUM(C211+E211+F211+H211)</f>
        <v>15798</v>
      </c>
      <c r="K211" s="673">
        <f>SUM(D211+G211+I211)</f>
        <v>0</v>
      </c>
      <c r="L211" s="673">
        <f>SUM(J211:K211)</f>
        <v>15798</v>
      </c>
      <c r="M211" s="673">
        <v>200144</v>
      </c>
      <c r="N211" s="673">
        <v>1992</v>
      </c>
      <c r="O211" s="673">
        <f>SUM(L211:N211)</f>
        <v>217934</v>
      </c>
    </row>
    <row r="212" spans="1:16" s="674" customFormat="1" x14ac:dyDescent="0.25">
      <c r="A212" s="636"/>
      <c r="B212" s="632" t="s">
        <v>402</v>
      </c>
      <c r="C212" s="632">
        <v>10262</v>
      </c>
      <c r="D212" s="632"/>
      <c r="E212" s="632"/>
      <c r="F212" s="632">
        <v>5536</v>
      </c>
      <c r="G212" s="632"/>
      <c r="H212" s="632"/>
      <c r="I212" s="632"/>
      <c r="J212" s="649">
        <f>SUM(C212+E212+F212+H212)</f>
        <v>15798</v>
      </c>
      <c r="K212" s="633">
        <f>SUM(D212+G212+I212)</f>
        <v>0</v>
      </c>
      <c r="L212" s="633">
        <f>SUM(J212:K212)</f>
        <v>15798</v>
      </c>
      <c r="M212" s="633">
        <v>195707</v>
      </c>
      <c r="N212" s="633">
        <v>1992</v>
      </c>
      <c r="O212" s="633">
        <f>SUM(L212:N212)</f>
        <v>213497</v>
      </c>
    </row>
    <row r="213" spans="1:16" s="674" customFormat="1" x14ac:dyDescent="0.25">
      <c r="A213" s="636"/>
      <c r="B213" s="632" t="s">
        <v>401</v>
      </c>
      <c r="C213" s="632">
        <v>0</v>
      </c>
      <c r="D213" s="632"/>
      <c r="E213" s="632"/>
      <c r="F213" s="632">
        <v>0</v>
      </c>
      <c r="G213" s="632"/>
      <c r="H213" s="632"/>
      <c r="I213" s="632"/>
      <c r="J213" s="649">
        <f>SUM(C213+E213+F213+H213)</f>
        <v>0</v>
      </c>
      <c r="K213" s="633">
        <f>SUM(D213+G213+I213)</f>
        <v>0</v>
      </c>
      <c r="L213" s="633">
        <f>SUM(J213:K213)</f>
        <v>0</v>
      </c>
      <c r="M213" s="633">
        <v>4437</v>
      </c>
      <c r="N213" s="633">
        <v>0</v>
      </c>
      <c r="O213" s="633">
        <f>SUM(L213:N213)</f>
        <v>4437</v>
      </c>
    </row>
    <row r="214" spans="1:16" s="674" customFormat="1" x14ac:dyDescent="0.25">
      <c r="A214" s="636"/>
      <c r="B214" s="632" t="s">
        <v>132</v>
      </c>
      <c r="C214" s="634"/>
      <c r="D214" s="634"/>
      <c r="E214" s="634"/>
      <c r="F214" s="634"/>
      <c r="G214" s="634"/>
      <c r="H214" s="634"/>
      <c r="I214" s="634"/>
      <c r="J214" s="650"/>
      <c r="K214" s="634"/>
      <c r="L214" s="634"/>
      <c r="M214" s="634"/>
      <c r="N214" s="634"/>
      <c r="O214" s="634"/>
    </row>
    <row r="215" spans="1:16" s="674" customFormat="1" x14ac:dyDescent="0.25">
      <c r="A215" s="636"/>
      <c r="B215" s="634" t="s">
        <v>1197</v>
      </c>
      <c r="C215" s="634"/>
      <c r="D215" s="634"/>
      <c r="E215" s="634"/>
      <c r="F215" s="634"/>
      <c r="G215" s="634"/>
      <c r="H215" s="634"/>
      <c r="I215" s="634"/>
      <c r="J215" s="650">
        <f t="shared" ref="J215:J220" si="107">SUM(C215+E215+F215+H215)</f>
        <v>0</v>
      </c>
      <c r="K215" s="634">
        <f t="shared" ref="K215:K220" si="108">SUM(D215+G215+I215)</f>
        <v>0</v>
      </c>
      <c r="L215" s="634">
        <f t="shared" ref="L215:L220" si="109">SUM(J215:K215)</f>
        <v>0</v>
      </c>
      <c r="M215" s="634">
        <v>21</v>
      </c>
      <c r="N215" s="634"/>
      <c r="O215" s="634">
        <f t="shared" ref="O215:O220" si="110">SUM(L215:N215)</f>
        <v>21</v>
      </c>
    </row>
    <row r="216" spans="1:16" s="674" customFormat="1" ht="47.25" x14ac:dyDescent="0.25">
      <c r="A216" s="636"/>
      <c r="B216" s="634" t="s">
        <v>1198</v>
      </c>
      <c r="C216" s="634"/>
      <c r="D216" s="634"/>
      <c r="E216" s="634"/>
      <c r="F216" s="634"/>
      <c r="G216" s="634"/>
      <c r="H216" s="634"/>
      <c r="I216" s="634"/>
      <c r="J216" s="650">
        <f t="shared" si="107"/>
        <v>0</v>
      </c>
      <c r="K216" s="634">
        <f t="shared" si="108"/>
        <v>0</v>
      </c>
      <c r="L216" s="634">
        <f t="shared" si="109"/>
        <v>0</v>
      </c>
      <c r="M216" s="634">
        <v>111</v>
      </c>
      <c r="N216" s="634"/>
      <c r="O216" s="634">
        <f t="shared" si="110"/>
        <v>111</v>
      </c>
    </row>
    <row r="217" spans="1:16" s="674" customFormat="1" ht="31.5" x14ac:dyDescent="0.25">
      <c r="A217" s="636"/>
      <c r="B217" s="634" t="s">
        <v>935</v>
      </c>
      <c r="C217" s="634">
        <v>1000</v>
      </c>
      <c r="D217" s="634"/>
      <c r="E217" s="634"/>
      <c r="F217" s="634">
        <v>3223</v>
      </c>
      <c r="G217" s="634"/>
      <c r="H217" s="634"/>
      <c r="I217" s="634"/>
      <c r="J217" s="650">
        <f t="shared" si="107"/>
        <v>4223</v>
      </c>
      <c r="K217" s="634">
        <f t="shared" si="108"/>
        <v>0</v>
      </c>
      <c r="L217" s="634">
        <f t="shared" si="109"/>
        <v>4223</v>
      </c>
      <c r="M217" s="634"/>
      <c r="N217" s="634"/>
      <c r="O217" s="634">
        <f t="shared" si="110"/>
        <v>4223</v>
      </c>
    </row>
    <row r="218" spans="1:16" s="674" customFormat="1" ht="31.5" x14ac:dyDescent="0.25">
      <c r="A218" s="636"/>
      <c r="B218" s="634" t="s">
        <v>675</v>
      </c>
      <c r="C218" s="634"/>
      <c r="D218" s="634"/>
      <c r="E218" s="634"/>
      <c r="F218" s="634">
        <v>-1</v>
      </c>
      <c r="G218" s="634"/>
      <c r="H218" s="634"/>
      <c r="I218" s="634"/>
      <c r="J218" s="650">
        <f t="shared" si="107"/>
        <v>-1</v>
      </c>
      <c r="K218" s="634">
        <f t="shared" si="108"/>
        <v>0</v>
      </c>
      <c r="L218" s="634">
        <f t="shared" si="109"/>
        <v>-1</v>
      </c>
      <c r="M218" s="634"/>
      <c r="N218" s="634">
        <v>1</v>
      </c>
      <c r="O218" s="634">
        <f t="shared" si="110"/>
        <v>0</v>
      </c>
    </row>
    <row r="219" spans="1:16" s="674" customFormat="1" x14ac:dyDescent="0.25">
      <c r="A219" s="636"/>
      <c r="B219" s="632" t="s">
        <v>133</v>
      </c>
      <c r="C219" s="634"/>
      <c r="D219" s="634"/>
      <c r="E219" s="634"/>
      <c r="F219" s="634"/>
      <c r="G219" s="634"/>
      <c r="H219" s="634"/>
      <c r="I219" s="634"/>
      <c r="J219" s="650"/>
      <c r="K219" s="634"/>
      <c r="L219" s="634"/>
      <c r="M219" s="634"/>
      <c r="N219" s="634"/>
      <c r="O219" s="634"/>
    </row>
    <row r="220" spans="1:16" s="674" customFormat="1" ht="16.5" thickBot="1" x14ac:dyDescent="0.3">
      <c r="A220" s="636"/>
      <c r="B220" s="634" t="s">
        <v>1199</v>
      </c>
      <c r="C220" s="634"/>
      <c r="D220" s="634"/>
      <c r="E220" s="634"/>
      <c r="F220" s="634"/>
      <c r="G220" s="634"/>
      <c r="H220" s="634"/>
      <c r="I220" s="634"/>
      <c r="J220" s="650">
        <f t="shared" si="107"/>
        <v>0</v>
      </c>
      <c r="K220" s="634">
        <f t="shared" si="108"/>
        <v>0</v>
      </c>
      <c r="L220" s="634">
        <f t="shared" si="109"/>
        <v>0</v>
      </c>
      <c r="M220" s="634">
        <v>815</v>
      </c>
      <c r="N220" s="634"/>
      <c r="O220" s="634">
        <f t="shared" si="110"/>
        <v>815</v>
      </c>
    </row>
    <row r="221" spans="1:16" ht="17.25" thickTop="1" thickBot="1" x14ac:dyDescent="0.3">
      <c r="A221" s="626"/>
      <c r="B221" s="635" t="s">
        <v>400</v>
      </c>
      <c r="C221" s="635">
        <f>+C211+C215+C220+C216+C217+C218</f>
        <v>11262</v>
      </c>
      <c r="D221" s="635">
        <f t="shared" ref="D221:O221" si="111">+D211+D215+D220+D216+D217+D218</f>
        <v>0</v>
      </c>
      <c r="E221" s="635">
        <f t="shared" si="111"/>
        <v>0</v>
      </c>
      <c r="F221" s="635">
        <f t="shared" si="111"/>
        <v>8758</v>
      </c>
      <c r="G221" s="635">
        <f t="shared" si="111"/>
        <v>0</v>
      </c>
      <c r="H221" s="635">
        <f t="shared" si="111"/>
        <v>0</v>
      </c>
      <c r="I221" s="635">
        <f t="shared" si="111"/>
        <v>0</v>
      </c>
      <c r="J221" s="635">
        <f t="shared" si="111"/>
        <v>20020</v>
      </c>
      <c r="K221" s="635">
        <f t="shared" si="111"/>
        <v>0</v>
      </c>
      <c r="L221" s="635">
        <f t="shared" si="111"/>
        <v>20020</v>
      </c>
      <c r="M221" s="635">
        <f t="shared" si="111"/>
        <v>201091</v>
      </c>
      <c r="N221" s="635">
        <f t="shared" si="111"/>
        <v>1993</v>
      </c>
      <c r="O221" s="635">
        <f t="shared" si="111"/>
        <v>223104</v>
      </c>
      <c r="P221" s="671">
        <f>O222+O223</f>
        <v>223104</v>
      </c>
    </row>
    <row r="222" spans="1:16" ht="17.25" thickTop="1" thickBot="1" x14ac:dyDescent="0.3">
      <c r="A222" s="626"/>
      <c r="B222" s="635" t="s">
        <v>399</v>
      </c>
      <c r="C222" s="635">
        <f t="shared" ref="C222:O222" si="112">+C212+C215+C216+C217+C218</f>
        <v>11262</v>
      </c>
      <c r="D222" s="635">
        <f t="shared" si="112"/>
        <v>0</v>
      </c>
      <c r="E222" s="635">
        <f t="shared" si="112"/>
        <v>0</v>
      </c>
      <c r="F222" s="635">
        <f t="shared" si="112"/>
        <v>8758</v>
      </c>
      <c r="G222" s="635">
        <f t="shared" si="112"/>
        <v>0</v>
      </c>
      <c r="H222" s="635">
        <f t="shared" si="112"/>
        <v>0</v>
      </c>
      <c r="I222" s="635">
        <f t="shared" si="112"/>
        <v>0</v>
      </c>
      <c r="J222" s="635">
        <f t="shared" si="112"/>
        <v>20020</v>
      </c>
      <c r="K222" s="635">
        <f t="shared" si="112"/>
        <v>0</v>
      </c>
      <c r="L222" s="635">
        <f t="shared" si="112"/>
        <v>20020</v>
      </c>
      <c r="M222" s="635">
        <f t="shared" si="112"/>
        <v>195839</v>
      </c>
      <c r="N222" s="635">
        <f t="shared" si="112"/>
        <v>1993</v>
      </c>
      <c r="O222" s="635">
        <f t="shared" si="112"/>
        <v>217852</v>
      </c>
    </row>
    <row r="223" spans="1:16" ht="17.25" thickTop="1" thickBot="1" x14ac:dyDescent="0.3">
      <c r="A223" s="626"/>
      <c r="B223" s="635" t="s">
        <v>398</v>
      </c>
      <c r="C223" s="635">
        <f>+C213+C220</f>
        <v>0</v>
      </c>
      <c r="D223" s="635">
        <f t="shared" ref="D223:O223" si="113">+D213+D220</f>
        <v>0</v>
      </c>
      <c r="E223" s="635">
        <f t="shared" si="113"/>
        <v>0</v>
      </c>
      <c r="F223" s="635">
        <f t="shared" si="113"/>
        <v>0</v>
      </c>
      <c r="G223" s="635">
        <f t="shared" si="113"/>
        <v>0</v>
      </c>
      <c r="H223" s="635">
        <f t="shared" si="113"/>
        <v>0</v>
      </c>
      <c r="I223" s="635">
        <f t="shared" si="113"/>
        <v>0</v>
      </c>
      <c r="J223" s="635">
        <f t="shared" si="113"/>
        <v>0</v>
      </c>
      <c r="K223" s="635">
        <f t="shared" si="113"/>
        <v>0</v>
      </c>
      <c r="L223" s="635">
        <f t="shared" si="113"/>
        <v>0</v>
      </c>
      <c r="M223" s="635">
        <f t="shared" si="113"/>
        <v>5252</v>
      </c>
      <c r="N223" s="635">
        <f t="shared" si="113"/>
        <v>0</v>
      </c>
      <c r="O223" s="635">
        <f t="shared" si="113"/>
        <v>5252</v>
      </c>
    </row>
    <row r="224" spans="1:16" ht="16.5" thickTop="1" x14ac:dyDescent="0.25">
      <c r="A224" s="630" t="s">
        <v>7</v>
      </c>
      <c r="B224" s="672" t="s">
        <v>420</v>
      </c>
      <c r="C224" s="672"/>
      <c r="D224" s="672"/>
      <c r="E224" s="672"/>
      <c r="F224" s="672"/>
      <c r="G224" s="672"/>
      <c r="H224" s="672"/>
      <c r="I224" s="672"/>
      <c r="J224" s="672"/>
      <c r="K224" s="672"/>
      <c r="L224" s="672"/>
      <c r="M224" s="672"/>
      <c r="N224" s="672"/>
      <c r="O224" s="672"/>
    </row>
    <row r="225" spans="1:16" x14ac:dyDescent="0.25">
      <c r="A225" s="630"/>
      <c r="B225" s="673" t="s">
        <v>363</v>
      </c>
      <c r="C225" s="673">
        <v>4424</v>
      </c>
      <c r="D225" s="673"/>
      <c r="E225" s="673"/>
      <c r="F225" s="673">
        <v>1894</v>
      </c>
      <c r="G225" s="673"/>
      <c r="H225" s="673"/>
      <c r="I225" s="673"/>
      <c r="J225" s="673">
        <f>SUM(C225+E225+F225+H225)</f>
        <v>6318</v>
      </c>
      <c r="K225" s="673">
        <f>SUM(D225+G225+I225)</f>
        <v>0</v>
      </c>
      <c r="L225" s="673">
        <f>SUM(J225:K225)</f>
        <v>6318</v>
      </c>
      <c r="M225" s="673">
        <v>82368</v>
      </c>
      <c r="N225" s="673">
        <v>780</v>
      </c>
      <c r="O225" s="673">
        <f>SUM(L225:N225)</f>
        <v>89466</v>
      </c>
    </row>
    <row r="226" spans="1:16" s="674" customFormat="1" x14ac:dyDescent="0.25">
      <c r="A226" s="631"/>
      <c r="B226" s="632" t="s">
        <v>402</v>
      </c>
      <c r="C226" s="632">
        <v>4424</v>
      </c>
      <c r="D226" s="632"/>
      <c r="E226" s="632"/>
      <c r="F226" s="632">
        <v>1894</v>
      </c>
      <c r="G226" s="632"/>
      <c r="H226" s="632"/>
      <c r="I226" s="632"/>
      <c r="J226" s="633">
        <f>SUM(C226+E226+F226+H226)</f>
        <v>6318</v>
      </c>
      <c r="K226" s="633">
        <f>SUM(D226+G226+I226)</f>
        <v>0</v>
      </c>
      <c r="L226" s="633">
        <f>SUM(J226:K226)</f>
        <v>6318</v>
      </c>
      <c r="M226" s="633">
        <v>80377</v>
      </c>
      <c r="N226" s="633">
        <v>780</v>
      </c>
      <c r="O226" s="633">
        <f>SUM(L226:N226)</f>
        <v>87475</v>
      </c>
    </row>
    <row r="227" spans="1:16" s="674" customFormat="1" x14ac:dyDescent="0.25">
      <c r="A227" s="631"/>
      <c r="B227" s="632" t="s">
        <v>401</v>
      </c>
      <c r="C227" s="632">
        <v>0</v>
      </c>
      <c r="D227" s="632"/>
      <c r="E227" s="632"/>
      <c r="F227" s="632">
        <v>0</v>
      </c>
      <c r="G227" s="632"/>
      <c r="H227" s="632"/>
      <c r="I227" s="632"/>
      <c r="J227" s="633">
        <f>SUM(C227+E227+F227+H227)</f>
        <v>0</v>
      </c>
      <c r="K227" s="633">
        <f>SUM(D227+G227+I227)</f>
        <v>0</v>
      </c>
      <c r="L227" s="633">
        <f>SUM(J227:K227)</f>
        <v>0</v>
      </c>
      <c r="M227" s="633">
        <v>1991</v>
      </c>
      <c r="N227" s="633">
        <v>0</v>
      </c>
      <c r="O227" s="633">
        <f>SUM(L227:N227)</f>
        <v>1991</v>
      </c>
    </row>
    <row r="228" spans="1:16" s="674" customFormat="1" ht="16.5" thickBot="1" x14ac:dyDescent="0.3">
      <c r="A228" s="644"/>
      <c r="B228" s="648" t="s">
        <v>132</v>
      </c>
      <c r="C228" s="645"/>
      <c r="D228" s="645"/>
      <c r="E228" s="645"/>
      <c r="F228" s="645"/>
      <c r="G228" s="645"/>
      <c r="H228" s="645"/>
      <c r="I228" s="645"/>
      <c r="J228" s="645"/>
      <c r="K228" s="645"/>
      <c r="L228" s="645"/>
      <c r="M228" s="645"/>
      <c r="N228" s="645"/>
      <c r="O228" s="645"/>
    </row>
    <row r="229" spans="1:16" s="674" customFormat="1" ht="31.5" x14ac:dyDescent="0.25">
      <c r="A229" s="641"/>
      <c r="B229" s="646" t="s">
        <v>935</v>
      </c>
      <c r="C229" s="646">
        <v>1000</v>
      </c>
      <c r="D229" s="646"/>
      <c r="E229" s="646"/>
      <c r="F229" s="646">
        <v>736</v>
      </c>
      <c r="G229" s="646"/>
      <c r="H229" s="646"/>
      <c r="I229" s="646"/>
      <c r="J229" s="646">
        <f t="shared" ref="J229:J232" si="114">SUM(C229+E229+F229+H229)</f>
        <v>1736</v>
      </c>
      <c r="K229" s="646">
        <f t="shared" ref="K229:K232" si="115">SUM(D229+G229+I229)</f>
        <v>0</v>
      </c>
      <c r="L229" s="646">
        <f t="shared" ref="L229:L232" si="116">SUM(J229:K229)</f>
        <v>1736</v>
      </c>
      <c r="M229" s="646"/>
      <c r="N229" s="646"/>
      <c r="O229" s="646">
        <f t="shared" ref="O229:O232" si="117">SUM(L229:N229)</f>
        <v>1736</v>
      </c>
    </row>
    <row r="230" spans="1:16" s="674" customFormat="1" ht="31.5" x14ac:dyDescent="0.25">
      <c r="A230" s="631"/>
      <c r="B230" s="634" t="s">
        <v>675</v>
      </c>
      <c r="C230" s="634"/>
      <c r="D230" s="634"/>
      <c r="E230" s="634"/>
      <c r="F230" s="634">
        <v>-1</v>
      </c>
      <c r="G230" s="634"/>
      <c r="H230" s="634"/>
      <c r="I230" s="634"/>
      <c r="J230" s="634">
        <f t="shared" si="114"/>
        <v>-1</v>
      </c>
      <c r="K230" s="634">
        <f t="shared" si="115"/>
        <v>0</v>
      </c>
      <c r="L230" s="634">
        <f t="shared" si="116"/>
        <v>-1</v>
      </c>
      <c r="M230" s="634"/>
      <c r="N230" s="634">
        <v>1</v>
      </c>
      <c r="O230" s="634">
        <f t="shared" si="117"/>
        <v>0</v>
      </c>
    </row>
    <row r="231" spans="1:16" s="674" customFormat="1" x14ac:dyDescent="0.25">
      <c r="A231" s="631"/>
      <c r="B231" s="632" t="s">
        <v>133</v>
      </c>
      <c r="C231" s="634"/>
      <c r="D231" s="634"/>
      <c r="E231" s="634"/>
      <c r="F231" s="634"/>
      <c r="G231" s="634"/>
      <c r="H231" s="634"/>
      <c r="I231" s="634"/>
      <c r="J231" s="634"/>
      <c r="K231" s="634"/>
      <c r="L231" s="634"/>
      <c r="M231" s="634"/>
      <c r="N231" s="634"/>
      <c r="O231" s="634"/>
    </row>
    <row r="232" spans="1:16" s="674" customFormat="1" ht="16.5" thickBot="1" x14ac:dyDescent="0.3">
      <c r="A232" s="631"/>
      <c r="B232" s="634" t="s">
        <v>1199</v>
      </c>
      <c r="C232" s="634"/>
      <c r="D232" s="634"/>
      <c r="E232" s="634"/>
      <c r="F232" s="634"/>
      <c r="G232" s="634"/>
      <c r="H232" s="634"/>
      <c r="I232" s="634"/>
      <c r="J232" s="634">
        <f t="shared" si="114"/>
        <v>0</v>
      </c>
      <c r="K232" s="634">
        <f t="shared" si="115"/>
        <v>0</v>
      </c>
      <c r="L232" s="634">
        <f t="shared" si="116"/>
        <v>0</v>
      </c>
      <c r="M232" s="634">
        <v>330</v>
      </c>
      <c r="N232" s="634"/>
      <c r="O232" s="634">
        <f t="shared" si="117"/>
        <v>330</v>
      </c>
    </row>
    <row r="233" spans="1:16" ht="17.25" thickTop="1" thickBot="1" x14ac:dyDescent="0.3">
      <c r="A233" s="626"/>
      <c r="B233" s="635" t="s">
        <v>400</v>
      </c>
      <c r="C233" s="635">
        <f>+C225+C229+C232+C230</f>
        <v>5424</v>
      </c>
      <c r="D233" s="635">
        <f t="shared" ref="D233:O233" si="118">+D225+D229+D232+D230</f>
        <v>0</v>
      </c>
      <c r="E233" s="635">
        <f t="shared" si="118"/>
        <v>0</v>
      </c>
      <c r="F233" s="635">
        <f t="shared" si="118"/>
        <v>2629</v>
      </c>
      <c r="G233" s="635">
        <f t="shared" si="118"/>
        <v>0</v>
      </c>
      <c r="H233" s="635">
        <f t="shared" si="118"/>
        <v>0</v>
      </c>
      <c r="I233" s="635">
        <f t="shared" si="118"/>
        <v>0</v>
      </c>
      <c r="J233" s="635">
        <f t="shared" si="118"/>
        <v>8053</v>
      </c>
      <c r="K233" s="635">
        <f t="shared" si="118"/>
        <v>0</v>
      </c>
      <c r="L233" s="635">
        <f t="shared" si="118"/>
        <v>8053</v>
      </c>
      <c r="M233" s="635">
        <f t="shared" si="118"/>
        <v>82698</v>
      </c>
      <c r="N233" s="635">
        <f t="shared" si="118"/>
        <v>781</v>
      </c>
      <c r="O233" s="635">
        <f t="shared" si="118"/>
        <v>91532</v>
      </c>
      <c r="P233" s="671">
        <f>O234+O235</f>
        <v>91532</v>
      </c>
    </row>
    <row r="234" spans="1:16" ht="17.25" thickTop="1" thickBot="1" x14ac:dyDescent="0.3">
      <c r="A234" s="626"/>
      <c r="B234" s="635" t="s">
        <v>399</v>
      </c>
      <c r="C234" s="635">
        <f t="shared" ref="C234:O234" si="119">+C226+C229+C230</f>
        <v>5424</v>
      </c>
      <c r="D234" s="635">
        <f t="shared" si="119"/>
        <v>0</v>
      </c>
      <c r="E234" s="635">
        <f t="shared" si="119"/>
        <v>0</v>
      </c>
      <c r="F234" s="635">
        <f t="shared" si="119"/>
        <v>2629</v>
      </c>
      <c r="G234" s="635">
        <f t="shared" si="119"/>
        <v>0</v>
      </c>
      <c r="H234" s="635">
        <f t="shared" si="119"/>
        <v>0</v>
      </c>
      <c r="I234" s="635">
        <f t="shared" si="119"/>
        <v>0</v>
      </c>
      <c r="J234" s="635">
        <f t="shared" si="119"/>
        <v>8053</v>
      </c>
      <c r="K234" s="635">
        <f t="shared" si="119"/>
        <v>0</v>
      </c>
      <c r="L234" s="635">
        <f t="shared" si="119"/>
        <v>8053</v>
      </c>
      <c r="M234" s="635">
        <f t="shared" si="119"/>
        <v>80377</v>
      </c>
      <c r="N234" s="635">
        <f t="shared" si="119"/>
        <v>781</v>
      </c>
      <c r="O234" s="635">
        <f t="shared" si="119"/>
        <v>89211</v>
      </c>
    </row>
    <row r="235" spans="1:16" ht="17.25" thickTop="1" thickBot="1" x14ac:dyDescent="0.3">
      <c r="A235" s="626"/>
      <c r="B235" s="635" t="s">
        <v>398</v>
      </c>
      <c r="C235" s="635">
        <f>+C227+C232</f>
        <v>0</v>
      </c>
      <c r="D235" s="635">
        <f t="shared" ref="D235:O235" si="120">+D227+D232</f>
        <v>0</v>
      </c>
      <c r="E235" s="635">
        <f t="shared" si="120"/>
        <v>0</v>
      </c>
      <c r="F235" s="635">
        <f t="shared" si="120"/>
        <v>0</v>
      </c>
      <c r="G235" s="635">
        <f t="shared" si="120"/>
        <v>0</v>
      </c>
      <c r="H235" s="635">
        <f t="shared" si="120"/>
        <v>0</v>
      </c>
      <c r="I235" s="635">
        <f t="shared" si="120"/>
        <v>0</v>
      </c>
      <c r="J235" s="635">
        <f t="shared" si="120"/>
        <v>0</v>
      </c>
      <c r="K235" s="635">
        <f t="shared" si="120"/>
        <v>0</v>
      </c>
      <c r="L235" s="635">
        <f t="shared" si="120"/>
        <v>0</v>
      </c>
      <c r="M235" s="635">
        <f t="shared" si="120"/>
        <v>2321</v>
      </c>
      <c r="N235" s="635">
        <f t="shared" si="120"/>
        <v>0</v>
      </c>
      <c r="O235" s="635">
        <f t="shared" si="120"/>
        <v>2321</v>
      </c>
    </row>
    <row r="236" spans="1:16" ht="16.5" thickTop="1" x14ac:dyDescent="0.25">
      <c r="A236" s="647" t="s">
        <v>8</v>
      </c>
      <c r="B236" s="672" t="s">
        <v>466</v>
      </c>
      <c r="C236" s="672"/>
      <c r="D236" s="672"/>
      <c r="E236" s="672"/>
      <c r="F236" s="672"/>
      <c r="G236" s="672"/>
      <c r="H236" s="672"/>
      <c r="I236" s="672"/>
      <c r="J236" s="672"/>
      <c r="K236" s="672"/>
      <c r="L236" s="672"/>
      <c r="M236" s="672"/>
      <c r="N236" s="672"/>
      <c r="O236" s="672"/>
    </row>
    <row r="237" spans="1:16" x14ac:dyDescent="0.25">
      <c r="A237" s="647"/>
      <c r="B237" s="672" t="s">
        <v>363</v>
      </c>
      <c r="C237" s="672">
        <v>16208</v>
      </c>
      <c r="D237" s="672"/>
      <c r="E237" s="672"/>
      <c r="F237" s="672">
        <v>7688</v>
      </c>
      <c r="G237" s="672"/>
      <c r="H237" s="672"/>
      <c r="I237" s="672"/>
      <c r="J237" s="673">
        <f>SUM(C237+E237+F237+H237)</f>
        <v>23896</v>
      </c>
      <c r="K237" s="673">
        <f>SUM(D237+G237+I237)</f>
        <v>0</v>
      </c>
      <c r="L237" s="673">
        <f>SUM(J237:K237)</f>
        <v>23896</v>
      </c>
      <c r="M237" s="673">
        <v>295603</v>
      </c>
      <c r="N237" s="673">
        <v>2248</v>
      </c>
      <c r="O237" s="673">
        <f>SUM(L237:N237)</f>
        <v>321747</v>
      </c>
    </row>
    <row r="238" spans="1:16" s="674" customFormat="1" x14ac:dyDescent="0.25">
      <c r="A238" s="636"/>
      <c r="B238" s="637" t="s">
        <v>402</v>
      </c>
      <c r="C238" s="637">
        <v>16208</v>
      </c>
      <c r="D238" s="637"/>
      <c r="E238" s="637"/>
      <c r="F238" s="637">
        <v>7688</v>
      </c>
      <c r="G238" s="637"/>
      <c r="H238" s="637"/>
      <c r="I238" s="637"/>
      <c r="J238" s="638">
        <f>SUM(C238+E238+F238+H238)</f>
        <v>23896</v>
      </c>
      <c r="K238" s="638">
        <f>SUM(D238+G238+I238)</f>
        <v>0</v>
      </c>
      <c r="L238" s="638">
        <f>SUM(J238:K238)</f>
        <v>23896</v>
      </c>
      <c r="M238" s="638">
        <v>288599</v>
      </c>
      <c r="N238" s="638">
        <v>2248</v>
      </c>
      <c r="O238" s="638">
        <f>SUM(L238:N238)</f>
        <v>314743</v>
      </c>
    </row>
    <row r="239" spans="1:16" s="674" customFormat="1" x14ac:dyDescent="0.25">
      <c r="A239" s="631"/>
      <c r="B239" s="632" t="s">
        <v>401</v>
      </c>
      <c r="C239" s="632">
        <v>0</v>
      </c>
      <c r="D239" s="632"/>
      <c r="E239" s="632"/>
      <c r="F239" s="632">
        <v>0</v>
      </c>
      <c r="G239" s="632"/>
      <c r="H239" s="632"/>
      <c r="I239" s="632"/>
      <c r="J239" s="633">
        <f>SUM(C239+E239+F239+H239)</f>
        <v>0</v>
      </c>
      <c r="K239" s="633">
        <f>SUM(D239+G239+I239)</f>
        <v>0</v>
      </c>
      <c r="L239" s="633">
        <f>SUM(J239:K239)</f>
        <v>0</v>
      </c>
      <c r="M239" s="633">
        <v>7004</v>
      </c>
      <c r="N239" s="633">
        <v>0</v>
      </c>
      <c r="O239" s="633">
        <f>SUM(L239:N239)</f>
        <v>7004</v>
      </c>
    </row>
    <row r="240" spans="1:16" s="674" customFormat="1" x14ac:dyDescent="0.25">
      <c r="A240" s="631"/>
      <c r="B240" s="632" t="s">
        <v>132</v>
      </c>
      <c r="C240" s="634"/>
      <c r="D240" s="634"/>
      <c r="E240" s="634"/>
      <c r="F240" s="634"/>
      <c r="G240" s="634"/>
      <c r="H240" s="634"/>
      <c r="I240" s="634"/>
      <c r="J240" s="634"/>
      <c r="K240" s="634"/>
      <c r="L240" s="634"/>
      <c r="M240" s="634"/>
      <c r="N240" s="634"/>
      <c r="O240" s="634"/>
    </row>
    <row r="241" spans="1:16" s="674" customFormat="1" ht="31.5" x14ac:dyDescent="0.25">
      <c r="A241" s="631"/>
      <c r="B241" s="634" t="s">
        <v>935</v>
      </c>
      <c r="C241" s="634"/>
      <c r="D241" s="634"/>
      <c r="E241" s="634"/>
      <c r="F241" s="634">
        <v>6057</v>
      </c>
      <c r="G241" s="634"/>
      <c r="H241" s="634"/>
      <c r="I241" s="634"/>
      <c r="J241" s="634">
        <f t="shared" ref="J241:J244" si="121">SUM(C241+E241+F241+H241)</f>
        <v>6057</v>
      </c>
      <c r="K241" s="634">
        <f t="shared" ref="K241:K244" si="122">SUM(D241+G241+I241)</f>
        <v>0</v>
      </c>
      <c r="L241" s="634">
        <f t="shared" ref="L241:L244" si="123">SUM(J241:K241)</f>
        <v>6057</v>
      </c>
      <c r="M241" s="634"/>
      <c r="N241" s="634"/>
      <c r="O241" s="634">
        <f t="shared" ref="O241:O244" si="124">SUM(L241:N241)</f>
        <v>6057</v>
      </c>
    </row>
    <row r="242" spans="1:16" s="674" customFormat="1" ht="31.5" x14ac:dyDescent="0.25">
      <c r="A242" s="631"/>
      <c r="B242" s="634" t="s">
        <v>675</v>
      </c>
      <c r="C242" s="634"/>
      <c r="D242" s="634"/>
      <c r="E242" s="634"/>
      <c r="F242" s="634">
        <v>-1</v>
      </c>
      <c r="G242" s="634"/>
      <c r="H242" s="634"/>
      <c r="I242" s="634"/>
      <c r="J242" s="634">
        <f t="shared" si="121"/>
        <v>-1</v>
      </c>
      <c r="K242" s="634">
        <f t="shared" si="122"/>
        <v>0</v>
      </c>
      <c r="L242" s="634">
        <f t="shared" si="123"/>
        <v>-1</v>
      </c>
      <c r="M242" s="634"/>
      <c r="N242" s="634">
        <v>1</v>
      </c>
      <c r="O242" s="634">
        <f t="shared" si="124"/>
        <v>0</v>
      </c>
    </row>
    <row r="243" spans="1:16" s="674" customFormat="1" x14ac:dyDescent="0.25">
      <c r="A243" s="631"/>
      <c r="B243" s="632" t="s">
        <v>133</v>
      </c>
      <c r="C243" s="634"/>
      <c r="D243" s="634"/>
      <c r="E243" s="634"/>
      <c r="F243" s="634"/>
      <c r="G243" s="634"/>
      <c r="H243" s="634"/>
      <c r="I243" s="634"/>
      <c r="J243" s="634"/>
      <c r="K243" s="634"/>
      <c r="L243" s="634"/>
      <c r="M243" s="634"/>
      <c r="N243" s="634"/>
      <c r="O243" s="634"/>
    </row>
    <row r="244" spans="1:16" s="674" customFormat="1" ht="16.5" thickBot="1" x14ac:dyDescent="0.3">
      <c r="A244" s="631"/>
      <c r="B244" s="634" t="s">
        <v>1199</v>
      </c>
      <c r="C244" s="634"/>
      <c r="D244" s="634"/>
      <c r="E244" s="634"/>
      <c r="F244" s="634"/>
      <c r="G244" s="634"/>
      <c r="H244" s="634"/>
      <c r="I244" s="634"/>
      <c r="J244" s="634">
        <f t="shared" si="121"/>
        <v>0</v>
      </c>
      <c r="K244" s="634">
        <f t="shared" si="122"/>
        <v>0</v>
      </c>
      <c r="L244" s="634">
        <f t="shared" si="123"/>
        <v>0</v>
      </c>
      <c r="M244" s="634">
        <v>1359</v>
      </c>
      <c r="N244" s="634"/>
      <c r="O244" s="634">
        <f t="shared" si="124"/>
        <v>1359</v>
      </c>
    </row>
    <row r="245" spans="1:16" ht="17.25" thickTop="1" thickBot="1" x14ac:dyDescent="0.3">
      <c r="A245" s="626"/>
      <c r="B245" s="635" t="s">
        <v>400</v>
      </c>
      <c r="C245" s="635">
        <f>+C237+C241+C244+C242</f>
        <v>16208</v>
      </c>
      <c r="D245" s="635">
        <f t="shared" ref="D245:O245" si="125">+D237+D241+D244+D242</f>
        <v>0</v>
      </c>
      <c r="E245" s="635">
        <f t="shared" si="125"/>
        <v>0</v>
      </c>
      <c r="F245" s="635">
        <f t="shared" si="125"/>
        <v>13744</v>
      </c>
      <c r="G245" s="635">
        <f t="shared" si="125"/>
        <v>0</v>
      </c>
      <c r="H245" s="635">
        <f t="shared" si="125"/>
        <v>0</v>
      </c>
      <c r="I245" s="635">
        <f t="shared" si="125"/>
        <v>0</v>
      </c>
      <c r="J245" s="635">
        <f t="shared" si="125"/>
        <v>29952</v>
      </c>
      <c r="K245" s="635">
        <f t="shared" si="125"/>
        <v>0</v>
      </c>
      <c r="L245" s="635">
        <f t="shared" si="125"/>
        <v>29952</v>
      </c>
      <c r="M245" s="635">
        <f t="shared" si="125"/>
        <v>296962</v>
      </c>
      <c r="N245" s="635">
        <f t="shared" si="125"/>
        <v>2249</v>
      </c>
      <c r="O245" s="635">
        <f t="shared" si="125"/>
        <v>329163</v>
      </c>
      <c r="P245" s="671">
        <f>O246+O247</f>
        <v>329163</v>
      </c>
    </row>
    <row r="246" spans="1:16" ht="17.25" thickTop="1" thickBot="1" x14ac:dyDescent="0.3">
      <c r="A246" s="626"/>
      <c r="B246" s="635" t="s">
        <v>399</v>
      </c>
      <c r="C246" s="635">
        <f t="shared" ref="C246:O246" si="126">+C238+C241+C242</f>
        <v>16208</v>
      </c>
      <c r="D246" s="635">
        <f t="shared" si="126"/>
        <v>0</v>
      </c>
      <c r="E246" s="635">
        <f t="shared" si="126"/>
        <v>0</v>
      </c>
      <c r="F246" s="635">
        <f t="shared" si="126"/>
        <v>13744</v>
      </c>
      <c r="G246" s="635">
        <f t="shared" si="126"/>
        <v>0</v>
      </c>
      <c r="H246" s="635">
        <f t="shared" si="126"/>
        <v>0</v>
      </c>
      <c r="I246" s="635">
        <f t="shared" si="126"/>
        <v>0</v>
      </c>
      <c r="J246" s="635">
        <f t="shared" si="126"/>
        <v>29952</v>
      </c>
      <c r="K246" s="635">
        <f t="shared" si="126"/>
        <v>0</v>
      </c>
      <c r="L246" s="635">
        <f t="shared" si="126"/>
        <v>29952</v>
      </c>
      <c r="M246" s="635">
        <f t="shared" si="126"/>
        <v>288599</v>
      </c>
      <c r="N246" s="635">
        <f t="shared" si="126"/>
        <v>2249</v>
      </c>
      <c r="O246" s="635">
        <f t="shared" si="126"/>
        <v>320800</v>
      </c>
    </row>
    <row r="247" spans="1:16" ht="17.25" thickTop="1" thickBot="1" x14ac:dyDescent="0.3">
      <c r="A247" s="626"/>
      <c r="B247" s="635" t="s">
        <v>398</v>
      </c>
      <c r="C247" s="635">
        <f>+C239+C244</f>
        <v>0</v>
      </c>
      <c r="D247" s="635">
        <f t="shared" ref="D247:O247" si="127">+D239+D244</f>
        <v>0</v>
      </c>
      <c r="E247" s="635">
        <f t="shared" si="127"/>
        <v>0</v>
      </c>
      <c r="F247" s="635">
        <f t="shared" si="127"/>
        <v>0</v>
      </c>
      <c r="G247" s="635">
        <f t="shared" si="127"/>
        <v>0</v>
      </c>
      <c r="H247" s="635">
        <f t="shared" si="127"/>
        <v>0</v>
      </c>
      <c r="I247" s="635">
        <f t="shared" si="127"/>
        <v>0</v>
      </c>
      <c r="J247" s="635">
        <f t="shared" si="127"/>
        <v>0</v>
      </c>
      <c r="K247" s="635">
        <f t="shared" si="127"/>
        <v>0</v>
      </c>
      <c r="L247" s="635">
        <f t="shared" si="127"/>
        <v>0</v>
      </c>
      <c r="M247" s="635">
        <f t="shared" si="127"/>
        <v>8363</v>
      </c>
      <c r="N247" s="635">
        <f t="shared" si="127"/>
        <v>0</v>
      </c>
      <c r="O247" s="635">
        <f t="shared" si="127"/>
        <v>8363</v>
      </c>
    </row>
    <row r="248" spans="1:16" ht="16.5" thickTop="1" x14ac:dyDescent="0.25">
      <c r="A248" s="630" t="s">
        <v>9</v>
      </c>
      <c r="B248" s="672" t="s">
        <v>419</v>
      </c>
      <c r="C248" s="672"/>
      <c r="D248" s="672"/>
      <c r="E248" s="672"/>
      <c r="F248" s="672"/>
      <c r="G248" s="672"/>
      <c r="H248" s="672"/>
      <c r="I248" s="672"/>
      <c r="J248" s="672"/>
      <c r="K248" s="672"/>
      <c r="L248" s="672"/>
      <c r="M248" s="672"/>
      <c r="N248" s="672"/>
      <c r="O248" s="672"/>
    </row>
    <row r="249" spans="1:16" x14ac:dyDescent="0.25">
      <c r="A249" s="630"/>
      <c r="B249" s="673" t="s">
        <v>363</v>
      </c>
      <c r="C249" s="673">
        <v>10251</v>
      </c>
      <c r="D249" s="673"/>
      <c r="E249" s="673"/>
      <c r="F249" s="673">
        <v>9766</v>
      </c>
      <c r="G249" s="673"/>
      <c r="H249" s="673"/>
      <c r="I249" s="673"/>
      <c r="J249" s="673">
        <f>SUM(C249+E249+F249+H249)</f>
        <v>20017</v>
      </c>
      <c r="K249" s="673">
        <f>SUM(D249+G249+I249)</f>
        <v>0</v>
      </c>
      <c r="L249" s="673">
        <f>SUM(J249:K249)</f>
        <v>20017</v>
      </c>
      <c r="M249" s="673">
        <v>210899</v>
      </c>
      <c r="N249" s="673">
        <v>836</v>
      </c>
      <c r="O249" s="673">
        <f>SUM(L249:N249)</f>
        <v>231752</v>
      </c>
    </row>
    <row r="250" spans="1:16" s="674" customFormat="1" x14ac:dyDescent="0.25">
      <c r="A250" s="631"/>
      <c r="B250" s="632" t="s">
        <v>402</v>
      </c>
      <c r="C250" s="632">
        <v>10251</v>
      </c>
      <c r="D250" s="632"/>
      <c r="E250" s="632"/>
      <c r="F250" s="632">
        <v>9766</v>
      </c>
      <c r="G250" s="632"/>
      <c r="H250" s="632"/>
      <c r="I250" s="651"/>
      <c r="J250" s="649">
        <f>SUM(C250+E250+F250+H250)</f>
        <v>20017</v>
      </c>
      <c r="K250" s="649">
        <f>SUM(D250+G250+I250)</f>
        <v>0</v>
      </c>
      <c r="L250" s="633">
        <f>SUM(J250:K250)</f>
        <v>20017</v>
      </c>
      <c r="M250" s="633">
        <v>206635</v>
      </c>
      <c r="N250" s="633">
        <v>836</v>
      </c>
      <c r="O250" s="633">
        <f>SUM(L250:N250)</f>
        <v>227488</v>
      </c>
    </row>
    <row r="251" spans="1:16" s="674" customFormat="1" x14ac:dyDescent="0.25">
      <c r="A251" s="631"/>
      <c r="B251" s="632" t="s">
        <v>401</v>
      </c>
      <c r="C251" s="632">
        <v>0</v>
      </c>
      <c r="D251" s="632"/>
      <c r="E251" s="632"/>
      <c r="F251" s="632">
        <v>0</v>
      </c>
      <c r="G251" s="632"/>
      <c r="H251" s="632"/>
      <c r="I251" s="651"/>
      <c r="J251" s="651">
        <f>SUM(C251+E251+F251+H251)</f>
        <v>0</v>
      </c>
      <c r="K251" s="651">
        <f>SUM(D251+G251+I251)</f>
        <v>0</v>
      </c>
      <c r="L251" s="632">
        <f>SUM(J251:K251)</f>
        <v>0</v>
      </c>
      <c r="M251" s="632">
        <v>4264</v>
      </c>
      <c r="N251" s="632">
        <v>0</v>
      </c>
      <c r="O251" s="632">
        <f>SUM(L251:N251)</f>
        <v>4264</v>
      </c>
    </row>
    <row r="252" spans="1:16" s="674" customFormat="1" x14ac:dyDescent="0.25">
      <c r="A252" s="631"/>
      <c r="B252" s="632" t="s">
        <v>132</v>
      </c>
      <c r="C252" s="634"/>
      <c r="D252" s="634"/>
      <c r="E252" s="634"/>
      <c r="F252" s="634"/>
      <c r="G252" s="634"/>
      <c r="H252" s="634"/>
      <c r="I252" s="650"/>
      <c r="J252" s="650"/>
      <c r="K252" s="650"/>
      <c r="L252" s="634"/>
      <c r="M252" s="634"/>
      <c r="N252" s="634"/>
      <c r="O252" s="634"/>
    </row>
    <row r="253" spans="1:16" s="674" customFormat="1" x14ac:dyDescent="0.25">
      <c r="A253" s="631"/>
      <c r="B253" s="634" t="s">
        <v>1197</v>
      </c>
      <c r="C253" s="634"/>
      <c r="D253" s="634"/>
      <c r="E253" s="634"/>
      <c r="F253" s="634"/>
      <c r="G253" s="634"/>
      <c r="H253" s="634"/>
      <c r="I253" s="650"/>
      <c r="J253" s="650">
        <f t="shared" ref="J253:J258" si="128">SUM(C253+E253+F253+H253)</f>
        <v>0</v>
      </c>
      <c r="K253" s="650">
        <f t="shared" ref="K253:K258" si="129">SUM(D253+G253+I253)</f>
        <v>0</v>
      </c>
      <c r="L253" s="634">
        <f t="shared" ref="L253:L258" si="130">SUM(J253:K253)</f>
        <v>0</v>
      </c>
      <c r="M253" s="634">
        <v>23</v>
      </c>
      <c r="N253" s="634"/>
      <c r="O253" s="634">
        <f t="shared" ref="O253:O258" si="131">SUM(L253:N253)</f>
        <v>23</v>
      </c>
    </row>
    <row r="254" spans="1:16" s="674" customFormat="1" ht="31.5" x14ac:dyDescent="0.25">
      <c r="A254" s="631"/>
      <c r="B254" s="634" t="s">
        <v>935</v>
      </c>
      <c r="C254" s="634">
        <v>5567</v>
      </c>
      <c r="D254" s="634"/>
      <c r="E254" s="634"/>
      <c r="F254" s="634">
        <v>3940</v>
      </c>
      <c r="G254" s="634"/>
      <c r="H254" s="634"/>
      <c r="I254" s="650"/>
      <c r="J254" s="650">
        <f t="shared" si="128"/>
        <v>9507</v>
      </c>
      <c r="K254" s="650">
        <f t="shared" si="129"/>
        <v>0</v>
      </c>
      <c r="L254" s="634">
        <f t="shared" si="130"/>
        <v>9507</v>
      </c>
      <c r="M254" s="634"/>
      <c r="N254" s="634"/>
      <c r="O254" s="634">
        <f t="shared" si="131"/>
        <v>9507</v>
      </c>
    </row>
    <row r="255" spans="1:16" s="674" customFormat="1" ht="31.5" x14ac:dyDescent="0.25">
      <c r="A255" s="631"/>
      <c r="B255" s="634" t="s">
        <v>675</v>
      </c>
      <c r="C255" s="634"/>
      <c r="D255" s="634"/>
      <c r="E255" s="634"/>
      <c r="F255" s="634">
        <v>-1</v>
      </c>
      <c r="G255" s="634"/>
      <c r="H255" s="634"/>
      <c r="I255" s="650"/>
      <c r="J255" s="650">
        <f t="shared" si="128"/>
        <v>-1</v>
      </c>
      <c r="K255" s="650">
        <f t="shared" si="129"/>
        <v>0</v>
      </c>
      <c r="L255" s="634">
        <f t="shared" si="130"/>
        <v>-1</v>
      </c>
      <c r="M255" s="634"/>
      <c r="N255" s="634">
        <v>1</v>
      </c>
      <c r="O255" s="634">
        <f t="shared" si="131"/>
        <v>0</v>
      </c>
    </row>
    <row r="256" spans="1:16" s="674" customFormat="1" x14ac:dyDescent="0.25">
      <c r="A256" s="636"/>
      <c r="B256" s="637" t="s">
        <v>133</v>
      </c>
      <c r="C256" s="639"/>
      <c r="D256" s="639"/>
      <c r="E256" s="639"/>
      <c r="F256" s="639"/>
      <c r="G256" s="639"/>
      <c r="H256" s="639"/>
      <c r="I256" s="652"/>
      <c r="J256" s="652"/>
      <c r="K256" s="652"/>
      <c r="L256" s="639"/>
      <c r="M256" s="639"/>
      <c r="N256" s="639"/>
      <c r="O256" s="639"/>
    </row>
    <row r="257" spans="1:16" s="674" customFormat="1" ht="94.5" x14ac:dyDescent="0.25">
      <c r="A257" s="636"/>
      <c r="B257" s="634" t="s">
        <v>1206</v>
      </c>
      <c r="C257" s="639"/>
      <c r="D257" s="639"/>
      <c r="E257" s="639"/>
      <c r="F257" s="639"/>
      <c r="G257" s="639"/>
      <c r="H257" s="639"/>
      <c r="I257" s="652"/>
      <c r="J257" s="652">
        <f t="shared" si="128"/>
        <v>0</v>
      </c>
      <c r="K257" s="652">
        <f t="shared" si="129"/>
        <v>0</v>
      </c>
      <c r="L257" s="639">
        <f t="shared" si="130"/>
        <v>0</v>
      </c>
      <c r="M257" s="639">
        <v>50</v>
      </c>
      <c r="N257" s="639"/>
      <c r="O257" s="639">
        <f t="shared" si="131"/>
        <v>50</v>
      </c>
    </row>
    <row r="258" spans="1:16" s="674" customFormat="1" ht="16.5" thickBot="1" x14ac:dyDescent="0.3">
      <c r="A258" s="631"/>
      <c r="B258" s="634" t="s">
        <v>1199</v>
      </c>
      <c r="C258" s="634"/>
      <c r="D258" s="634"/>
      <c r="E258" s="634"/>
      <c r="F258" s="634"/>
      <c r="G258" s="634"/>
      <c r="H258" s="634"/>
      <c r="I258" s="634"/>
      <c r="J258" s="634">
        <f t="shared" si="128"/>
        <v>0</v>
      </c>
      <c r="K258" s="634">
        <f t="shared" si="129"/>
        <v>0</v>
      </c>
      <c r="L258" s="634">
        <f t="shared" si="130"/>
        <v>0</v>
      </c>
      <c r="M258" s="634">
        <v>769</v>
      </c>
      <c r="N258" s="634"/>
      <c r="O258" s="634">
        <f t="shared" si="131"/>
        <v>769</v>
      </c>
    </row>
    <row r="259" spans="1:16" ht="17.25" thickTop="1" thickBot="1" x14ac:dyDescent="0.3">
      <c r="A259" s="626"/>
      <c r="B259" s="635" t="s">
        <v>400</v>
      </c>
      <c r="C259" s="635">
        <f>+C249+C253+C257+C254+C258+C255</f>
        <v>15818</v>
      </c>
      <c r="D259" s="635">
        <f t="shared" ref="D259:O259" si="132">+D249+D253+D257+D254+D258+D255</f>
        <v>0</v>
      </c>
      <c r="E259" s="635">
        <f t="shared" si="132"/>
        <v>0</v>
      </c>
      <c r="F259" s="635">
        <f t="shared" si="132"/>
        <v>13705</v>
      </c>
      <c r="G259" s="635">
        <f t="shared" si="132"/>
        <v>0</v>
      </c>
      <c r="H259" s="635">
        <f t="shared" si="132"/>
        <v>0</v>
      </c>
      <c r="I259" s="635">
        <f t="shared" si="132"/>
        <v>0</v>
      </c>
      <c r="J259" s="635">
        <f t="shared" si="132"/>
        <v>29523</v>
      </c>
      <c r="K259" s="635">
        <f t="shared" si="132"/>
        <v>0</v>
      </c>
      <c r="L259" s="635">
        <f t="shared" si="132"/>
        <v>29523</v>
      </c>
      <c r="M259" s="635">
        <f t="shared" si="132"/>
        <v>211741</v>
      </c>
      <c r="N259" s="635">
        <f t="shared" si="132"/>
        <v>837</v>
      </c>
      <c r="O259" s="635">
        <f t="shared" si="132"/>
        <v>242101</v>
      </c>
      <c r="P259" s="671">
        <f>O260+O261</f>
        <v>242101</v>
      </c>
    </row>
    <row r="260" spans="1:16" ht="17.25" thickTop="1" thickBot="1" x14ac:dyDescent="0.3">
      <c r="A260" s="626"/>
      <c r="B260" s="635" t="s">
        <v>399</v>
      </c>
      <c r="C260" s="635">
        <f t="shared" ref="C260:O260" si="133">+C250+C253+C254+C255</f>
        <v>15818</v>
      </c>
      <c r="D260" s="635">
        <f t="shared" si="133"/>
        <v>0</v>
      </c>
      <c r="E260" s="635">
        <f t="shared" si="133"/>
        <v>0</v>
      </c>
      <c r="F260" s="635">
        <f t="shared" si="133"/>
        <v>13705</v>
      </c>
      <c r="G260" s="635">
        <f t="shared" si="133"/>
        <v>0</v>
      </c>
      <c r="H260" s="635">
        <f t="shared" si="133"/>
        <v>0</v>
      </c>
      <c r="I260" s="635">
        <f t="shared" si="133"/>
        <v>0</v>
      </c>
      <c r="J260" s="635">
        <f t="shared" si="133"/>
        <v>29523</v>
      </c>
      <c r="K260" s="635">
        <f t="shared" si="133"/>
        <v>0</v>
      </c>
      <c r="L260" s="635">
        <f t="shared" si="133"/>
        <v>29523</v>
      </c>
      <c r="M260" s="635">
        <f t="shared" si="133"/>
        <v>206658</v>
      </c>
      <c r="N260" s="635">
        <f t="shared" si="133"/>
        <v>837</v>
      </c>
      <c r="O260" s="635">
        <f t="shared" si="133"/>
        <v>237018</v>
      </c>
    </row>
    <row r="261" spans="1:16" ht="17.25" thickTop="1" thickBot="1" x14ac:dyDescent="0.3">
      <c r="A261" s="626"/>
      <c r="B261" s="635" t="s">
        <v>398</v>
      </c>
      <c r="C261" s="635">
        <f>+C251+C257+C258</f>
        <v>0</v>
      </c>
      <c r="D261" s="635">
        <f t="shared" ref="D261:O261" si="134">+D251+D257+D258</f>
        <v>0</v>
      </c>
      <c r="E261" s="635">
        <f t="shared" si="134"/>
        <v>0</v>
      </c>
      <c r="F261" s="635">
        <f t="shared" si="134"/>
        <v>0</v>
      </c>
      <c r="G261" s="635">
        <f t="shared" si="134"/>
        <v>0</v>
      </c>
      <c r="H261" s="635">
        <f t="shared" si="134"/>
        <v>0</v>
      </c>
      <c r="I261" s="635">
        <f t="shared" si="134"/>
        <v>0</v>
      </c>
      <c r="J261" s="635">
        <f t="shared" si="134"/>
        <v>0</v>
      </c>
      <c r="K261" s="635">
        <f t="shared" si="134"/>
        <v>0</v>
      </c>
      <c r="L261" s="635">
        <f t="shared" si="134"/>
        <v>0</v>
      </c>
      <c r="M261" s="635">
        <f t="shared" si="134"/>
        <v>5083</v>
      </c>
      <c r="N261" s="635">
        <f t="shared" si="134"/>
        <v>0</v>
      </c>
      <c r="O261" s="635">
        <f t="shared" si="134"/>
        <v>5083</v>
      </c>
    </row>
    <row r="262" spans="1:16" ht="16.5" thickTop="1" x14ac:dyDescent="0.25">
      <c r="A262" s="647" t="s">
        <v>10</v>
      </c>
      <c r="B262" s="679" t="s">
        <v>418</v>
      </c>
      <c r="C262" s="679"/>
      <c r="D262" s="679"/>
      <c r="E262" s="679"/>
      <c r="F262" s="679"/>
      <c r="G262" s="679"/>
      <c r="H262" s="679"/>
      <c r="I262" s="679"/>
      <c r="J262" s="679"/>
      <c r="K262" s="679"/>
      <c r="L262" s="679"/>
      <c r="M262" s="679"/>
      <c r="N262" s="679"/>
      <c r="O262" s="679"/>
    </row>
    <row r="263" spans="1:16" x14ac:dyDescent="0.25">
      <c r="A263" s="630"/>
      <c r="B263" s="672" t="s">
        <v>363</v>
      </c>
      <c r="C263" s="672">
        <v>12513</v>
      </c>
      <c r="D263" s="672"/>
      <c r="E263" s="672"/>
      <c r="F263" s="672">
        <v>6314</v>
      </c>
      <c r="G263" s="672"/>
      <c r="H263" s="672"/>
      <c r="I263" s="672"/>
      <c r="J263" s="678">
        <f>SUM(C263+E263+F263+H263)</f>
        <v>18827</v>
      </c>
      <c r="K263" s="678">
        <f>SUM(D263+G263+I263)</f>
        <v>0</v>
      </c>
      <c r="L263" s="673">
        <f>SUM(J263:K263)</f>
        <v>18827</v>
      </c>
      <c r="M263" s="673">
        <v>241114</v>
      </c>
      <c r="N263" s="678">
        <v>1599</v>
      </c>
      <c r="O263" s="673">
        <f>SUM(L263:N263)</f>
        <v>261540</v>
      </c>
    </row>
    <row r="264" spans="1:16" s="674" customFormat="1" x14ac:dyDescent="0.25">
      <c r="A264" s="636"/>
      <c r="B264" s="637" t="s">
        <v>402</v>
      </c>
      <c r="C264" s="637">
        <v>12513</v>
      </c>
      <c r="D264" s="637"/>
      <c r="E264" s="637"/>
      <c r="F264" s="637">
        <v>6314</v>
      </c>
      <c r="G264" s="637"/>
      <c r="H264" s="637"/>
      <c r="I264" s="653"/>
      <c r="J264" s="654">
        <f>SUM(C264+E264+F264+H264)</f>
        <v>18827</v>
      </c>
      <c r="K264" s="654">
        <f>SUM(D264+G264+I264)</f>
        <v>0</v>
      </c>
      <c r="L264" s="638">
        <f>SUM(J264:K264)</f>
        <v>18827</v>
      </c>
      <c r="M264" s="638">
        <v>235676</v>
      </c>
      <c r="N264" s="654">
        <v>1599</v>
      </c>
      <c r="O264" s="638">
        <f>SUM(L264:N264)</f>
        <v>256102</v>
      </c>
    </row>
    <row r="265" spans="1:16" s="674" customFormat="1" x14ac:dyDescent="0.25">
      <c r="A265" s="636"/>
      <c r="B265" s="637" t="s">
        <v>401</v>
      </c>
      <c r="C265" s="637">
        <v>0</v>
      </c>
      <c r="D265" s="637"/>
      <c r="E265" s="637"/>
      <c r="F265" s="637">
        <v>0</v>
      </c>
      <c r="G265" s="637"/>
      <c r="H265" s="637"/>
      <c r="I265" s="653"/>
      <c r="J265" s="653">
        <f>SUM(C265+E265+F265+H265)</f>
        <v>0</v>
      </c>
      <c r="K265" s="653">
        <f>SUM(D265+G265+I265)</f>
        <v>0</v>
      </c>
      <c r="L265" s="637">
        <f>SUM(J265:K265)</f>
        <v>0</v>
      </c>
      <c r="M265" s="637">
        <v>5438</v>
      </c>
      <c r="N265" s="653">
        <v>0</v>
      </c>
      <c r="O265" s="637">
        <f>SUM(L265:N265)</f>
        <v>5438</v>
      </c>
    </row>
    <row r="266" spans="1:16" s="674" customFormat="1" x14ac:dyDescent="0.25">
      <c r="A266" s="636"/>
      <c r="B266" s="637" t="s">
        <v>132</v>
      </c>
      <c r="C266" s="639"/>
      <c r="D266" s="639"/>
      <c r="E266" s="639"/>
      <c r="F266" s="639"/>
      <c r="G266" s="639"/>
      <c r="H266" s="639"/>
      <c r="I266" s="652"/>
      <c r="J266" s="652"/>
      <c r="K266" s="652"/>
      <c r="L266" s="639"/>
      <c r="M266" s="639"/>
      <c r="N266" s="652"/>
      <c r="O266" s="639"/>
    </row>
    <row r="267" spans="1:16" s="674" customFormat="1" x14ac:dyDescent="0.25">
      <c r="A267" s="636"/>
      <c r="B267" s="634" t="s">
        <v>1197</v>
      </c>
      <c r="C267" s="639"/>
      <c r="D267" s="639"/>
      <c r="E267" s="639"/>
      <c r="F267" s="639"/>
      <c r="G267" s="639"/>
      <c r="H267" s="639"/>
      <c r="I267" s="652"/>
      <c r="J267" s="652">
        <f t="shared" ref="J267:J271" si="135">SUM(C267+E267+F267+H267)</f>
        <v>0</v>
      </c>
      <c r="K267" s="652">
        <f t="shared" ref="K267:K271" si="136">SUM(D267+G267+I267)</f>
        <v>0</v>
      </c>
      <c r="L267" s="639">
        <f t="shared" ref="L267:L271" si="137">SUM(J267:K267)</f>
        <v>0</v>
      </c>
      <c r="M267" s="639">
        <v>26</v>
      </c>
      <c r="N267" s="652"/>
      <c r="O267" s="639">
        <f t="shared" ref="O267:O271" si="138">SUM(L267:N267)</f>
        <v>26</v>
      </c>
    </row>
    <row r="268" spans="1:16" s="674" customFormat="1" ht="31.5" x14ac:dyDescent="0.25">
      <c r="A268" s="636"/>
      <c r="B268" s="634" t="s">
        <v>935</v>
      </c>
      <c r="C268" s="639"/>
      <c r="D268" s="639"/>
      <c r="E268" s="639"/>
      <c r="F268" s="639">
        <v>4654</v>
      </c>
      <c r="G268" s="639"/>
      <c r="H268" s="639"/>
      <c r="I268" s="652"/>
      <c r="J268" s="652">
        <f t="shared" si="135"/>
        <v>4654</v>
      </c>
      <c r="K268" s="652">
        <f t="shared" si="136"/>
        <v>0</v>
      </c>
      <c r="L268" s="639">
        <f t="shared" si="137"/>
        <v>4654</v>
      </c>
      <c r="M268" s="639"/>
      <c r="N268" s="652"/>
      <c r="O268" s="639">
        <f t="shared" si="138"/>
        <v>4654</v>
      </c>
    </row>
    <row r="269" spans="1:16" s="674" customFormat="1" ht="31.5" x14ac:dyDescent="0.25">
      <c r="A269" s="636"/>
      <c r="B269" s="634" t="s">
        <v>675</v>
      </c>
      <c r="C269" s="639"/>
      <c r="D269" s="639"/>
      <c r="E269" s="639"/>
      <c r="F269" s="639">
        <v>-1</v>
      </c>
      <c r="G269" s="639"/>
      <c r="H269" s="639"/>
      <c r="I269" s="652"/>
      <c r="J269" s="652">
        <f t="shared" si="135"/>
        <v>-1</v>
      </c>
      <c r="K269" s="652">
        <f t="shared" si="136"/>
        <v>0</v>
      </c>
      <c r="L269" s="639">
        <f t="shared" si="137"/>
        <v>-1</v>
      </c>
      <c r="M269" s="639"/>
      <c r="N269" s="652">
        <v>1</v>
      </c>
      <c r="O269" s="639">
        <f t="shared" si="138"/>
        <v>0</v>
      </c>
    </row>
    <row r="270" spans="1:16" s="674" customFormat="1" x14ac:dyDescent="0.25">
      <c r="A270" s="636"/>
      <c r="B270" s="637" t="s">
        <v>133</v>
      </c>
      <c r="C270" s="639"/>
      <c r="D270" s="639"/>
      <c r="E270" s="639"/>
      <c r="F270" s="639"/>
      <c r="G270" s="639"/>
      <c r="H270" s="639"/>
      <c r="I270" s="652"/>
      <c r="J270" s="652"/>
      <c r="K270" s="652"/>
      <c r="L270" s="639"/>
      <c r="M270" s="639"/>
      <c r="N270" s="652"/>
      <c r="O270" s="639"/>
    </row>
    <row r="271" spans="1:16" s="674" customFormat="1" ht="16.5" thickBot="1" x14ac:dyDescent="0.3">
      <c r="A271" s="636"/>
      <c r="B271" s="634" t="s">
        <v>1199</v>
      </c>
      <c r="C271" s="639"/>
      <c r="D271" s="639"/>
      <c r="E271" s="639"/>
      <c r="F271" s="639"/>
      <c r="G271" s="639"/>
      <c r="H271" s="639"/>
      <c r="I271" s="652"/>
      <c r="J271" s="652">
        <f t="shared" si="135"/>
        <v>0</v>
      </c>
      <c r="K271" s="652">
        <f t="shared" si="136"/>
        <v>0</v>
      </c>
      <c r="L271" s="639">
        <f t="shared" si="137"/>
        <v>0</v>
      </c>
      <c r="M271" s="639">
        <v>962</v>
      </c>
      <c r="N271" s="652"/>
      <c r="O271" s="639">
        <f t="shared" si="138"/>
        <v>962</v>
      </c>
    </row>
    <row r="272" spans="1:16" ht="17.25" thickTop="1" thickBot="1" x14ac:dyDescent="0.3">
      <c r="A272" s="626"/>
      <c r="B272" s="635" t="s">
        <v>400</v>
      </c>
      <c r="C272" s="635">
        <f>+C263+C267+C271+C268+C269</f>
        <v>12513</v>
      </c>
      <c r="D272" s="635">
        <f t="shared" ref="D272:O272" si="139">+D263+D267+D271+D268+D269</f>
        <v>0</v>
      </c>
      <c r="E272" s="635">
        <f t="shared" si="139"/>
        <v>0</v>
      </c>
      <c r="F272" s="635">
        <f t="shared" si="139"/>
        <v>10967</v>
      </c>
      <c r="G272" s="635">
        <f t="shared" si="139"/>
        <v>0</v>
      </c>
      <c r="H272" s="635">
        <f t="shared" si="139"/>
        <v>0</v>
      </c>
      <c r="I272" s="635">
        <f t="shared" si="139"/>
        <v>0</v>
      </c>
      <c r="J272" s="635">
        <f t="shared" si="139"/>
        <v>23480</v>
      </c>
      <c r="K272" s="635">
        <f t="shared" si="139"/>
        <v>0</v>
      </c>
      <c r="L272" s="635">
        <f t="shared" si="139"/>
        <v>23480</v>
      </c>
      <c r="M272" s="635">
        <f t="shared" si="139"/>
        <v>242102</v>
      </c>
      <c r="N272" s="635">
        <f t="shared" si="139"/>
        <v>1600</v>
      </c>
      <c r="O272" s="635">
        <f t="shared" si="139"/>
        <v>267182</v>
      </c>
      <c r="P272" s="671">
        <f>O273+O274</f>
        <v>267182</v>
      </c>
    </row>
    <row r="273" spans="1:15" ht="17.25" thickTop="1" thickBot="1" x14ac:dyDescent="0.3">
      <c r="A273" s="626"/>
      <c r="B273" s="635" t="s">
        <v>399</v>
      </c>
      <c r="C273" s="635">
        <f t="shared" ref="C273:O273" si="140">+C264+C267+C268+C269</f>
        <v>12513</v>
      </c>
      <c r="D273" s="635">
        <f t="shared" si="140"/>
        <v>0</v>
      </c>
      <c r="E273" s="635">
        <f t="shared" si="140"/>
        <v>0</v>
      </c>
      <c r="F273" s="635">
        <f t="shared" si="140"/>
        <v>10967</v>
      </c>
      <c r="G273" s="635">
        <f t="shared" si="140"/>
        <v>0</v>
      </c>
      <c r="H273" s="635">
        <f t="shared" si="140"/>
        <v>0</v>
      </c>
      <c r="I273" s="635">
        <f t="shared" si="140"/>
        <v>0</v>
      </c>
      <c r="J273" s="635">
        <f t="shared" si="140"/>
        <v>23480</v>
      </c>
      <c r="K273" s="635">
        <f t="shared" si="140"/>
        <v>0</v>
      </c>
      <c r="L273" s="635">
        <f t="shared" si="140"/>
        <v>23480</v>
      </c>
      <c r="M273" s="635">
        <f t="shared" si="140"/>
        <v>235702</v>
      </c>
      <c r="N273" s="635">
        <f t="shared" si="140"/>
        <v>1600</v>
      </c>
      <c r="O273" s="635">
        <f t="shared" si="140"/>
        <v>260782</v>
      </c>
    </row>
    <row r="274" spans="1:15" ht="17.25" thickTop="1" thickBot="1" x14ac:dyDescent="0.3">
      <c r="A274" s="626"/>
      <c r="B274" s="635" t="s">
        <v>398</v>
      </c>
      <c r="C274" s="635">
        <f>+C265+C271</f>
        <v>0</v>
      </c>
      <c r="D274" s="635">
        <f t="shared" ref="D274:O274" si="141">+D265+D271</f>
        <v>0</v>
      </c>
      <c r="E274" s="635">
        <f t="shared" si="141"/>
        <v>0</v>
      </c>
      <c r="F274" s="635">
        <f t="shared" si="141"/>
        <v>0</v>
      </c>
      <c r="G274" s="635">
        <f t="shared" si="141"/>
        <v>0</v>
      </c>
      <c r="H274" s="635">
        <f t="shared" si="141"/>
        <v>0</v>
      </c>
      <c r="I274" s="635">
        <f t="shared" si="141"/>
        <v>0</v>
      </c>
      <c r="J274" s="635">
        <f t="shared" si="141"/>
        <v>0</v>
      </c>
      <c r="K274" s="635">
        <f t="shared" si="141"/>
        <v>0</v>
      </c>
      <c r="L274" s="635">
        <f t="shared" si="141"/>
        <v>0</v>
      </c>
      <c r="M274" s="635">
        <f t="shared" si="141"/>
        <v>6400</v>
      </c>
      <c r="N274" s="635">
        <f t="shared" si="141"/>
        <v>0</v>
      </c>
      <c r="O274" s="635">
        <f t="shared" si="141"/>
        <v>6400</v>
      </c>
    </row>
    <row r="275" spans="1:15" ht="17.25" thickTop="1" thickBot="1" x14ac:dyDescent="0.3">
      <c r="A275" s="626"/>
      <c r="B275" s="635" t="s">
        <v>417</v>
      </c>
      <c r="C275" s="635">
        <f t="shared" ref="C275:O275" si="142">SUM(C127+C140+C154+C167+C181+C193+C207+C221+C233+C245+C259+C272)</f>
        <v>150024</v>
      </c>
      <c r="D275" s="635">
        <f t="shared" si="142"/>
        <v>0</v>
      </c>
      <c r="E275" s="635">
        <f t="shared" si="142"/>
        <v>0</v>
      </c>
      <c r="F275" s="635">
        <f t="shared" si="142"/>
        <v>141031</v>
      </c>
      <c r="G275" s="635">
        <f t="shared" si="142"/>
        <v>0</v>
      </c>
      <c r="H275" s="635">
        <f t="shared" si="142"/>
        <v>0</v>
      </c>
      <c r="I275" s="635">
        <f t="shared" si="142"/>
        <v>0</v>
      </c>
      <c r="J275" s="635">
        <f t="shared" si="142"/>
        <v>291055</v>
      </c>
      <c r="K275" s="635">
        <f t="shared" si="142"/>
        <v>0</v>
      </c>
      <c r="L275" s="635">
        <f t="shared" si="142"/>
        <v>291055</v>
      </c>
      <c r="M275" s="635">
        <f t="shared" si="142"/>
        <v>2780690</v>
      </c>
      <c r="N275" s="635">
        <f t="shared" si="142"/>
        <v>23916</v>
      </c>
      <c r="O275" s="635">
        <f t="shared" si="142"/>
        <v>3095661</v>
      </c>
    </row>
    <row r="276" spans="1:15" ht="17.25" thickTop="1" thickBot="1" x14ac:dyDescent="0.3">
      <c r="A276" s="626"/>
      <c r="B276" s="635" t="s">
        <v>416</v>
      </c>
      <c r="C276" s="635">
        <f t="shared" ref="C276:O276" si="143">SUM(C36+C116+C275)</f>
        <v>762043</v>
      </c>
      <c r="D276" s="635">
        <f t="shared" si="143"/>
        <v>0</v>
      </c>
      <c r="E276" s="635">
        <f t="shared" si="143"/>
        <v>0</v>
      </c>
      <c r="F276" s="635">
        <f t="shared" si="143"/>
        <v>212978</v>
      </c>
      <c r="G276" s="635">
        <f t="shared" si="143"/>
        <v>0</v>
      </c>
      <c r="H276" s="635">
        <f t="shared" si="143"/>
        <v>0</v>
      </c>
      <c r="I276" s="635">
        <f t="shared" si="143"/>
        <v>0</v>
      </c>
      <c r="J276" s="635">
        <f t="shared" si="143"/>
        <v>975021</v>
      </c>
      <c r="K276" s="635">
        <f t="shared" si="143"/>
        <v>0</v>
      </c>
      <c r="L276" s="635">
        <f t="shared" si="143"/>
        <v>975021</v>
      </c>
      <c r="M276" s="635">
        <f t="shared" si="143"/>
        <v>3820019</v>
      </c>
      <c r="N276" s="635">
        <f t="shared" si="143"/>
        <v>142547</v>
      </c>
      <c r="O276" s="635">
        <f t="shared" si="143"/>
        <v>4937587</v>
      </c>
    </row>
    <row r="277" spans="1:15" ht="32.25" thickTop="1" x14ac:dyDescent="0.25">
      <c r="A277" s="630" t="s">
        <v>11</v>
      </c>
      <c r="B277" s="672" t="s">
        <v>1207</v>
      </c>
      <c r="C277" s="672"/>
      <c r="D277" s="672"/>
      <c r="E277" s="672"/>
      <c r="F277" s="672"/>
      <c r="G277" s="672"/>
      <c r="H277" s="672"/>
      <c r="I277" s="672"/>
      <c r="J277" s="672"/>
      <c r="K277" s="672"/>
      <c r="L277" s="672"/>
      <c r="M277" s="672"/>
      <c r="N277" s="672"/>
      <c r="O277" s="672"/>
    </row>
    <row r="278" spans="1:15" x14ac:dyDescent="0.25">
      <c r="A278" s="630"/>
      <c r="B278" s="673" t="s">
        <v>363</v>
      </c>
      <c r="C278" s="673">
        <v>100264</v>
      </c>
      <c r="D278" s="673"/>
      <c r="E278" s="673"/>
      <c r="F278" s="673">
        <v>321401</v>
      </c>
      <c r="G278" s="673"/>
      <c r="H278" s="673"/>
      <c r="I278" s="673"/>
      <c r="J278" s="678">
        <f>SUM(C278+E278+F278+H278)</f>
        <v>421665</v>
      </c>
      <c r="K278" s="678">
        <f>SUM(D278+G278+I278)</f>
        <v>0</v>
      </c>
      <c r="L278" s="673">
        <f>SUM(J278:K278)</f>
        <v>421665</v>
      </c>
      <c r="M278" s="673">
        <v>970458</v>
      </c>
      <c r="N278" s="678">
        <v>21144</v>
      </c>
      <c r="O278" s="673">
        <f>SUM(L278:N278)</f>
        <v>1413267</v>
      </c>
    </row>
    <row r="279" spans="1:15" s="674" customFormat="1" x14ac:dyDescent="0.25">
      <c r="A279" s="631"/>
      <c r="B279" s="632" t="s">
        <v>402</v>
      </c>
      <c r="C279" s="632">
        <v>100264</v>
      </c>
      <c r="D279" s="632"/>
      <c r="E279" s="632"/>
      <c r="F279" s="632">
        <v>321401</v>
      </c>
      <c r="G279" s="632"/>
      <c r="H279" s="632"/>
      <c r="I279" s="651"/>
      <c r="J279" s="649">
        <f>SUM(C279+E279+F279+H279)</f>
        <v>421665</v>
      </c>
      <c r="K279" s="649">
        <f>SUM(D279+G279+I279)</f>
        <v>0</v>
      </c>
      <c r="L279" s="633">
        <f>SUM(J279:K279)</f>
        <v>421665</v>
      </c>
      <c r="M279" s="633">
        <v>943145</v>
      </c>
      <c r="N279" s="649">
        <v>21144</v>
      </c>
      <c r="O279" s="633">
        <f>SUM(L279:N279)</f>
        <v>1385954</v>
      </c>
    </row>
    <row r="280" spans="1:15" s="674" customFormat="1" x14ac:dyDescent="0.25">
      <c r="A280" s="631"/>
      <c r="B280" s="632" t="s">
        <v>401</v>
      </c>
      <c r="C280" s="632">
        <v>0</v>
      </c>
      <c r="D280" s="632"/>
      <c r="E280" s="632"/>
      <c r="F280" s="632">
        <v>0</v>
      </c>
      <c r="G280" s="632"/>
      <c r="H280" s="632"/>
      <c r="I280" s="651"/>
      <c r="J280" s="651">
        <f>SUM(C280+E280+F280+H280)</f>
        <v>0</v>
      </c>
      <c r="K280" s="651">
        <f>SUM(D280+G280+I280)</f>
        <v>0</v>
      </c>
      <c r="L280" s="632">
        <f>SUM(J280:K280)</f>
        <v>0</v>
      </c>
      <c r="M280" s="632">
        <v>27313</v>
      </c>
      <c r="N280" s="651">
        <v>0</v>
      </c>
      <c r="O280" s="632">
        <f>SUM(L280:N280)</f>
        <v>27313</v>
      </c>
    </row>
    <row r="281" spans="1:15" s="674" customFormat="1" x14ac:dyDescent="0.25">
      <c r="A281" s="631"/>
      <c r="B281" s="632" t="s">
        <v>132</v>
      </c>
      <c r="C281" s="634"/>
      <c r="D281" s="634"/>
      <c r="E281" s="634"/>
      <c r="F281" s="634"/>
      <c r="G281" s="634"/>
      <c r="H281" s="634"/>
      <c r="I281" s="650"/>
      <c r="J281" s="650"/>
      <c r="K281" s="650"/>
      <c r="L281" s="634"/>
      <c r="M281" s="634"/>
      <c r="N281" s="650"/>
      <c r="O281" s="634"/>
    </row>
    <row r="282" spans="1:15" s="674" customFormat="1" x14ac:dyDescent="0.25">
      <c r="A282" s="631"/>
      <c r="B282" s="634" t="s">
        <v>1197</v>
      </c>
      <c r="C282" s="634"/>
      <c r="D282" s="634"/>
      <c r="E282" s="634"/>
      <c r="F282" s="634"/>
      <c r="G282" s="634"/>
      <c r="H282" s="634"/>
      <c r="I282" s="650"/>
      <c r="J282" s="650">
        <f t="shared" ref="J282:J288" si="144">SUM(C282+E282+F282+H282)</f>
        <v>0</v>
      </c>
      <c r="K282" s="650">
        <f t="shared" ref="K282:K288" si="145">SUM(D282+G282+I282)</f>
        <v>0</v>
      </c>
      <c r="L282" s="634">
        <f t="shared" ref="L282:L288" si="146">SUM(J282:K282)</f>
        <v>0</v>
      </c>
      <c r="M282" s="634">
        <v>241</v>
      </c>
      <c r="N282" s="650"/>
      <c r="O282" s="634">
        <f t="shared" ref="O282:O288" si="147">SUM(L282:N282)</f>
        <v>241</v>
      </c>
    </row>
    <row r="283" spans="1:15" s="674" customFormat="1" ht="33" customHeight="1" x14ac:dyDescent="0.25">
      <c r="A283" s="631"/>
      <c r="B283" s="634" t="s">
        <v>1200</v>
      </c>
      <c r="C283" s="634"/>
      <c r="D283" s="634"/>
      <c r="E283" s="634"/>
      <c r="F283" s="634"/>
      <c r="G283" s="634"/>
      <c r="H283" s="634"/>
      <c r="I283" s="650"/>
      <c r="J283" s="650">
        <f t="shared" si="144"/>
        <v>0</v>
      </c>
      <c r="K283" s="650">
        <f t="shared" si="145"/>
        <v>0</v>
      </c>
      <c r="L283" s="634">
        <f t="shared" si="146"/>
        <v>0</v>
      </c>
      <c r="M283" s="634">
        <v>5680</v>
      </c>
      <c r="N283" s="650"/>
      <c r="O283" s="634">
        <f t="shared" si="147"/>
        <v>5680</v>
      </c>
    </row>
    <row r="284" spans="1:15" s="674" customFormat="1" x14ac:dyDescent="0.25">
      <c r="A284" s="631"/>
      <c r="B284" s="634" t="s">
        <v>1208</v>
      </c>
      <c r="C284" s="634"/>
      <c r="D284" s="634"/>
      <c r="E284" s="634"/>
      <c r="F284" s="634"/>
      <c r="G284" s="634"/>
      <c r="H284" s="634"/>
      <c r="I284" s="650"/>
      <c r="J284" s="650">
        <f t="shared" si="144"/>
        <v>0</v>
      </c>
      <c r="K284" s="650">
        <f t="shared" si="145"/>
        <v>0</v>
      </c>
      <c r="L284" s="634">
        <f t="shared" si="146"/>
        <v>0</v>
      </c>
      <c r="M284" s="634">
        <v>1157</v>
      </c>
      <c r="N284" s="650"/>
      <c r="O284" s="634">
        <f t="shared" si="147"/>
        <v>1157</v>
      </c>
    </row>
    <row r="285" spans="1:15" s="674" customFormat="1" ht="31.5" x14ac:dyDescent="0.25">
      <c r="A285" s="631"/>
      <c r="B285" s="634" t="s">
        <v>675</v>
      </c>
      <c r="C285" s="634"/>
      <c r="D285" s="634"/>
      <c r="E285" s="634"/>
      <c r="F285" s="634">
        <v>-2</v>
      </c>
      <c r="G285" s="634"/>
      <c r="H285" s="634"/>
      <c r="I285" s="650"/>
      <c r="J285" s="650">
        <f t="shared" si="144"/>
        <v>-2</v>
      </c>
      <c r="K285" s="650">
        <f t="shared" si="145"/>
        <v>0</v>
      </c>
      <c r="L285" s="634">
        <f t="shared" si="146"/>
        <v>-2</v>
      </c>
      <c r="M285" s="634"/>
      <c r="N285" s="650">
        <v>2</v>
      </c>
      <c r="O285" s="634">
        <f t="shared" si="147"/>
        <v>0</v>
      </c>
    </row>
    <row r="286" spans="1:15" s="674" customFormat="1" ht="31.5" x14ac:dyDescent="0.25">
      <c r="A286" s="631"/>
      <c r="B286" s="634" t="s">
        <v>935</v>
      </c>
      <c r="C286" s="634"/>
      <c r="D286" s="634"/>
      <c r="E286" s="634"/>
      <c r="F286" s="634">
        <v>19038</v>
      </c>
      <c r="G286" s="634"/>
      <c r="H286" s="634"/>
      <c r="I286" s="650"/>
      <c r="J286" s="650">
        <f t="shared" si="144"/>
        <v>19038</v>
      </c>
      <c r="K286" s="650">
        <f t="shared" si="145"/>
        <v>0</v>
      </c>
      <c r="L286" s="634">
        <f t="shared" si="146"/>
        <v>19038</v>
      </c>
      <c r="M286" s="634"/>
      <c r="N286" s="650"/>
      <c r="O286" s="634">
        <f t="shared" si="147"/>
        <v>19038</v>
      </c>
    </row>
    <row r="287" spans="1:15" s="674" customFormat="1" x14ac:dyDescent="0.25">
      <c r="A287" s="631"/>
      <c r="B287" s="632" t="s">
        <v>133</v>
      </c>
      <c r="C287" s="634"/>
      <c r="D287" s="634"/>
      <c r="E287" s="634"/>
      <c r="F287" s="634"/>
      <c r="G287" s="634"/>
      <c r="H287" s="634"/>
      <c r="I287" s="650"/>
      <c r="J287" s="650"/>
      <c r="K287" s="650"/>
      <c r="L287" s="634"/>
      <c r="M287" s="634"/>
      <c r="N287" s="650"/>
      <c r="O287" s="634"/>
    </row>
    <row r="288" spans="1:15" s="674" customFormat="1" ht="16.5" thickBot="1" x14ac:dyDescent="0.3">
      <c r="A288" s="631"/>
      <c r="B288" s="634" t="s">
        <v>1199</v>
      </c>
      <c r="C288" s="634"/>
      <c r="D288" s="634"/>
      <c r="E288" s="634"/>
      <c r="F288" s="634"/>
      <c r="G288" s="634"/>
      <c r="H288" s="634"/>
      <c r="I288" s="650"/>
      <c r="J288" s="650">
        <f t="shared" si="144"/>
        <v>0</v>
      </c>
      <c r="K288" s="650">
        <f t="shared" si="145"/>
        <v>0</v>
      </c>
      <c r="L288" s="634">
        <f t="shared" si="146"/>
        <v>0</v>
      </c>
      <c r="M288" s="634">
        <v>4949</v>
      </c>
      <c r="N288" s="650"/>
      <c r="O288" s="634">
        <f t="shared" si="147"/>
        <v>4949</v>
      </c>
    </row>
    <row r="289" spans="1:16" ht="17.25" thickTop="1" thickBot="1" x14ac:dyDescent="0.3">
      <c r="A289" s="626"/>
      <c r="B289" s="635" t="s">
        <v>400</v>
      </c>
      <c r="C289" s="635">
        <f>+C278+C282+C288+C283+C284+C285+C286</f>
        <v>100264</v>
      </c>
      <c r="D289" s="635">
        <f t="shared" ref="D289:O289" si="148">+D278+D282+D288+D283+D284+D285+D286</f>
        <v>0</v>
      </c>
      <c r="E289" s="635">
        <f t="shared" si="148"/>
        <v>0</v>
      </c>
      <c r="F289" s="635">
        <f t="shared" si="148"/>
        <v>340437</v>
      </c>
      <c r="G289" s="635">
        <f t="shared" si="148"/>
        <v>0</v>
      </c>
      <c r="H289" s="635">
        <f t="shared" si="148"/>
        <v>0</v>
      </c>
      <c r="I289" s="635">
        <f t="shared" si="148"/>
        <v>0</v>
      </c>
      <c r="J289" s="635">
        <f t="shared" si="148"/>
        <v>440701</v>
      </c>
      <c r="K289" s="635">
        <f t="shared" si="148"/>
        <v>0</v>
      </c>
      <c r="L289" s="635">
        <f t="shared" si="148"/>
        <v>440701</v>
      </c>
      <c r="M289" s="635">
        <f t="shared" si="148"/>
        <v>982485</v>
      </c>
      <c r="N289" s="635">
        <f t="shared" si="148"/>
        <v>21146</v>
      </c>
      <c r="O289" s="635">
        <f t="shared" si="148"/>
        <v>1444332</v>
      </c>
      <c r="P289" s="671">
        <f>O290+O291</f>
        <v>1444332</v>
      </c>
    </row>
    <row r="290" spans="1:16" ht="17.25" thickTop="1" thickBot="1" x14ac:dyDescent="0.3">
      <c r="A290" s="626"/>
      <c r="B290" s="635" t="s">
        <v>399</v>
      </c>
      <c r="C290" s="635">
        <f>+C279+C282+C283+C284+C285+C286</f>
        <v>100264</v>
      </c>
      <c r="D290" s="635">
        <f t="shared" ref="D290:O290" si="149">+D279+D282+D283+D284+D285+D286</f>
        <v>0</v>
      </c>
      <c r="E290" s="635">
        <f t="shared" si="149"/>
        <v>0</v>
      </c>
      <c r="F290" s="635">
        <f t="shared" si="149"/>
        <v>340437</v>
      </c>
      <c r="G290" s="635">
        <f t="shared" si="149"/>
        <v>0</v>
      </c>
      <c r="H290" s="635">
        <f t="shared" si="149"/>
        <v>0</v>
      </c>
      <c r="I290" s="635">
        <f t="shared" si="149"/>
        <v>0</v>
      </c>
      <c r="J290" s="635">
        <f t="shared" si="149"/>
        <v>440701</v>
      </c>
      <c r="K290" s="635">
        <f t="shared" si="149"/>
        <v>0</v>
      </c>
      <c r="L290" s="635">
        <f t="shared" si="149"/>
        <v>440701</v>
      </c>
      <c r="M290" s="635">
        <f t="shared" si="149"/>
        <v>950223</v>
      </c>
      <c r="N290" s="635">
        <f t="shared" si="149"/>
        <v>21146</v>
      </c>
      <c r="O290" s="635">
        <f t="shared" si="149"/>
        <v>1412070</v>
      </c>
    </row>
    <row r="291" spans="1:16" ht="17.25" thickTop="1" thickBot="1" x14ac:dyDescent="0.3">
      <c r="A291" s="626"/>
      <c r="B291" s="635" t="s">
        <v>398</v>
      </c>
      <c r="C291" s="635">
        <f>+C280+C288</f>
        <v>0</v>
      </c>
      <c r="D291" s="635">
        <f t="shared" ref="D291:O291" si="150">+D280+D288</f>
        <v>0</v>
      </c>
      <c r="E291" s="635">
        <f t="shared" si="150"/>
        <v>0</v>
      </c>
      <c r="F291" s="635">
        <f t="shared" si="150"/>
        <v>0</v>
      </c>
      <c r="G291" s="635">
        <f t="shared" si="150"/>
        <v>0</v>
      </c>
      <c r="H291" s="635">
        <f t="shared" si="150"/>
        <v>0</v>
      </c>
      <c r="I291" s="635">
        <f t="shared" si="150"/>
        <v>0</v>
      </c>
      <c r="J291" s="635">
        <f t="shared" si="150"/>
        <v>0</v>
      </c>
      <c r="K291" s="635">
        <f t="shared" si="150"/>
        <v>0</v>
      </c>
      <c r="L291" s="635">
        <f t="shared" si="150"/>
        <v>0</v>
      </c>
      <c r="M291" s="635">
        <f t="shared" si="150"/>
        <v>32262</v>
      </c>
      <c r="N291" s="635">
        <f t="shared" si="150"/>
        <v>0</v>
      </c>
      <c r="O291" s="635">
        <f t="shared" si="150"/>
        <v>32262</v>
      </c>
    </row>
    <row r="292" spans="1:16" ht="48" thickTop="1" x14ac:dyDescent="0.25">
      <c r="A292" s="630" t="s">
        <v>12</v>
      </c>
      <c r="B292" s="672" t="s">
        <v>1209</v>
      </c>
      <c r="C292" s="672"/>
      <c r="D292" s="672"/>
      <c r="E292" s="672"/>
      <c r="F292" s="672"/>
      <c r="G292" s="672"/>
      <c r="H292" s="672"/>
      <c r="I292" s="672"/>
      <c r="J292" s="672"/>
      <c r="K292" s="672"/>
      <c r="L292" s="672"/>
      <c r="M292" s="672"/>
      <c r="N292" s="672"/>
      <c r="O292" s="672"/>
    </row>
    <row r="293" spans="1:16" x14ac:dyDescent="0.25">
      <c r="A293" s="630"/>
      <c r="B293" s="673" t="s">
        <v>363</v>
      </c>
      <c r="C293" s="673">
        <v>14903</v>
      </c>
      <c r="D293" s="673"/>
      <c r="E293" s="673"/>
      <c r="F293" s="673"/>
      <c r="G293" s="673"/>
      <c r="H293" s="673"/>
      <c r="I293" s="673"/>
      <c r="J293" s="678">
        <f>SUM(C293+E293+F293+H293)</f>
        <v>14903</v>
      </c>
      <c r="K293" s="678">
        <f>SUM(D293+G293+I293)</f>
        <v>0</v>
      </c>
      <c r="L293" s="673">
        <f>SUM(J293:K293)</f>
        <v>14903</v>
      </c>
      <c r="M293" s="673">
        <v>316621</v>
      </c>
      <c r="N293" s="678">
        <v>185103</v>
      </c>
      <c r="O293" s="673">
        <f>SUM(L293:N293)</f>
        <v>516627</v>
      </c>
    </row>
    <row r="294" spans="1:16" s="674" customFormat="1" x14ac:dyDescent="0.25">
      <c r="A294" s="631"/>
      <c r="B294" s="632" t="s">
        <v>402</v>
      </c>
      <c r="C294" s="632">
        <v>14903</v>
      </c>
      <c r="D294" s="632"/>
      <c r="E294" s="632"/>
      <c r="F294" s="632"/>
      <c r="G294" s="632"/>
      <c r="H294" s="632"/>
      <c r="I294" s="651"/>
      <c r="J294" s="649">
        <f>SUM(C294+E294+F294+H294)</f>
        <v>14903</v>
      </c>
      <c r="K294" s="649">
        <f>SUM(D294+G294+I294)</f>
        <v>0</v>
      </c>
      <c r="L294" s="633">
        <f>SUM(J294:K294)</f>
        <v>14903</v>
      </c>
      <c r="M294" s="633">
        <v>305577</v>
      </c>
      <c r="N294" s="649">
        <v>185103</v>
      </c>
      <c r="O294" s="633">
        <f>SUM(L294:N294)</f>
        <v>505583</v>
      </c>
    </row>
    <row r="295" spans="1:16" s="674" customFormat="1" x14ac:dyDescent="0.25">
      <c r="A295" s="631"/>
      <c r="B295" s="632" t="s">
        <v>401</v>
      </c>
      <c r="C295" s="632">
        <v>0</v>
      </c>
      <c r="D295" s="632"/>
      <c r="E295" s="632"/>
      <c r="F295" s="632"/>
      <c r="G295" s="632"/>
      <c r="H295" s="632"/>
      <c r="I295" s="651"/>
      <c r="J295" s="651">
        <f>SUM(C295+E295+F295+H295)</f>
        <v>0</v>
      </c>
      <c r="K295" s="651">
        <f>SUM(D295+G295+I295)</f>
        <v>0</v>
      </c>
      <c r="L295" s="632">
        <f>SUM(J295:K295)</f>
        <v>0</v>
      </c>
      <c r="M295" s="632">
        <v>11044</v>
      </c>
      <c r="N295" s="651">
        <v>0</v>
      </c>
      <c r="O295" s="632">
        <f>SUM(L295:N295)</f>
        <v>11044</v>
      </c>
    </row>
    <row r="296" spans="1:16" s="674" customFormat="1" x14ac:dyDescent="0.25">
      <c r="A296" s="636"/>
      <c r="B296" s="632" t="s">
        <v>132</v>
      </c>
      <c r="C296" s="634"/>
      <c r="D296" s="634"/>
      <c r="E296" s="634"/>
      <c r="F296" s="634"/>
      <c r="G296" s="634"/>
      <c r="H296" s="634"/>
      <c r="I296" s="650"/>
      <c r="J296" s="650"/>
      <c r="K296" s="650"/>
      <c r="L296" s="634"/>
      <c r="M296" s="634"/>
      <c r="N296" s="650"/>
      <c r="O296" s="634"/>
    </row>
    <row r="297" spans="1:16" s="674" customFormat="1" x14ac:dyDescent="0.25">
      <c r="A297" s="631"/>
      <c r="B297" s="634" t="s">
        <v>1197</v>
      </c>
      <c r="C297" s="639"/>
      <c r="D297" s="639"/>
      <c r="E297" s="639"/>
      <c r="F297" s="639"/>
      <c r="G297" s="639"/>
      <c r="H297" s="639"/>
      <c r="I297" s="652"/>
      <c r="J297" s="652">
        <f t="shared" ref="J297:J302" si="151">SUM(C297+E297+F297+H297)</f>
        <v>0</v>
      </c>
      <c r="K297" s="652">
        <f t="shared" ref="K297:K302" si="152">SUM(D297+G297+I297)</f>
        <v>0</v>
      </c>
      <c r="L297" s="639">
        <f t="shared" ref="L297:L302" si="153">SUM(J297:K297)</f>
        <v>0</v>
      </c>
      <c r="M297" s="639">
        <v>187</v>
      </c>
      <c r="N297" s="652"/>
      <c r="O297" s="639">
        <f t="shared" ref="O297:O302" si="154">SUM(L297:N297)</f>
        <v>187</v>
      </c>
    </row>
    <row r="298" spans="1:16" s="674" customFormat="1" ht="33.75" customHeight="1" x14ac:dyDescent="0.25">
      <c r="A298" s="636"/>
      <c r="B298" s="634" t="s">
        <v>1200</v>
      </c>
      <c r="C298" s="639"/>
      <c r="D298" s="639"/>
      <c r="E298" s="639"/>
      <c r="F298" s="639"/>
      <c r="G298" s="639"/>
      <c r="H298" s="639"/>
      <c r="I298" s="652"/>
      <c r="J298" s="652">
        <f t="shared" si="151"/>
        <v>0</v>
      </c>
      <c r="K298" s="652">
        <f t="shared" si="152"/>
        <v>0</v>
      </c>
      <c r="L298" s="639">
        <f t="shared" si="153"/>
        <v>0</v>
      </c>
      <c r="M298" s="639">
        <v>4926</v>
      </c>
      <c r="N298" s="652"/>
      <c r="O298" s="639">
        <f t="shared" si="154"/>
        <v>4926</v>
      </c>
    </row>
    <row r="299" spans="1:16" s="674" customFormat="1" ht="47.25" x14ac:dyDescent="0.25">
      <c r="A299" s="631"/>
      <c r="B299" s="634" t="s">
        <v>1198</v>
      </c>
      <c r="C299" s="634"/>
      <c r="D299" s="634"/>
      <c r="E299" s="634"/>
      <c r="F299" s="634"/>
      <c r="G299" s="634"/>
      <c r="H299" s="634"/>
      <c r="I299" s="650"/>
      <c r="J299" s="650">
        <f t="shared" si="151"/>
        <v>0</v>
      </c>
      <c r="K299" s="650">
        <f t="shared" si="152"/>
        <v>0</v>
      </c>
      <c r="L299" s="634">
        <f t="shared" si="153"/>
        <v>0</v>
      </c>
      <c r="M299" s="634">
        <v>687</v>
      </c>
      <c r="N299" s="650"/>
      <c r="O299" s="634">
        <f t="shared" si="154"/>
        <v>687</v>
      </c>
    </row>
    <row r="300" spans="1:16" s="674" customFormat="1" ht="31.5" x14ac:dyDescent="0.25">
      <c r="A300" s="631"/>
      <c r="B300" s="634" t="s">
        <v>935</v>
      </c>
      <c r="C300" s="634"/>
      <c r="D300" s="634"/>
      <c r="E300" s="634"/>
      <c r="F300" s="634">
        <v>772</v>
      </c>
      <c r="G300" s="634"/>
      <c r="H300" s="634"/>
      <c r="I300" s="650"/>
      <c r="J300" s="650">
        <f t="shared" si="151"/>
        <v>772</v>
      </c>
      <c r="K300" s="650">
        <f t="shared" si="152"/>
        <v>0</v>
      </c>
      <c r="L300" s="634">
        <f t="shared" si="153"/>
        <v>772</v>
      </c>
      <c r="M300" s="634"/>
      <c r="N300" s="650"/>
      <c r="O300" s="634">
        <f t="shared" si="154"/>
        <v>772</v>
      </c>
    </row>
    <row r="301" spans="1:16" s="674" customFormat="1" x14ac:dyDescent="0.25">
      <c r="A301" s="631"/>
      <c r="B301" s="632" t="s">
        <v>133</v>
      </c>
      <c r="C301" s="634"/>
      <c r="D301" s="634"/>
      <c r="E301" s="634"/>
      <c r="F301" s="634"/>
      <c r="G301" s="634"/>
      <c r="H301" s="634"/>
      <c r="I301" s="650"/>
      <c r="J301" s="650"/>
      <c r="K301" s="650"/>
      <c r="L301" s="634"/>
      <c r="M301" s="634"/>
      <c r="N301" s="650"/>
      <c r="O301" s="634"/>
    </row>
    <row r="302" spans="1:16" s="674" customFormat="1" ht="16.5" thickBot="1" x14ac:dyDescent="0.3">
      <c r="A302" s="631"/>
      <c r="B302" s="634" t="s">
        <v>1199</v>
      </c>
      <c r="C302" s="634"/>
      <c r="D302" s="634"/>
      <c r="E302" s="634"/>
      <c r="F302" s="634"/>
      <c r="G302" s="634"/>
      <c r="H302" s="634"/>
      <c r="I302" s="650"/>
      <c r="J302" s="650">
        <f t="shared" si="151"/>
        <v>0</v>
      </c>
      <c r="K302" s="650">
        <f t="shared" si="152"/>
        <v>0</v>
      </c>
      <c r="L302" s="634">
        <f t="shared" si="153"/>
        <v>0</v>
      </c>
      <c r="M302" s="634">
        <v>1526</v>
      </c>
      <c r="N302" s="650"/>
      <c r="O302" s="634">
        <f t="shared" si="154"/>
        <v>1526</v>
      </c>
    </row>
    <row r="303" spans="1:16" ht="17.25" thickTop="1" thickBot="1" x14ac:dyDescent="0.3">
      <c r="A303" s="626"/>
      <c r="B303" s="635" t="s">
        <v>400</v>
      </c>
      <c r="C303" s="635">
        <f>+C293+C297+C302+C298+C299+C300</f>
        <v>14903</v>
      </c>
      <c r="D303" s="635">
        <f t="shared" ref="D303:O303" si="155">+D293+D297+D302+D298+D299+D300</f>
        <v>0</v>
      </c>
      <c r="E303" s="635">
        <f t="shared" si="155"/>
        <v>0</v>
      </c>
      <c r="F303" s="635">
        <f t="shared" si="155"/>
        <v>772</v>
      </c>
      <c r="G303" s="635">
        <f t="shared" si="155"/>
        <v>0</v>
      </c>
      <c r="H303" s="635">
        <f t="shared" si="155"/>
        <v>0</v>
      </c>
      <c r="I303" s="635">
        <f t="shared" si="155"/>
        <v>0</v>
      </c>
      <c r="J303" s="635">
        <f t="shared" si="155"/>
        <v>15675</v>
      </c>
      <c r="K303" s="635">
        <f t="shared" si="155"/>
        <v>0</v>
      </c>
      <c r="L303" s="635">
        <f t="shared" si="155"/>
        <v>15675</v>
      </c>
      <c r="M303" s="635">
        <f t="shared" si="155"/>
        <v>323947</v>
      </c>
      <c r="N303" s="635">
        <f t="shared" si="155"/>
        <v>185103</v>
      </c>
      <c r="O303" s="635">
        <f t="shared" si="155"/>
        <v>524725</v>
      </c>
      <c r="P303" s="671">
        <f>O304+O305</f>
        <v>524725</v>
      </c>
    </row>
    <row r="304" spans="1:16" ht="17.25" thickTop="1" thickBot="1" x14ac:dyDescent="0.3">
      <c r="A304" s="626"/>
      <c r="B304" s="635" t="s">
        <v>399</v>
      </c>
      <c r="C304" s="635">
        <f t="shared" ref="C304:O304" si="156">+C294+C297+C298+C299+C300</f>
        <v>14903</v>
      </c>
      <c r="D304" s="635">
        <f t="shared" si="156"/>
        <v>0</v>
      </c>
      <c r="E304" s="635">
        <f t="shared" si="156"/>
        <v>0</v>
      </c>
      <c r="F304" s="635">
        <f t="shared" si="156"/>
        <v>772</v>
      </c>
      <c r="G304" s="635">
        <f t="shared" si="156"/>
        <v>0</v>
      </c>
      <c r="H304" s="635">
        <f t="shared" si="156"/>
        <v>0</v>
      </c>
      <c r="I304" s="635">
        <f t="shared" si="156"/>
        <v>0</v>
      </c>
      <c r="J304" s="635">
        <f t="shared" si="156"/>
        <v>15675</v>
      </c>
      <c r="K304" s="635">
        <f t="shared" si="156"/>
        <v>0</v>
      </c>
      <c r="L304" s="635">
        <f t="shared" si="156"/>
        <v>15675</v>
      </c>
      <c r="M304" s="635">
        <f t="shared" si="156"/>
        <v>311377</v>
      </c>
      <c r="N304" s="635">
        <f t="shared" si="156"/>
        <v>185103</v>
      </c>
      <c r="O304" s="635">
        <f t="shared" si="156"/>
        <v>512155</v>
      </c>
    </row>
    <row r="305" spans="1:16" ht="17.25" thickTop="1" thickBot="1" x14ac:dyDescent="0.3">
      <c r="A305" s="626"/>
      <c r="B305" s="635" t="s">
        <v>398</v>
      </c>
      <c r="C305" s="635">
        <f>+C295+C302</f>
        <v>0</v>
      </c>
      <c r="D305" s="635">
        <f t="shared" ref="D305:O305" si="157">+D295+D302</f>
        <v>0</v>
      </c>
      <c r="E305" s="635">
        <f t="shared" si="157"/>
        <v>0</v>
      </c>
      <c r="F305" s="635">
        <f t="shared" si="157"/>
        <v>0</v>
      </c>
      <c r="G305" s="635">
        <f t="shared" si="157"/>
        <v>0</v>
      </c>
      <c r="H305" s="635">
        <f t="shared" si="157"/>
        <v>0</v>
      </c>
      <c r="I305" s="635">
        <f t="shared" si="157"/>
        <v>0</v>
      </c>
      <c r="J305" s="635">
        <f t="shared" si="157"/>
        <v>0</v>
      </c>
      <c r="K305" s="635">
        <f t="shared" si="157"/>
        <v>0</v>
      </c>
      <c r="L305" s="635">
        <f t="shared" si="157"/>
        <v>0</v>
      </c>
      <c r="M305" s="635">
        <f t="shared" si="157"/>
        <v>12570</v>
      </c>
      <c r="N305" s="635">
        <f t="shared" si="157"/>
        <v>0</v>
      </c>
      <c r="O305" s="635">
        <f t="shared" si="157"/>
        <v>12570</v>
      </c>
    </row>
    <row r="306" spans="1:16" ht="16.5" thickTop="1" x14ac:dyDescent="0.25">
      <c r="A306" s="655" t="s">
        <v>13</v>
      </c>
      <c r="B306" s="679" t="s">
        <v>397</v>
      </c>
      <c r="C306" s="679"/>
      <c r="D306" s="679"/>
      <c r="E306" s="679"/>
      <c r="F306" s="679"/>
      <c r="G306" s="679"/>
      <c r="H306" s="679"/>
      <c r="I306" s="679"/>
      <c r="J306" s="679"/>
      <c r="K306" s="679"/>
      <c r="L306" s="679"/>
      <c r="M306" s="679"/>
      <c r="N306" s="679"/>
      <c r="O306" s="679"/>
    </row>
    <row r="307" spans="1:16" x14ac:dyDescent="0.25">
      <c r="A307" s="630"/>
      <c r="B307" s="673" t="s">
        <v>363</v>
      </c>
      <c r="C307" s="673">
        <v>23423</v>
      </c>
      <c r="D307" s="673"/>
      <c r="E307" s="673"/>
      <c r="F307" s="673">
        <v>9200</v>
      </c>
      <c r="G307" s="673"/>
      <c r="H307" s="673">
        <v>300</v>
      </c>
      <c r="I307" s="673"/>
      <c r="J307" s="673">
        <f>SUM(C307+E307+F307+H307)</f>
        <v>32923</v>
      </c>
      <c r="K307" s="673">
        <f>SUM(D307+G307+I307)</f>
        <v>0</v>
      </c>
      <c r="L307" s="673">
        <f>SUM(J307:K307)</f>
        <v>32923</v>
      </c>
      <c r="M307" s="673">
        <v>284496</v>
      </c>
      <c r="N307" s="673">
        <v>165089</v>
      </c>
      <c r="O307" s="673">
        <f>SUM(L307:N307)</f>
        <v>482508</v>
      </c>
    </row>
    <row r="308" spans="1:16" s="674" customFormat="1" x14ac:dyDescent="0.25">
      <c r="A308" s="631"/>
      <c r="B308" s="632" t="s">
        <v>402</v>
      </c>
      <c r="C308" s="632">
        <v>23423</v>
      </c>
      <c r="D308" s="632"/>
      <c r="E308" s="632"/>
      <c r="F308" s="632">
        <v>9200</v>
      </c>
      <c r="G308" s="632"/>
      <c r="H308" s="632">
        <v>300</v>
      </c>
      <c r="I308" s="632"/>
      <c r="J308" s="633">
        <f>SUM(C308+E308+F308+H308)</f>
        <v>32923</v>
      </c>
      <c r="K308" s="633">
        <f>SUM(D308+G308+I308)</f>
        <v>0</v>
      </c>
      <c r="L308" s="633">
        <f>SUM(J308:K308)</f>
        <v>32923</v>
      </c>
      <c r="M308" s="633">
        <v>277885</v>
      </c>
      <c r="N308" s="633">
        <v>165089</v>
      </c>
      <c r="O308" s="633">
        <f>SUM(L308:N308)</f>
        <v>475897</v>
      </c>
    </row>
    <row r="309" spans="1:16" s="674" customFormat="1" x14ac:dyDescent="0.25">
      <c r="A309" s="631"/>
      <c r="B309" s="632" t="s">
        <v>401</v>
      </c>
      <c r="C309" s="632">
        <v>0</v>
      </c>
      <c r="D309" s="632"/>
      <c r="E309" s="632"/>
      <c r="F309" s="632">
        <v>0</v>
      </c>
      <c r="G309" s="632"/>
      <c r="H309" s="632"/>
      <c r="I309" s="632"/>
      <c r="J309" s="632">
        <f>SUM(C309+E309+F309+H309)</f>
        <v>0</v>
      </c>
      <c r="K309" s="632">
        <f>SUM(D309+G309+I309)</f>
        <v>0</v>
      </c>
      <c r="L309" s="632">
        <f>SUM(J309:K309)</f>
        <v>0</v>
      </c>
      <c r="M309" s="632">
        <v>6611</v>
      </c>
      <c r="N309" s="632">
        <v>0</v>
      </c>
      <c r="O309" s="632">
        <f>SUM(L309:N309)</f>
        <v>6611</v>
      </c>
    </row>
    <row r="310" spans="1:16" s="674" customFormat="1" x14ac:dyDescent="0.25">
      <c r="A310" s="631"/>
      <c r="B310" s="632" t="s">
        <v>132</v>
      </c>
      <c r="C310" s="634"/>
      <c r="D310" s="634"/>
      <c r="E310" s="634"/>
      <c r="F310" s="634"/>
      <c r="G310" s="634"/>
      <c r="H310" s="634"/>
      <c r="I310" s="634"/>
      <c r="J310" s="634"/>
      <c r="K310" s="634"/>
      <c r="L310" s="634"/>
      <c r="M310" s="634"/>
      <c r="N310" s="634"/>
      <c r="O310" s="634"/>
    </row>
    <row r="311" spans="1:16" s="674" customFormat="1" x14ac:dyDescent="0.25">
      <c r="A311" s="631"/>
      <c r="B311" s="634" t="s">
        <v>1197</v>
      </c>
      <c r="C311" s="634"/>
      <c r="D311" s="634"/>
      <c r="E311" s="634"/>
      <c r="F311" s="634"/>
      <c r="G311" s="634"/>
      <c r="H311" s="634"/>
      <c r="I311" s="634"/>
      <c r="J311" s="634">
        <f t="shared" ref="J311:J315" si="158">SUM(C311+E311+F311+H311)</f>
        <v>0</v>
      </c>
      <c r="K311" s="634">
        <f t="shared" ref="K311:K315" si="159">SUM(D311+G311+I311)</f>
        <v>0</v>
      </c>
      <c r="L311" s="634">
        <f t="shared" ref="L311:L315" si="160">SUM(J311:K311)</f>
        <v>0</v>
      </c>
      <c r="M311" s="634">
        <v>90</v>
      </c>
      <c r="N311" s="634"/>
      <c r="O311" s="634">
        <f t="shared" ref="O311:O315" si="161">SUM(L311:N311)</f>
        <v>90</v>
      </c>
    </row>
    <row r="312" spans="1:16" s="674" customFormat="1" ht="33.75" customHeight="1" x14ac:dyDescent="0.25">
      <c r="A312" s="631"/>
      <c r="B312" s="634" t="s">
        <v>1200</v>
      </c>
      <c r="C312" s="634"/>
      <c r="D312" s="634"/>
      <c r="E312" s="634"/>
      <c r="F312" s="634"/>
      <c r="G312" s="634"/>
      <c r="H312" s="634"/>
      <c r="I312" s="634"/>
      <c r="J312" s="634">
        <f t="shared" si="158"/>
        <v>0</v>
      </c>
      <c r="K312" s="634">
        <f t="shared" si="159"/>
        <v>0</v>
      </c>
      <c r="L312" s="634">
        <f t="shared" si="160"/>
        <v>0</v>
      </c>
      <c r="M312" s="634">
        <v>2762</v>
      </c>
      <c r="N312" s="634"/>
      <c r="O312" s="634">
        <f t="shared" si="161"/>
        <v>2762</v>
      </c>
    </row>
    <row r="313" spans="1:16" s="674" customFormat="1" ht="33.75" customHeight="1" x14ac:dyDescent="0.25">
      <c r="A313" s="631"/>
      <c r="B313" s="634" t="s">
        <v>935</v>
      </c>
      <c r="C313" s="634"/>
      <c r="D313" s="634"/>
      <c r="E313" s="634"/>
      <c r="F313" s="634">
        <f>1269+2</f>
        <v>1271</v>
      </c>
      <c r="G313" s="634"/>
      <c r="H313" s="634">
        <v>7745</v>
      </c>
      <c r="I313" s="634"/>
      <c r="J313" s="634">
        <f t="shared" si="158"/>
        <v>9016</v>
      </c>
      <c r="K313" s="634">
        <f t="shared" si="159"/>
        <v>0</v>
      </c>
      <c r="L313" s="634">
        <f t="shared" si="160"/>
        <v>9016</v>
      </c>
      <c r="M313" s="634">
        <f>459</f>
        <v>459</v>
      </c>
      <c r="N313" s="634"/>
      <c r="O313" s="634">
        <f t="shared" si="161"/>
        <v>9475</v>
      </c>
    </row>
    <row r="314" spans="1:16" s="674" customFormat="1" x14ac:dyDescent="0.25">
      <c r="A314" s="631"/>
      <c r="B314" s="632" t="s">
        <v>133</v>
      </c>
      <c r="C314" s="634"/>
      <c r="D314" s="634"/>
      <c r="E314" s="634"/>
      <c r="F314" s="634"/>
      <c r="G314" s="634"/>
      <c r="H314" s="634"/>
      <c r="I314" s="634"/>
      <c r="J314" s="634"/>
      <c r="K314" s="634"/>
      <c r="L314" s="634"/>
      <c r="M314" s="634"/>
      <c r="N314" s="634"/>
      <c r="O314" s="634"/>
    </row>
    <row r="315" spans="1:16" s="674" customFormat="1" ht="16.5" thickBot="1" x14ac:dyDescent="0.3">
      <c r="A315" s="631"/>
      <c r="B315" s="634" t="s">
        <v>1199</v>
      </c>
      <c r="C315" s="639"/>
      <c r="D315" s="639"/>
      <c r="E315" s="639"/>
      <c r="F315" s="639"/>
      <c r="G315" s="639"/>
      <c r="H315" s="639"/>
      <c r="I315" s="639"/>
      <c r="J315" s="639">
        <f t="shared" si="158"/>
        <v>0</v>
      </c>
      <c r="K315" s="639">
        <f t="shared" si="159"/>
        <v>0</v>
      </c>
      <c r="L315" s="639">
        <f t="shared" si="160"/>
        <v>0</v>
      </c>
      <c r="M315" s="639">
        <v>920</v>
      </c>
      <c r="N315" s="639"/>
      <c r="O315" s="639">
        <f t="shared" si="161"/>
        <v>920</v>
      </c>
    </row>
    <row r="316" spans="1:16" ht="17.25" thickTop="1" thickBot="1" x14ac:dyDescent="0.3">
      <c r="A316" s="626"/>
      <c r="B316" s="635" t="s">
        <v>400</v>
      </c>
      <c r="C316" s="635">
        <f>+C307+C311+C315+C312+C313</f>
        <v>23423</v>
      </c>
      <c r="D316" s="635">
        <f t="shared" ref="D316:O316" si="162">+D307+D311+D315+D312+D313</f>
        <v>0</v>
      </c>
      <c r="E316" s="635">
        <f t="shared" si="162"/>
        <v>0</v>
      </c>
      <c r="F316" s="635">
        <f t="shared" si="162"/>
        <v>10471</v>
      </c>
      <c r="G316" s="635">
        <f t="shared" si="162"/>
        <v>0</v>
      </c>
      <c r="H316" s="635">
        <f t="shared" si="162"/>
        <v>8045</v>
      </c>
      <c r="I316" s="635">
        <f t="shared" si="162"/>
        <v>0</v>
      </c>
      <c r="J316" s="635">
        <f t="shared" si="162"/>
        <v>41939</v>
      </c>
      <c r="K316" s="635">
        <f t="shared" si="162"/>
        <v>0</v>
      </c>
      <c r="L316" s="635">
        <f t="shared" si="162"/>
        <v>41939</v>
      </c>
      <c r="M316" s="635">
        <f t="shared" si="162"/>
        <v>288727</v>
      </c>
      <c r="N316" s="635">
        <f t="shared" si="162"/>
        <v>165089</v>
      </c>
      <c r="O316" s="635">
        <f t="shared" si="162"/>
        <v>495755</v>
      </c>
      <c r="P316" s="671">
        <f>O317+O318</f>
        <v>495755</v>
      </c>
    </row>
    <row r="317" spans="1:16" ht="17.25" thickTop="1" thickBot="1" x14ac:dyDescent="0.3">
      <c r="A317" s="626"/>
      <c r="B317" s="635" t="s">
        <v>399</v>
      </c>
      <c r="C317" s="635">
        <f t="shared" ref="C317:O317" si="163">+C308+C311+C312+C313</f>
        <v>23423</v>
      </c>
      <c r="D317" s="635">
        <f t="shared" si="163"/>
        <v>0</v>
      </c>
      <c r="E317" s="635">
        <f t="shared" si="163"/>
        <v>0</v>
      </c>
      <c r="F317" s="635">
        <f t="shared" si="163"/>
        <v>10471</v>
      </c>
      <c r="G317" s="635">
        <f t="shared" si="163"/>
        <v>0</v>
      </c>
      <c r="H317" s="635">
        <f t="shared" si="163"/>
        <v>8045</v>
      </c>
      <c r="I317" s="635">
        <f t="shared" si="163"/>
        <v>0</v>
      </c>
      <c r="J317" s="635">
        <f t="shared" si="163"/>
        <v>41939</v>
      </c>
      <c r="K317" s="635">
        <f t="shared" si="163"/>
        <v>0</v>
      </c>
      <c r="L317" s="635">
        <f t="shared" si="163"/>
        <v>41939</v>
      </c>
      <c r="M317" s="635">
        <f t="shared" si="163"/>
        <v>281196</v>
      </c>
      <c r="N317" s="635">
        <f t="shared" si="163"/>
        <v>165089</v>
      </c>
      <c r="O317" s="635">
        <f t="shared" si="163"/>
        <v>488224</v>
      </c>
    </row>
    <row r="318" spans="1:16" ht="17.25" thickTop="1" thickBot="1" x14ac:dyDescent="0.3">
      <c r="A318" s="626"/>
      <c r="B318" s="635" t="s">
        <v>398</v>
      </c>
      <c r="C318" s="635">
        <f>+C309+C315</f>
        <v>0</v>
      </c>
      <c r="D318" s="635">
        <f t="shared" ref="D318:O318" si="164">+D309+D315</f>
        <v>0</v>
      </c>
      <c r="E318" s="635">
        <f t="shared" si="164"/>
        <v>0</v>
      </c>
      <c r="F318" s="635">
        <f t="shared" si="164"/>
        <v>0</v>
      </c>
      <c r="G318" s="635">
        <f t="shared" si="164"/>
        <v>0</v>
      </c>
      <c r="H318" s="635">
        <f t="shared" si="164"/>
        <v>0</v>
      </c>
      <c r="I318" s="635">
        <f t="shared" si="164"/>
        <v>0</v>
      </c>
      <c r="J318" s="635">
        <f t="shared" si="164"/>
        <v>0</v>
      </c>
      <c r="K318" s="635">
        <f t="shared" si="164"/>
        <v>0</v>
      </c>
      <c r="L318" s="635">
        <f t="shared" si="164"/>
        <v>0</v>
      </c>
      <c r="M318" s="635">
        <f t="shared" si="164"/>
        <v>7531</v>
      </c>
      <c r="N318" s="635">
        <f t="shared" si="164"/>
        <v>0</v>
      </c>
      <c r="O318" s="635">
        <f t="shared" si="164"/>
        <v>7531</v>
      </c>
    </row>
    <row r="319" spans="1:16" ht="17.25" thickTop="1" thickBot="1" x14ac:dyDescent="0.3">
      <c r="A319" s="626"/>
      <c r="B319" s="635" t="s">
        <v>415</v>
      </c>
      <c r="C319" s="635">
        <f t="shared" ref="C319:O319" si="165">SUM(C289+C303+C316)</f>
        <v>138590</v>
      </c>
      <c r="D319" s="635">
        <f t="shared" si="165"/>
        <v>0</v>
      </c>
      <c r="E319" s="635">
        <f t="shared" si="165"/>
        <v>0</v>
      </c>
      <c r="F319" s="635">
        <f t="shared" si="165"/>
        <v>351680</v>
      </c>
      <c r="G319" s="635">
        <f t="shared" si="165"/>
        <v>0</v>
      </c>
      <c r="H319" s="635">
        <f t="shared" si="165"/>
        <v>8045</v>
      </c>
      <c r="I319" s="635">
        <f t="shared" si="165"/>
        <v>0</v>
      </c>
      <c r="J319" s="635">
        <f t="shared" si="165"/>
        <v>498315</v>
      </c>
      <c r="K319" s="635">
        <f t="shared" si="165"/>
        <v>0</v>
      </c>
      <c r="L319" s="635">
        <f t="shared" si="165"/>
        <v>498315</v>
      </c>
      <c r="M319" s="635">
        <f t="shared" si="165"/>
        <v>1595159</v>
      </c>
      <c r="N319" s="635">
        <f t="shared" si="165"/>
        <v>371338</v>
      </c>
      <c r="O319" s="635">
        <f t="shared" si="165"/>
        <v>2464812</v>
      </c>
    </row>
    <row r="320" spans="1:16" ht="16.5" thickTop="1" x14ac:dyDescent="0.25">
      <c r="A320" s="655" t="s">
        <v>14</v>
      </c>
      <c r="B320" s="656" t="s">
        <v>414</v>
      </c>
      <c r="C320" s="656"/>
      <c r="D320" s="656"/>
      <c r="E320" s="656"/>
      <c r="F320" s="656"/>
      <c r="G320" s="656"/>
      <c r="H320" s="656"/>
      <c r="I320" s="656"/>
      <c r="J320" s="656"/>
      <c r="K320" s="656"/>
      <c r="L320" s="656"/>
      <c r="M320" s="656"/>
      <c r="N320" s="656"/>
      <c r="O320" s="656"/>
    </row>
    <row r="321" spans="1:16" x14ac:dyDescent="0.25">
      <c r="A321" s="630"/>
      <c r="B321" s="680" t="s">
        <v>363</v>
      </c>
      <c r="C321" s="680">
        <v>15506</v>
      </c>
      <c r="D321" s="680"/>
      <c r="E321" s="680"/>
      <c r="F321" s="680">
        <v>521652</v>
      </c>
      <c r="G321" s="680"/>
      <c r="H321" s="680"/>
      <c r="I321" s="680"/>
      <c r="J321" s="673">
        <f>SUM(C321+E321+F321+H321)</f>
        <v>537158</v>
      </c>
      <c r="K321" s="673">
        <f>SUM(D321+G321+I321)</f>
        <v>0</v>
      </c>
      <c r="L321" s="673">
        <f>SUM(J321:K321)</f>
        <v>537158</v>
      </c>
      <c r="M321" s="673">
        <v>988706</v>
      </c>
      <c r="N321" s="673">
        <v>10630</v>
      </c>
      <c r="O321" s="673">
        <f>SUM(L321:N321)</f>
        <v>1536494</v>
      </c>
    </row>
    <row r="322" spans="1:16" s="674" customFormat="1" x14ac:dyDescent="0.25">
      <c r="A322" s="631"/>
      <c r="B322" s="632" t="s">
        <v>402</v>
      </c>
      <c r="C322" s="632">
        <v>15506</v>
      </c>
      <c r="D322" s="632"/>
      <c r="E322" s="632"/>
      <c r="F322" s="632">
        <v>521652</v>
      </c>
      <c r="G322" s="632"/>
      <c r="H322" s="632"/>
      <c r="I322" s="632"/>
      <c r="J322" s="633">
        <f>SUM(C322+E322+F322+H322)</f>
        <v>537158</v>
      </c>
      <c r="K322" s="633">
        <f>SUM(D322+G322+I322)</f>
        <v>0</v>
      </c>
      <c r="L322" s="633">
        <f>SUM(J322:K322)</f>
        <v>537158</v>
      </c>
      <c r="M322" s="633">
        <v>981122</v>
      </c>
      <c r="N322" s="633">
        <v>10630</v>
      </c>
      <c r="O322" s="633">
        <f>SUM(L322:N322)</f>
        <v>1528910</v>
      </c>
    </row>
    <row r="323" spans="1:16" s="674" customFormat="1" x14ac:dyDescent="0.25">
      <c r="A323" s="631"/>
      <c r="B323" s="632" t="s">
        <v>401</v>
      </c>
      <c r="C323" s="632">
        <v>0</v>
      </c>
      <c r="D323" s="632"/>
      <c r="E323" s="632"/>
      <c r="F323" s="632">
        <v>0</v>
      </c>
      <c r="G323" s="632"/>
      <c r="H323" s="632"/>
      <c r="I323" s="632"/>
      <c r="J323" s="632">
        <f>SUM(C323+E323+F323+H323)</f>
        <v>0</v>
      </c>
      <c r="K323" s="632">
        <f>SUM(D323+G323+I323)</f>
        <v>0</v>
      </c>
      <c r="L323" s="632">
        <f>SUM(J323:K323)</f>
        <v>0</v>
      </c>
      <c r="M323" s="632">
        <v>7584</v>
      </c>
      <c r="N323" s="632">
        <v>0</v>
      </c>
      <c r="O323" s="632">
        <f>SUM(L323:N323)</f>
        <v>7584</v>
      </c>
    </row>
    <row r="324" spans="1:16" x14ac:dyDescent="0.25">
      <c r="A324" s="630"/>
      <c r="B324" s="632" t="s">
        <v>132</v>
      </c>
      <c r="C324" s="632"/>
      <c r="D324" s="632"/>
      <c r="E324" s="632"/>
      <c r="F324" s="632"/>
      <c r="G324" s="632"/>
      <c r="H324" s="632"/>
      <c r="I324" s="632"/>
      <c r="J324" s="673"/>
      <c r="K324" s="673"/>
      <c r="L324" s="673"/>
      <c r="M324" s="673"/>
      <c r="N324" s="673"/>
      <c r="O324" s="673"/>
    </row>
    <row r="325" spans="1:16" x14ac:dyDescent="0.25">
      <c r="A325" s="630"/>
      <c r="B325" s="634" t="s">
        <v>1197</v>
      </c>
      <c r="C325" s="673"/>
      <c r="D325" s="673"/>
      <c r="E325" s="673"/>
      <c r="F325" s="673"/>
      <c r="G325" s="673"/>
      <c r="H325" s="673"/>
      <c r="I325" s="673"/>
      <c r="J325" s="673">
        <f t="shared" ref="J325:J328" si="166">SUM(C325+E325+F325+H325)</f>
        <v>0</v>
      </c>
      <c r="K325" s="673">
        <f t="shared" ref="K325:K328" si="167">SUM(D325+G325+I325)</f>
        <v>0</v>
      </c>
      <c r="L325" s="673">
        <f t="shared" ref="L325:L328" si="168">SUM(J325:K325)</f>
        <v>0</v>
      </c>
      <c r="M325" s="673">
        <v>124</v>
      </c>
      <c r="N325" s="673"/>
      <c r="O325" s="673">
        <f t="shared" ref="O325:O328" si="169">SUM(L325:N325)</f>
        <v>124</v>
      </c>
    </row>
    <row r="326" spans="1:16" ht="31.5" x14ac:dyDescent="0.25">
      <c r="A326" s="630"/>
      <c r="B326" s="634" t="s">
        <v>935</v>
      </c>
      <c r="C326" s="673"/>
      <c r="D326" s="673"/>
      <c r="E326" s="673"/>
      <c r="F326" s="673">
        <v>29868</v>
      </c>
      <c r="G326" s="673"/>
      <c r="H326" s="673"/>
      <c r="I326" s="673"/>
      <c r="J326" s="673">
        <f t="shared" si="166"/>
        <v>29868</v>
      </c>
      <c r="K326" s="673">
        <f t="shared" si="167"/>
        <v>0</v>
      </c>
      <c r="L326" s="673">
        <f t="shared" si="168"/>
        <v>29868</v>
      </c>
      <c r="M326" s="673"/>
      <c r="N326" s="673"/>
      <c r="O326" s="673">
        <f t="shared" si="169"/>
        <v>29868</v>
      </c>
    </row>
    <row r="327" spans="1:16" x14ac:dyDescent="0.25">
      <c r="A327" s="630"/>
      <c r="B327" s="632" t="s">
        <v>133</v>
      </c>
      <c r="C327" s="673"/>
      <c r="D327" s="673"/>
      <c r="E327" s="673"/>
      <c r="F327" s="673"/>
      <c r="G327" s="673"/>
      <c r="H327" s="673"/>
      <c r="I327" s="673"/>
      <c r="J327" s="673"/>
      <c r="K327" s="673"/>
      <c r="L327" s="673"/>
      <c r="M327" s="673"/>
      <c r="N327" s="673"/>
      <c r="O327" s="673"/>
    </row>
    <row r="328" spans="1:16" ht="16.5" thickBot="1" x14ac:dyDescent="0.3">
      <c r="A328" s="630"/>
      <c r="B328" s="634" t="s">
        <v>1199</v>
      </c>
      <c r="C328" s="673"/>
      <c r="D328" s="673"/>
      <c r="E328" s="673"/>
      <c r="F328" s="673"/>
      <c r="G328" s="673"/>
      <c r="H328" s="673"/>
      <c r="I328" s="673"/>
      <c r="J328" s="673">
        <f t="shared" si="166"/>
        <v>0</v>
      </c>
      <c r="K328" s="673">
        <f t="shared" si="167"/>
        <v>0</v>
      </c>
      <c r="L328" s="673">
        <f t="shared" si="168"/>
        <v>0</v>
      </c>
      <c r="M328" s="673">
        <v>1502</v>
      </c>
      <c r="N328" s="673"/>
      <c r="O328" s="673">
        <f t="shared" si="169"/>
        <v>1502</v>
      </c>
    </row>
    <row r="329" spans="1:16" ht="17.25" thickTop="1" thickBot="1" x14ac:dyDescent="0.3">
      <c r="A329" s="626"/>
      <c r="B329" s="635" t="s">
        <v>400</v>
      </c>
      <c r="C329" s="635">
        <f>+C321+C325+C326+C328</f>
        <v>15506</v>
      </c>
      <c r="D329" s="635">
        <f t="shared" ref="D329:O329" si="170">+D321+D325+D326+D328</f>
        <v>0</v>
      </c>
      <c r="E329" s="635">
        <f t="shared" si="170"/>
        <v>0</v>
      </c>
      <c r="F329" s="635">
        <f t="shared" si="170"/>
        <v>551520</v>
      </c>
      <c r="G329" s="635">
        <f t="shared" si="170"/>
        <v>0</v>
      </c>
      <c r="H329" s="635">
        <f t="shared" si="170"/>
        <v>0</v>
      </c>
      <c r="I329" s="635">
        <f t="shared" si="170"/>
        <v>0</v>
      </c>
      <c r="J329" s="635">
        <f t="shared" si="170"/>
        <v>567026</v>
      </c>
      <c r="K329" s="635">
        <f t="shared" si="170"/>
        <v>0</v>
      </c>
      <c r="L329" s="635">
        <f t="shared" si="170"/>
        <v>567026</v>
      </c>
      <c r="M329" s="635">
        <f t="shared" si="170"/>
        <v>990332</v>
      </c>
      <c r="N329" s="635">
        <f t="shared" si="170"/>
        <v>10630</v>
      </c>
      <c r="O329" s="635">
        <f t="shared" si="170"/>
        <v>1567988</v>
      </c>
      <c r="P329" s="671">
        <f>O330+O331</f>
        <v>1567988</v>
      </c>
    </row>
    <row r="330" spans="1:16" ht="17.25" thickTop="1" thickBot="1" x14ac:dyDescent="0.3">
      <c r="A330" s="626"/>
      <c r="B330" s="635" t="s">
        <v>399</v>
      </c>
      <c r="C330" s="635">
        <f t="shared" ref="C330:O330" si="171">+C322+C325+C326</f>
        <v>15506</v>
      </c>
      <c r="D330" s="635">
        <f t="shared" si="171"/>
        <v>0</v>
      </c>
      <c r="E330" s="635">
        <f t="shared" si="171"/>
        <v>0</v>
      </c>
      <c r="F330" s="635">
        <f t="shared" si="171"/>
        <v>551520</v>
      </c>
      <c r="G330" s="635">
        <f t="shared" si="171"/>
        <v>0</v>
      </c>
      <c r="H330" s="635">
        <f t="shared" si="171"/>
        <v>0</v>
      </c>
      <c r="I330" s="635">
        <f t="shared" si="171"/>
        <v>0</v>
      </c>
      <c r="J330" s="635">
        <f t="shared" si="171"/>
        <v>567026</v>
      </c>
      <c r="K330" s="635">
        <f t="shared" si="171"/>
        <v>0</v>
      </c>
      <c r="L330" s="635">
        <f t="shared" si="171"/>
        <v>567026</v>
      </c>
      <c r="M330" s="635">
        <f t="shared" si="171"/>
        <v>981246</v>
      </c>
      <c r="N330" s="635">
        <f t="shared" si="171"/>
        <v>10630</v>
      </c>
      <c r="O330" s="635">
        <f t="shared" si="171"/>
        <v>1558902</v>
      </c>
    </row>
    <row r="331" spans="1:16" ht="17.25" thickTop="1" thickBot="1" x14ac:dyDescent="0.3">
      <c r="A331" s="626"/>
      <c r="B331" s="635" t="s">
        <v>398</v>
      </c>
      <c r="C331" s="635">
        <f>+C323+C328</f>
        <v>0</v>
      </c>
      <c r="D331" s="635">
        <f t="shared" ref="D331:O331" si="172">+D323+D328</f>
        <v>0</v>
      </c>
      <c r="E331" s="635">
        <f t="shared" si="172"/>
        <v>0</v>
      </c>
      <c r="F331" s="635">
        <f t="shared" si="172"/>
        <v>0</v>
      </c>
      <c r="G331" s="635">
        <f t="shared" si="172"/>
        <v>0</v>
      </c>
      <c r="H331" s="635">
        <f t="shared" si="172"/>
        <v>0</v>
      </c>
      <c r="I331" s="635">
        <f t="shared" si="172"/>
        <v>0</v>
      </c>
      <c r="J331" s="635">
        <f t="shared" si="172"/>
        <v>0</v>
      </c>
      <c r="K331" s="635">
        <f t="shared" si="172"/>
        <v>0</v>
      </c>
      <c r="L331" s="635">
        <f t="shared" si="172"/>
        <v>0</v>
      </c>
      <c r="M331" s="635">
        <f t="shared" si="172"/>
        <v>9086</v>
      </c>
      <c r="N331" s="635">
        <f t="shared" si="172"/>
        <v>0</v>
      </c>
      <c r="O331" s="635">
        <f t="shared" si="172"/>
        <v>9086</v>
      </c>
    </row>
    <row r="332" spans="1:16" ht="16.5" thickTop="1" x14ac:dyDescent="0.25">
      <c r="A332" s="630" t="s">
        <v>15</v>
      </c>
      <c r="B332" s="675" t="s">
        <v>413</v>
      </c>
      <c r="C332" s="675"/>
      <c r="D332" s="675"/>
      <c r="E332" s="675"/>
      <c r="F332" s="675"/>
      <c r="G332" s="675"/>
      <c r="H332" s="675"/>
      <c r="I332" s="675"/>
      <c r="J332" s="675"/>
      <c r="K332" s="675"/>
      <c r="L332" s="675"/>
      <c r="M332" s="675"/>
      <c r="N332" s="675"/>
      <c r="O332" s="675"/>
    </row>
    <row r="333" spans="1:16" x14ac:dyDescent="0.25">
      <c r="A333" s="630"/>
      <c r="B333" s="673" t="s">
        <v>363</v>
      </c>
      <c r="C333" s="673">
        <v>3977</v>
      </c>
      <c r="D333" s="673"/>
      <c r="E333" s="673"/>
      <c r="F333" s="673">
        <v>350</v>
      </c>
      <c r="G333" s="673"/>
      <c r="H333" s="673"/>
      <c r="I333" s="673"/>
      <c r="J333" s="673">
        <f>SUM(C333+E333+F333+H333)</f>
        <v>4327</v>
      </c>
      <c r="K333" s="673">
        <f>SUM(D333+G333+I333)</f>
        <v>0</v>
      </c>
      <c r="L333" s="673">
        <f>SUM(J333:K333)</f>
        <v>4327</v>
      </c>
      <c r="M333" s="673">
        <v>89073</v>
      </c>
      <c r="N333" s="673">
        <v>1401</v>
      </c>
      <c r="O333" s="673">
        <f>SUM(L333:N333)</f>
        <v>94801</v>
      </c>
    </row>
    <row r="334" spans="1:16" s="674" customFormat="1" x14ac:dyDescent="0.25">
      <c r="A334" s="631"/>
      <c r="B334" s="632" t="s">
        <v>408</v>
      </c>
      <c r="C334" s="632">
        <v>3977</v>
      </c>
      <c r="D334" s="632"/>
      <c r="E334" s="632"/>
      <c r="F334" s="632">
        <v>350</v>
      </c>
      <c r="G334" s="632"/>
      <c r="H334" s="632"/>
      <c r="I334" s="632"/>
      <c r="J334" s="633">
        <f>SUM(C334+E334+F334+H334)</f>
        <v>4327</v>
      </c>
      <c r="K334" s="633">
        <f>SUM(D334+G334+I334)</f>
        <v>0</v>
      </c>
      <c r="L334" s="633">
        <f>SUM(J334:K334)</f>
        <v>4327</v>
      </c>
      <c r="M334" s="633">
        <v>89073</v>
      </c>
      <c r="N334" s="633">
        <v>1401</v>
      </c>
      <c r="O334" s="633">
        <f>SUM(L334:N334)</f>
        <v>94801</v>
      </c>
    </row>
    <row r="335" spans="1:16" s="674" customFormat="1" x14ac:dyDescent="0.25">
      <c r="A335" s="631"/>
      <c r="B335" s="632" t="s">
        <v>133</v>
      </c>
      <c r="C335" s="632"/>
      <c r="D335" s="632"/>
      <c r="E335" s="632"/>
      <c r="F335" s="632"/>
      <c r="G335" s="632"/>
      <c r="H335" s="632"/>
      <c r="I335" s="632"/>
      <c r="J335" s="633"/>
      <c r="K335" s="633"/>
      <c r="L335" s="633"/>
      <c r="M335" s="633"/>
      <c r="N335" s="633"/>
      <c r="O335" s="633"/>
    </row>
    <row r="336" spans="1:16" s="674" customFormat="1" x14ac:dyDescent="0.25">
      <c r="A336" s="631"/>
      <c r="B336" s="634" t="s">
        <v>1210</v>
      </c>
      <c r="C336" s="634"/>
      <c r="D336" s="634"/>
      <c r="E336" s="634"/>
      <c r="F336" s="634"/>
      <c r="G336" s="634"/>
      <c r="H336" s="634"/>
      <c r="I336" s="634"/>
      <c r="J336" s="634">
        <f t="shared" ref="J336:J338" si="173">SUM(C336+E336+F336+H336)</f>
        <v>0</v>
      </c>
      <c r="K336" s="634">
        <f t="shared" ref="K336:K338" si="174">SUM(D336+G336+I336)</f>
        <v>0</v>
      </c>
      <c r="L336" s="634">
        <f t="shared" ref="L336:L338" si="175">SUM(J336:K336)</f>
        <v>0</v>
      </c>
      <c r="M336" s="634">
        <v>322</v>
      </c>
      <c r="N336" s="634"/>
      <c r="O336" s="634">
        <f t="shared" ref="O336:O338" si="176">SUM(L336:N336)</f>
        <v>322</v>
      </c>
    </row>
    <row r="337" spans="1:15" x14ac:dyDescent="0.25">
      <c r="A337" s="630"/>
      <c r="B337" s="634" t="s">
        <v>1199</v>
      </c>
      <c r="C337" s="634"/>
      <c r="D337" s="634"/>
      <c r="E337" s="634"/>
      <c r="F337" s="634"/>
      <c r="G337" s="634"/>
      <c r="H337" s="634"/>
      <c r="I337" s="634"/>
      <c r="J337" s="673">
        <f t="shared" si="173"/>
        <v>0</v>
      </c>
      <c r="K337" s="673">
        <f t="shared" si="174"/>
        <v>0</v>
      </c>
      <c r="L337" s="673">
        <f t="shared" si="175"/>
        <v>0</v>
      </c>
      <c r="M337" s="673">
        <v>270</v>
      </c>
      <c r="N337" s="673"/>
      <c r="O337" s="673">
        <f t="shared" si="176"/>
        <v>270</v>
      </c>
    </row>
    <row r="338" spans="1:15" s="674" customFormat="1" ht="32.25" thickBot="1" x14ac:dyDescent="0.3">
      <c r="A338" s="631"/>
      <c r="B338" s="634" t="s">
        <v>675</v>
      </c>
      <c r="C338" s="634"/>
      <c r="D338" s="634"/>
      <c r="E338" s="634"/>
      <c r="F338" s="634">
        <v>-1</v>
      </c>
      <c r="G338" s="634"/>
      <c r="H338" s="634"/>
      <c r="I338" s="634"/>
      <c r="J338" s="634">
        <f t="shared" si="173"/>
        <v>-1</v>
      </c>
      <c r="K338" s="634">
        <f t="shared" si="174"/>
        <v>0</v>
      </c>
      <c r="L338" s="634">
        <f t="shared" si="175"/>
        <v>-1</v>
      </c>
      <c r="M338" s="634"/>
      <c r="N338" s="634">
        <v>1</v>
      </c>
      <c r="O338" s="634">
        <f t="shared" si="176"/>
        <v>0</v>
      </c>
    </row>
    <row r="339" spans="1:15" ht="17.25" thickTop="1" thickBot="1" x14ac:dyDescent="0.3">
      <c r="A339" s="626"/>
      <c r="B339" s="635" t="s">
        <v>400</v>
      </c>
      <c r="C339" s="635">
        <f>+C333+C336+C337+C338</f>
        <v>3977</v>
      </c>
      <c r="D339" s="635">
        <f t="shared" ref="D339:O339" si="177">+D333+D336+D337+D338</f>
        <v>0</v>
      </c>
      <c r="E339" s="635">
        <f t="shared" si="177"/>
        <v>0</v>
      </c>
      <c r="F339" s="635">
        <f t="shared" si="177"/>
        <v>349</v>
      </c>
      <c r="G339" s="635">
        <f t="shared" si="177"/>
        <v>0</v>
      </c>
      <c r="H339" s="635">
        <f t="shared" si="177"/>
        <v>0</v>
      </c>
      <c r="I339" s="635">
        <f t="shared" si="177"/>
        <v>0</v>
      </c>
      <c r="J339" s="635">
        <f t="shared" si="177"/>
        <v>4326</v>
      </c>
      <c r="K339" s="635">
        <f t="shared" si="177"/>
        <v>0</v>
      </c>
      <c r="L339" s="635">
        <f t="shared" si="177"/>
        <v>4326</v>
      </c>
      <c r="M339" s="635">
        <f t="shared" si="177"/>
        <v>89665</v>
      </c>
      <c r="N339" s="635">
        <f t="shared" si="177"/>
        <v>1402</v>
      </c>
      <c r="O339" s="635">
        <f t="shared" si="177"/>
        <v>95393</v>
      </c>
    </row>
    <row r="340" spans="1:15" ht="17.25" thickTop="1" thickBot="1" x14ac:dyDescent="0.3">
      <c r="A340" s="626"/>
      <c r="B340" s="635" t="s">
        <v>407</v>
      </c>
      <c r="C340" s="635">
        <f>+C334+C336+C337+C338</f>
        <v>3977</v>
      </c>
      <c r="D340" s="635">
        <f t="shared" ref="D340:O340" si="178">+D334+D336+D337+D338</f>
        <v>0</v>
      </c>
      <c r="E340" s="635">
        <f t="shared" si="178"/>
        <v>0</v>
      </c>
      <c r="F340" s="635">
        <f t="shared" si="178"/>
        <v>349</v>
      </c>
      <c r="G340" s="635">
        <f t="shared" si="178"/>
        <v>0</v>
      </c>
      <c r="H340" s="635">
        <f t="shared" si="178"/>
        <v>0</v>
      </c>
      <c r="I340" s="635">
        <f t="shared" si="178"/>
        <v>0</v>
      </c>
      <c r="J340" s="635">
        <f t="shared" si="178"/>
        <v>4326</v>
      </c>
      <c r="K340" s="635">
        <f t="shared" si="178"/>
        <v>0</v>
      </c>
      <c r="L340" s="635">
        <f t="shared" si="178"/>
        <v>4326</v>
      </c>
      <c r="M340" s="635">
        <f t="shared" si="178"/>
        <v>89665</v>
      </c>
      <c r="N340" s="635">
        <f t="shared" si="178"/>
        <v>1402</v>
      </c>
      <c r="O340" s="635">
        <f t="shared" si="178"/>
        <v>95393</v>
      </c>
    </row>
    <row r="341" spans="1:15" ht="16.5" thickTop="1" x14ac:dyDescent="0.25">
      <c r="A341" s="630" t="s">
        <v>16</v>
      </c>
      <c r="B341" s="675" t="s">
        <v>412</v>
      </c>
      <c r="C341" s="675"/>
      <c r="D341" s="675"/>
      <c r="E341" s="675"/>
      <c r="F341" s="675"/>
      <c r="G341" s="675"/>
      <c r="H341" s="675"/>
      <c r="I341" s="675"/>
      <c r="J341" s="675"/>
      <c r="K341" s="675"/>
      <c r="L341" s="675"/>
      <c r="M341" s="675"/>
      <c r="N341" s="675"/>
      <c r="O341" s="675"/>
    </row>
    <row r="342" spans="1:15" x14ac:dyDescent="0.25">
      <c r="A342" s="630"/>
      <c r="B342" s="673" t="s">
        <v>363</v>
      </c>
      <c r="C342" s="673">
        <v>24093</v>
      </c>
      <c r="D342" s="673"/>
      <c r="E342" s="673"/>
      <c r="F342" s="673">
        <v>17975</v>
      </c>
      <c r="G342" s="673"/>
      <c r="H342" s="673">
        <v>195</v>
      </c>
      <c r="I342" s="673"/>
      <c r="J342" s="673">
        <f>SUM(C342+E342+F342+H342)</f>
        <v>42263</v>
      </c>
      <c r="K342" s="673">
        <f>SUM(D342+G342+I342)</f>
        <v>0</v>
      </c>
      <c r="L342" s="673">
        <f>SUM(J342:K342)</f>
        <v>42263</v>
      </c>
      <c r="M342" s="673">
        <v>458426</v>
      </c>
      <c r="N342" s="673">
        <v>29045</v>
      </c>
      <c r="O342" s="673">
        <f>SUM(L342:N342)</f>
        <v>529734</v>
      </c>
    </row>
    <row r="343" spans="1:15" s="674" customFormat="1" x14ac:dyDescent="0.25">
      <c r="A343" s="631"/>
      <c r="B343" s="632" t="s">
        <v>402</v>
      </c>
      <c r="C343" s="632">
        <v>21615</v>
      </c>
      <c r="D343" s="632"/>
      <c r="E343" s="632"/>
      <c r="F343" s="632">
        <v>10990</v>
      </c>
      <c r="G343" s="632"/>
      <c r="H343" s="632">
        <v>0</v>
      </c>
      <c r="I343" s="632"/>
      <c r="J343" s="633">
        <f>SUM(C343+E343+F343+H343)</f>
        <v>32605</v>
      </c>
      <c r="K343" s="633">
        <f>SUM(D343+G343+I343)</f>
        <v>0</v>
      </c>
      <c r="L343" s="633">
        <f>SUM(J343:K343)</f>
        <v>32605</v>
      </c>
      <c r="M343" s="633">
        <v>447345</v>
      </c>
      <c r="N343" s="633">
        <v>29045</v>
      </c>
      <c r="O343" s="633">
        <f>SUM(L343:N343)</f>
        <v>508995</v>
      </c>
    </row>
    <row r="344" spans="1:15" s="674" customFormat="1" x14ac:dyDescent="0.25">
      <c r="A344" s="631"/>
      <c r="B344" s="632" t="s">
        <v>401</v>
      </c>
      <c r="C344" s="632">
        <v>2478</v>
      </c>
      <c r="D344" s="632"/>
      <c r="E344" s="632"/>
      <c r="F344" s="632">
        <v>6985</v>
      </c>
      <c r="G344" s="632"/>
      <c r="H344" s="632">
        <v>195</v>
      </c>
      <c r="I344" s="632"/>
      <c r="J344" s="632">
        <f>SUM(C344+E344+F344+H344)</f>
        <v>9658</v>
      </c>
      <c r="K344" s="632">
        <f>SUM(D344+G344+I344)</f>
        <v>0</v>
      </c>
      <c r="L344" s="632">
        <f>SUM(J344:K344)</f>
        <v>9658</v>
      </c>
      <c r="M344" s="632">
        <v>11081</v>
      </c>
      <c r="N344" s="632">
        <v>0</v>
      </c>
      <c r="O344" s="632">
        <f>SUM(L344:N344)</f>
        <v>20739</v>
      </c>
    </row>
    <row r="345" spans="1:15" s="674" customFormat="1" x14ac:dyDescent="0.25">
      <c r="A345" s="631"/>
      <c r="B345" s="632" t="s">
        <v>132</v>
      </c>
      <c r="C345" s="632"/>
      <c r="D345" s="632"/>
      <c r="E345" s="632"/>
      <c r="F345" s="632"/>
      <c r="G345" s="632"/>
      <c r="H345" s="632"/>
      <c r="I345" s="632"/>
      <c r="J345" s="632"/>
      <c r="K345" s="632"/>
      <c r="L345" s="632"/>
      <c r="M345" s="632"/>
      <c r="N345" s="632"/>
      <c r="O345" s="632"/>
    </row>
    <row r="346" spans="1:15" s="674" customFormat="1" x14ac:dyDescent="0.25">
      <c r="A346" s="631"/>
      <c r="B346" s="634" t="s">
        <v>1197</v>
      </c>
      <c r="C346" s="634"/>
      <c r="D346" s="632"/>
      <c r="E346" s="632"/>
      <c r="F346" s="632"/>
      <c r="G346" s="632"/>
      <c r="H346" s="632"/>
      <c r="I346" s="632"/>
      <c r="J346" s="634">
        <f t="shared" ref="J346:J354" si="179">SUM(C346+E346+F346+H346)</f>
        <v>0</v>
      </c>
      <c r="K346" s="634">
        <f t="shared" ref="K346:K354" si="180">SUM(D346+G346+I346)</f>
        <v>0</v>
      </c>
      <c r="L346" s="634">
        <f t="shared" ref="L346:L354" si="181">SUM(J346:K346)</f>
        <v>0</v>
      </c>
      <c r="M346" s="634">
        <v>80</v>
      </c>
      <c r="N346" s="634"/>
      <c r="O346" s="634">
        <f t="shared" ref="O346:O354" si="182">SUM(L346:N346)</f>
        <v>80</v>
      </c>
    </row>
    <row r="347" spans="1:15" s="674" customFormat="1" x14ac:dyDescent="0.25">
      <c r="A347" s="631"/>
      <c r="B347" s="634" t="s">
        <v>1210</v>
      </c>
      <c r="C347" s="634"/>
      <c r="D347" s="634"/>
      <c r="E347" s="632"/>
      <c r="F347" s="632"/>
      <c r="G347" s="632"/>
      <c r="H347" s="632"/>
      <c r="I347" s="632"/>
      <c r="J347" s="634">
        <f t="shared" si="179"/>
        <v>0</v>
      </c>
      <c r="K347" s="634">
        <f t="shared" si="180"/>
        <v>0</v>
      </c>
      <c r="L347" s="634">
        <f t="shared" si="181"/>
        <v>0</v>
      </c>
      <c r="M347" s="634">
        <v>2076</v>
      </c>
      <c r="N347" s="634"/>
      <c r="O347" s="634">
        <f t="shared" si="182"/>
        <v>2076</v>
      </c>
    </row>
    <row r="348" spans="1:15" s="674" customFormat="1" ht="47.25" x14ac:dyDescent="0.25">
      <c r="A348" s="631"/>
      <c r="B348" s="634" t="s">
        <v>1198</v>
      </c>
      <c r="C348" s="632"/>
      <c r="D348" s="632"/>
      <c r="E348" s="632"/>
      <c r="F348" s="632"/>
      <c r="G348" s="632"/>
      <c r="H348" s="632"/>
      <c r="I348" s="632"/>
      <c r="J348" s="634">
        <f t="shared" si="179"/>
        <v>0</v>
      </c>
      <c r="K348" s="634">
        <f t="shared" si="180"/>
        <v>0</v>
      </c>
      <c r="L348" s="634">
        <f t="shared" si="181"/>
        <v>0</v>
      </c>
      <c r="M348" s="634">
        <v>1897</v>
      </c>
      <c r="N348" s="634"/>
      <c r="O348" s="634">
        <f t="shared" si="182"/>
        <v>1897</v>
      </c>
    </row>
    <row r="349" spans="1:15" s="674" customFormat="1" ht="31.5" x14ac:dyDescent="0.25">
      <c r="A349" s="631"/>
      <c r="B349" s="634" t="s">
        <v>935</v>
      </c>
      <c r="C349" s="634">
        <v>1390</v>
      </c>
      <c r="D349" s="632"/>
      <c r="E349" s="632"/>
      <c r="F349" s="632"/>
      <c r="G349" s="634">
        <v>32</v>
      </c>
      <c r="H349" s="632"/>
      <c r="I349" s="632"/>
      <c r="J349" s="634">
        <f t="shared" si="179"/>
        <v>1390</v>
      </c>
      <c r="K349" s="634">
        <f t="shared" si="180"/>
        <v>32</v>
      </c>
      <c r="L349" s="634">
        <f t="shared" si="181"/>
        <v>1422</v>
      </c>
      <c r="M349" s="634"/>
      <c r="N349" s="634"/>
      <c r="O349" s="634">
        <f t="shared" si="182"/>
        <v>1422</v>
      </c>
    </row>
    <row r="350" spans="1:15" s="674" customFormat="1" ht="32.25" thickBot="1" x14ac:dyDescent="0.3">
      <c r="A350" s="661"/>
      <c r="B350" s="634" t="s">
        <v>675</v>
      </c>
      <c r="C350" s="634"/>
      <c r="D350" s="632"/>
      <c r="E350" s="632"/>
      <c r="F350" s="632">
        <v>-1</v>
      </c>
      <c r="G350" s="634"/>
      <c r="H350" s="632"/>
      <c r="I350" s="632"/>
      <c r="J350" s="634">
        <f t="shared" si="179"/>
        <v>-1</v>
      </c>
      <c r="K350" s="634">
        <f t="shared" si="180"/>
        <v>0</v>
      </c>
      <c r="L350" s="634">
        <f t="shared" si="181"/>
        <v>-1</v>
      </c>
      <c r="M350" s="634"/>
      <c r="N350" s="634">
        <v>1</v>
      </c>
      <c r="O350" s="634">
        <f t="shared" si="182"/>
        <v>0</v>
      </c>
    </row>
    <row r="351" spans="1:15" s="674" customFormat="1" ht="16.5" thickBot="1" x14ac:dyDescent="0.3">
      <c r="A351" s="990"/>
      <c r="B351" s="985" t="s">
        <v>133</v>
      </c>
      <c r="C351" s="985"/>
      <c r="D351" s="985"/>
      <c r="E351" s="985"/>
      <c r="F351" s="985"/>
      <c r="G351" s="985"/>
      <c r="H351" s="985"/>
      <c r="I351" s="985"/>
      <c r="J351" s="985"/>
      <c r="K351" s="985"/>
      <c r="L351" s="985"/>
      <c r="M351" s="985"/>
      <c r="N351" s="985"/>
      <c r="O351" s="991"/>
    </row>
    <row r="352" spans="1:15" s="674" customFormat="1" ht="95.25" thickBot="1" x14ac:dyDescent="0.3">
      <c r="A352" s="990"/>
      <c r="B352" s="987" t="s">
        <v>1211</v>
      </c>
      <c r="C352" s="985"/>
      <c r="D352" s="985"/>
      <c r="E352" s="985"/>
      <c r="F352" s="985"/>
      <c r="G352" s="985"/>
      <c r="H352" s="985"/>
      <c r="I352" s="985"/>
      <c r="J352" s="987">
        <f t="shared" si="179"/>
        <v>0</v>
      </c>
      <c r="K352" s="987">
        <f t="shared" si="180"/>
        <v>0</v>
      </c>
      <c r="L352" s="987">
        <f t="shared" si="181"/>
        <v>0</v>
      </c>
      <c r="M352" s="987">
        <v>75</v>
      </c>
      <c r="N352" s="987"/>
      <c r="O352" s="992">
        <f t="shared" si="182"/>
        <v>75</v>
      </c>
    </row>
    <row r="353" spans="1:16" s="674" customFormat="1" x14ac:dyDescent="0.25">
      <c r="A353" s="631"/>
      <c r="B353" s="662" t="s">
        <v>1199</v>
      </c>
      <c r="C353" s="663"/>
      <c r="D353" s="663"/>
      <c r="E353" s="663"/>
      <c r="F353" s="663"/>
      <c r="G353" s="663"/>
      <c r="H353" s="663"/>
      <c r="I353" s="663"/>
      <c r="J353" s="662">
        <f t="shared" si="179"/>
        <v>0</v>
      </c>
      <c r="K353" s="662">
        <f t="shared" si="180"/>
        <v>0</v>
      </c>
      <c r="L353" s="662">
        <f t="shared" si="181"/>
        <v>0</v>
      </c>
      <c r="M353" s="662">
        <v>2092</v>
      </c>
      <c r="N353" s="662"/>
      <c r="O353" s="662">
        <f t="shared" si="182"/>
        <v>2092</v>
      </c>
    </row>
    <row r="354" spans="1:16" s="674" customFormat="1" ht="32.25" thickBot="1" x14ac:dyDescent="0.3">
      <c r="A354" s="636"/>
      <c r="B354" s="634" t="s">
        <v>935</v>
      </c>
      <c r="C354" s="639">
        <v>8800</v>
      </c>
      <c r="D354" s="639">
        <v>9975</v>
      </c>
      <c r="E354" s="637"/>
      <c r="F354" s="637">
        <v>4357</v>
      </c>
      <c r="G354" s="637"/>
      <c r="H354" s="637"/>
      <c r="I354" s="637"/>
      <c r="J354" s="639">
        <f t="shared" si="179"/>
        <v>13157</v>
      </c>
      <c r="K354" s="639">
        <f t="shared" si="180"/>
        <v>9975</v>
      </c>
      <c r="L354" s="639">
        <f t="shared" si="181"/>
        <v>23132</v>
      </c>
      <c r="M354" s="639"/>
      <c r="N354" s="639"/>
      <c r="O354" s="639">
        <f t="shared" si="182"/>
        <v>23132</v>
      </c>
    </row>
    <row r="355" spans="1:16" ht="17.25" thickTop="1" thickBot="1" x14ac:dyDescent="0.3">
      <c r="A355" s="626"/>
      <c r="B355" s="635" t="s">
        <v>400</v>
      </c>
      <c r="C355" s="635">
        <f>+C342+C346+C352+C347+C348+C353+C354+C349+C350</f>
        <v>34283</v>
      </c>
      <c r="D355" s="635">
        <f t="shared" ref="D355:O355" si="183">+D342+D346+D352+D347+D348+D353+D354+D349+D350</f>
        <v>9975</v>
      </c>
      <c r="E355" s="635">
        <f t="shared" si="183"/>
        <v>0</v>
      </c>
      <c r="F355" s="635">
        <f t="shared" si="183"/>
        <v>22331</v>
      </c>
      <c r="G355" s="635">
        <f t="shared" si="183"/>
        <v>32</v>
      </c>
      <c r="H355" s="635">
        <f t="shared" si="183"/>
        <v>195</v>
      </c>
      <c r="I355" s="635">
        <f t="shared" si="183"/>
        <v>0</v>
      </c>
      <c r="J355" s="635">
        <f t="shared" si="183"/>
        <v>56809</v>
      </c>
      <c r="K355" s="635">
        <f t="shared" si="183"/>
        <v>10007</v>
      </c>
      <c r="L355" s="635">
        <f t="shared" si="183"/>
        <v>66816</v>
      </c>
      <c r="M355" s="635">
        <f t="shared" si="183"/>
        <v>464646</v>
      </c>
      <c r="N355" s="635">
        <f t="shared" si="183"/>
        <v>29046</v>
      </c>
      <c r="O355" s="635">
        <f t="shared" si="183"/>
        <v>560508</v>
      </c>
      <c r="P355" s="671">
        <f>O356+O357</f>
        <v>560508</v>
      </c>
    </row>
    <row r="356" spans="1:16" ht="17.25" thickTop="1" thickBot="1" x14ac:dyDescent="0.3">
      <c r="A356" s="626"/>
      <c r="B356" s="635" t="s">
        <v>399</v>
      </c>
      <c r="C356" s="635">
        <f>+C343+C346+C347+C348+C349+C350</f>
        <v>23005</v>
      </c>
      <c r="D356" s="635">
        <f t="shared" ref="D356:O356" si="184">+D343+D346+D347+D348+D349+D350</f>
        <v>0</v>
      </c>
      <c r="E356" s="635">
        <f t="shared" si="184"/>
        <v>0</v>
      </c>
      <c r="F356" s="635">
        <f t="shared" si="184"/>
        <v>10989</v>
      </c>
      <c r="G356" s="635">
        <f t="shared" si="184"/>
        <v>32</v>
      </c>
      <c r="H356" s="635">
        <f t="shared" si="184"/>
        <v>0</v>
      </c>
      <c r="I356" s="635">
        <f t="shared" si="184"/>
        <v>0</v>
      </c>
      <c r="J356" s="635">
        <f t="shared" si="184"/>
        <v>33994</v>
      </c>
      <c r="K356" s="635">
        <f t="shared" si="184"/>
        <v>32</v>
      </c>
      <c r="L356" s="635">
        <f t="shared" si="184"/>
        <v>34026</v>
      </c>
      <c r="M356" s="635">
        <f t="shared" si="184"/>
        <v>451398</v>
      </c>
      <c r="N356" s="635">
        <f t="shared" si="184"/>
        <v>29046</v>
      </c>
      <c r="O356" s="635">
        <f t="shared" si="184"/>
        <v>514470</v>
      </c>
    </row>
    <row r="357" spans="1:16" ht="17.25" thickTop="1" thickBot="1" x14ac:dyDescent="0.3">
      <c r="A357" s="626"/>
      <c r="B357" s="635" t="s">
        <v>398</v>
      </c>
      <c r="C357" s="635">
        <f>+C344+C352+C353+C354</f>
        <v>11278</v>
      </c>
      <c r="D357" s="635">
        <f t="shared" ref="D357:O357" si="185">+D344+D352+D353+D354</f>
        <v>9975</v>
      </c>
      <c r="E357" s="635">
        <f t="shared" si="185"/>
        <v>0</v>
      </c>
      <c r="F357" s="635">
        <f t="shared" si="185"/>
        <v>11342</v>
      </c>
      <c r="G357" s="635">
        <f t="shared" si="185"/>
        <v>0</v>
      </c>
      <c r="H357" s="635">
        <f t="shared" si="185"/>
        <v>195</v>
      </c>
      <c r="I357" s="635">
        <f t="shared" si="185"/>
        <v>0</v>
      </c>
      <c r="J357" s="635">
        <f t="shared" si="185"/>
        <v>22815</v>
      </c>
      <c r="K357" s="635">
        <f t="shared" si="185"/>
        <v>9975</v>
      </c>
      <c r="L357" s="635">
        <f t="shared" si="185"/>
        <v>32790</v>
      </c>
      <c r="M357" s="635">
        <f t="shared" si="185"/>
        <v>13248</v>
      </c>
      <c r="N357" s="635">
        <f t="shared" si="185"/>
        <v>0</v>
      </c>
      <c r="O357" s="635">
        <f t="shared" si="185"/>
        <v>46038</v>
      </c>
    </row>
    <row r="358" spans="1:16" ht="16.5" thickTop="1" x14ac:dyDescent="0.25">
      <c r="A358" s="630" t="s">
        <v>17</v>
      </c>
      <c r="B358" s="675" t="s">
        <v>411</v>
      </c>
      <c r="C358" s="675"/>
      <c r="D358" s="675"/>
      <c r="E358" s="675"/>
      <c r="F358" s="675"/>
      <c r="G358" s="675"/>
      <c r="H358" s="675"/>
      <c r="I358" s="675"/>
      <c r="J358" s="675"/>
      <c r="K358" s="675"/>
      <c r="L358" s="675"/>
      <c r="M358" s="675"/>
      <c r="N358" s="675"/>
      <c r="O358" s="675"/>
    </row>
    <row r="359" spans="1:16" x14ac:dyDescent="0.25">
      <c r="A359" s="630"/>
      <c r="B359" s="673" t="s">
        <v>363</v>
      </c>
      <c r="C359" s="673">
        <v>39016</v>
      </c>
      <c r="D359" s="673"/>
      <c r="E359" s="673"/>
      <c r="F359" s="673">
        <v>94341</v>
      </c>
      <c r="G359" s="673"/>
      <c r="H359" s="673">
        <v>602</v>
      </c>
      <c r="I359" s="673"/>
      <c r="J359" s="673">
        <f>SUM(C359+E359+F359+H359)</f>
        <v>133959</v>
      </c>
      <c r="K359" s="673">
        <f>SUM(D359+G359+I359)</f>
        <v>0</v>
      </c>
      <c r="L359" s="673">
        <f>SUM(J359:K359)</f>
        <v>133959</v>
      </c>
      <c r="M359" s="673">
        <v>781058</v>
      </c>
      <c r="N359" s="673">
        <v>120782</v>
      </c>
      <c r="O359" s="673">
        <f>SUM(L359:N359)</f>
        <v>1035799</v>
      </c>
    </row>
    <row r="360" spans="1:16" s="674" customFormat="1" x14ac:dyDescent="0.25">
      <c r="A360" s="631"/>
      <c r="B360" s="632" t="s">
        <v>402</v>
      </c>
      <c r="C360" s="632">
        <v>33306</v>
      </c>
      <c r="D360" s="632"/>
      <c r="E360" s="632"/>
      <c r="F360" s="632">
        <v>94341</v>
      </c>
      <c r="G360" s="632"/>
      <c r="H360" s="632">
        <v>0</v>
      </c>
      <c r="I360" s="632"/>
      <c r="J360" s="633">
        <f>SUM(C360+E360+F360+H360)</f>
        <v>127647</v>
      </c>
      <c r="K360" s="633">
        <f>SUM(D360+G360+I360)</f>
        <v>0</v>
      </c>
      <c r="L360" s="633">
        <f>SUM(J360:K360)</f>
        <v>127647</v>
      </c>
      <c r="M360" s="633">
        <v>765135</v>
      </c>
      <c r="N360" s="633">
        <v>120782</v>
      </c>
      <c r="O360" s="633">
        <f>SUM(L360:N360)</f>
        <v>1013564</v>
      </c>
    </row>
    <row r="361" spans="1:16" s="674" customFormat="1" x14ac:dyDescent="0.25">
      <c r="A361" s="631"/>
      <c r="B361" s="632" t="s">
        <v>401</v>
      </c>
      <c r="C361" s="632">
        <v>5710</v>
      </c>
      <c r="D361" s="632"/>
      <c r="E361" s="632"/>
      <c r="F361" s="632">
        <v>0</v>
      </c>
      <c r="G361" s="632"/>
      <c r="H361" s="632">
        <v>602</v>
      </c>
      <c r="I361" s="632"/>
      <c r="J361" s="632">
        <f>SUM(C361+E361+F361+H361)</f>
        <v>6312</v>
      </c>
      <c r="K361" s="632">
        <f>SUM(D361+G361+I361)</f>
        <v>0</v>
      </c>
      <c r="L361" s="632">
        <f>SUM(J361:K361)</f>
        <v>6312</v>
      </c>
      <c r="M361" s="632">
        <v>15923</v>
      </c>
      <c r="N361" s="632">
        <v>0</v>
      </c>
      <c r="O361" s="632">
        <f>SUM(L361:N361)</f>
        <v>22235</v>
      </c>
    </row>
    <row r="362" spans="1:16" x14ac:dyDescent="0.25">
      <c r="A362" s="630"/>
      <c r="B362" s="632" t="s">
        <v>132</v>
      </c>
      <c r="C362" s="632"/>
      <c r="D362" s="632"/>
      <c r="E362" s="632"/>
      <c r="F362" s="632"/>
      <c r="G362" s="632"/>
      <c r="H362" s="632"/>
      <c r="I362" s="632"/>
      <c r="J362" s="673"/>
      <c r="K362" s="673"/>
      <c r="L362" s="673"/>
      <c r="M362" s="673"/>
      <c r="N362" s="673"/>
      <c r="O362" s="673"/>
    </row>
    <row r="363" spans="1:16" x14ac:dyDescent="0.25">
      <c r="A363" s="630"/>
      <c r="B363" s="634" t="s">
        <v>1197</v>
      </c>
      <c r="C363" s="673"/>
      <c r="D363" s="673"/>
      <c r="E363" s="673"/>
      <c r="F363" s="673"/>
      <c r="G363" s="673"/>
      <c r="H363" s="673"/>
      <c r="I363" s="673"/>
      <c r="J363" s="673">
        <f t="shared" ref="J363:J364" si="186">SUM(C363+E363+F363+H363)</f>
        <v>0</v>
      </c>
      <c r="K363" s="673">
        <f t="shared" ref="K363:K364" si="187">SUM(D363+G363+I363)</f>
        <v>0</v>
      </c>
      <c r="L363" s="673">
        <f t="shared" ref="L363:L364" si="188">SUM(J363:K363)</f>
        <v>0</v>
      </c>
      <c r="M363" s="673">
        <v>30</v>
      </c>
      <c r="N363" s="673"/>
      <c r="O363" s="673">
        <f t="shared" ref="O363:O364" si="189">SUM(L363:N363)</f>
        <v>30</v>
      </c>
    </row>
    <row r="364" spans="1:16" x14ac:dyDescent="0.25">
      <c r="A364" s="630"/>
      <c r="B364" s="634" t="s">
        <v>1210</v>
      </c>
      <c r="C364" s="673"/>
      <c r="D364" s="673"/>
      <c r="E364" s="673"/>
      <c r="F364" s="673"/>
      <c r="G364" s="673"/>
      <c r="H364" s="673"/>
      <c r="I364" s="673"/>
      <c r="J364" s="673">
        <f t="shared" si="186"/>
        <v>0</v>
      </c>
      <c r="K364" s="673">
        <f t="shared" si="187"/>
        <v>0</v>
      </c>
      <c r="L364" s="673">
        <f t="shared" si="188"/>
        <v>0</v>
      </c>
      <c r="M364" s="673">
        <v>2121</v>
      </c>
      <c r="N364" s="673"/>
      <c r="O364" s="673">
        <f t="shared" si="189"/>
        <v>2121</v>
      </c>
    </row>
    <row r="365" spans="1:16" x14ac:dyDescent="0.25">
      <c r="A365" s="630"/>
      <c r="B365" s="632" t="s">
        <v>133</v>
      </c>
      <c r="C365" s="632"/>
      <c r="D365" s="632"/>
      <c r="E365" s="632"/>
      <c r="F365" s="632"/>
      <c r="G365" s="632"/>
      <c r="H365" s="632"/>
      <c r="I365" s="632"/>
      <c r="J365" s="673"/>
      <c r="K365" s="673"/>
      <c r="L365" s="673"/>
      <c r="M365" s="673"/>
      <c r="N365" s="673"/>
      <c r="O365" s="673"/>
    </row>
    <row r="366" spans="1:16" ht="78.75" x14ac:dyDescent="0.25">
      <c r="A366" s="630"/>
      <c r="B366" s="634" t="s">
        <v>1212</v>
      </c>
      <c r="C366" s="673"/>
      <c r="D366" s="673"/>
      <c r="E366" s="673"/>
      <c r="F366" s="673"/>
      <c r="G366" s="673"/>
      <c r="H366" s="673"/>
      <c r="I366" s="673"/>
      <c r="J366" s="673">
        <f>SUM(C366+E366+F366+H366)</f>
        <v>0</v>
      </c>
      <c r="K366" s="673">
        <f>SUM(D366+G366+I366)</f>
        <v>0</v>
      </c>
      <c r="L366" s="673">
        <f>SUM(J366:K366)</f>
        <v>0</v>
      </c>
      <c r="M366" s="673">
        <v>150</v>
      </c>
      <c r="N366" s="673"/>
      <c r="O366" s="673">
        <f>SUM(L366:N366)</f>
        <v>150</v>
      </c>
    </row>
    <row r="367" spans="1:16" x14ac:dyDescent="0.25">
      <c r="A367" s="630"/>
      <c r="B367" s="634" t="s">
        <v>1199</v>
      </c>
      <c r="C367" s="673"/>
      <c r="D367" s="673"/>
      <c r="E367" s="673"/>
      <c r="F367" s="673"/>
      <c r="G367" s="673"/>
      <c r="H367" s="673"/>
      <c r="I367" s="673"/>
      <c r="J367" s="673">
        <f t="shared" ref="J367:J368" si="190">SUM(C367+E367+F367+H367)</f>
        <v>0</v>
      </c>
      <c r="K367" s="673">
        <f t="shared" ref="K367:K368" si="191">SUM(D367+G367+I367)</f>
        <v>0</v>
      </c>
      <c r="L367" s="673">
        <f t="shared" ref="L367:L368" si="192">SUM(J367:K367)</f>
        <v>0</v>
      </c>
      <c r="M367" s="673">
        <v>2765</v>
      </c>
      <c r="N367" s="673"/>
      <c r="O367" s="673">
        <f t="shared" ref="O367:O368" si="193">SUM(L367:N367)</f>
        <v>2765</v>
      </c>
    </row>
    <row r="368" spans="1:16" ht="32.25" thickBot="1" x14ac:dyDescent="0.3">
      <c r="A368" s="630"/>
      <c r="B368" s="634" t="s">
        <v>935</v>
      </c>
      <c r="C368" s="673"/>
      <c r="D368" s="673"/>
      <c r="E368" s="673"/>
      <c r="F368" s="673">
        <v>55978</v>
      </c>
      <c r="G368" s="673">
        <v>403</v>
      </c>
      <c r="H368" s="673"/>
      <c r="I368" s="673"/>
      <c r="J368" s="673">
        <f t="shared" si="190"/>
        <v>55978</v>
      </c>
      <c r="K368" s="673">
        <f t="shared" si="191"/>
        <v>403</v>
      </c>
      <c r="L368" s="673">
        <f t="shared" si="192"/>
        <v>56381</v>
      </c>
      <c r="M368" s="673"/>
      <c r="N368" s="673"/>
      <c r="O368" s="673">
        <f t="shared" si="193"/>
        <v>56381</v>
      </c>
    </row>
    <row r="369" spans="1:16" ht="17.25" thickTop="1" thickBot="1" x14ac:dyDescent="0.3">
      <c r="A369" s="626"/>
      <c r="B369" s="635" t="s">
        <v>400</v>
      </c>
      <c r="C369" s="635">
        <f>+C359+C363+C364+C366+C367+C368</f>
        <v>39016</v>
      </c>
      <c r="D369" s="635">
        <f t="shared" ref="D369:O369" si="194">+D359+D363+D364+D366+D367+D368</f>
        <v>0</v>
      </c>
      <c r="E369" s="635">
        <f t="shared" si="194"/>
        <v>0</v>
      </c>
      <c r="F369" s="635">
        <f t="shared" si="194"/>
        <v>150319</v>
      </c>
      <c r="G369" s="635">
        <f t="shared" si="194"/>
        <v>403</v>
      </c>
      <c r="H369" s="635">
        <f t="shared" si="194"/>
        <v>602</v>
      </c>
      <c r="I369" s="635">
        <f t="shared" si="194"/>
        <v>0</v>
      </c>
      <c r="J369" s="635">
        <f t="shared" si="194"/>
        <v>189937</v>
      </c>
      <c r="K369" s="635">
        <f t="shared" si="194"/>
        <v>403</v>
      </c>
      <c r="L369" s="635">
        <f t="shared" si="194"/>
        <v>190340</v>
      </c>
      <c r="M369" s="635">
        <f t="shared" si="194"/>
        <v>786124</v>
      </c>
      <c r="N369" s="635">
        <f t="shared" si="194"/>
        <v>120782</v>
      </c>
      <c r="O369" s="635">
        <f t="shared" si="194"/>
        <v>1097246</v>
      </c>
      <c r="P369" s="671">
        <f>O370+O371</f>
        <v>1097246</v>
      </c>
    </row>
    <row r="370" spans="1:16" ht="17.25" thickTop="1" thickBot="1" x14ac:dyDescent="0.3">
      <c r="A370" s="626"/>
      <c r="B370" s="635" t="s">
        <v>399</v>
      </c>
      <c r="C370" s="635">
        <f>+C360+C363+C364</f>
        <v>33306</v>
      </c>
      <c r="D370" s="635">
        <f t="shared" ref="D370:O370" si="195">+D360+D363+D364</f>
        <v>0</v>
      </c>
      <c r="E370" s="635">
        <f t="shared" si="195"/>
        <v>0</v>
      </c>
      <c r="F370" s="635">
        <f t="shared" si="195"/>
        <v>94341</v>
      </c>
      <c r="G370" s="635">
        <f t="shared" si="195"/>
        <v>0</v>
      </c>
      <c r="H370" s="635">
        <f t="shared" si="195"/>
        <v>0</v>
      </c>
      <c r="I370" s="635">
        <f t="shared" si="195"/>
        <v>0</v>
      </c>
      <c r="J370" s="635">
        <f t="shared" si="195"/>
        <v>127647</v>
      </c>
      <c r="K370" s="635">
        <f t="shared" si="195"/>
        <v>0</v>
      </c>
      <c r="L370" s="635">
        <f t="shared" si="195"/>
        <v>127647</v>
      </c>
      <c r="M370" s="635">
        <f t="shared" si="195"/>
        <v>767286</v>
      </c>
      <c r="N370" s="635">
        <f t="shared" si="195"/>
        <v>120782</v>
      </c>
      <c r="O370" s="635">
        <f t="shared" si="195"/>
        <v>1015715</v>
      </c>
    </row>
    <row r="371" spans="1:16" ht="17.25" thickTop="1" thickBot="1" x14ac:dyDescent="0.3">
      <c r="A371" s="630"/>
      <c r="B371" s="635" t="s">
        <v>398</v>
      </c>
      <c r="C371" s="635">
        <f>+C361+C366+C367+C368</f>
        <v>5710</v>
      </c>
      <c r="D371" s="635">
        <f t="shared" ref="D371:O371" si="196">+D361+D366+D367+D368</f>
        <v>0</v>
      </c>
      <c r="E371" s="635">
        <f t="shared" si="196"/>
        <v>0</v>
      </c>
      <c r="F371" s="635">
        <f t="shared" si="196"/>
        <v>55978</v>
      </c>
      <c r="G371" s="635">
        <f t="shared" si="196"/>
        <v>403</v>
      </c>
      <c r="H371" s="635">
        <f t="shared" si="196"/>
        <v>602</v>
      </c>
      <c r="I371" s="635">
        <f t="shared" si="196"/>
        <v>0</v>
      </c>
      <c r="J371" s="635">
        <f t="shared" si="196"/>
        <v>62290</v>
      </c>
      <c r="K371" s="635">
        <f t="shared" si="196"/>
        <v>403</v>
      </c>
      <c r="L371" s="635">
        <f t="shared" si="196"/>
        <v>62693</v>
      </c>
      <c r="M371" s="635">
        <f t="shared" si="196"/>
        <v>18838</v>
      </c>
      <c r="N371" s="635">
        <f t="shared" si="196"/>
        <v>0</v>
      </c>
      <c r="O371" s="635">
        <f t="shared" si="196"/>
        <v>81531</v>
      </c>
    </row>
    <row r="372" spans="1:16" ht="16.5" thickTop="1" x14ac:dyDescent="0.25">
      <c r="A372" s="647" t="s">
        <v>18</v>
      </c>
      <c r="B372" s="675" t="s">
        <v>685</v>
      </c>
      <c r="C372" s="675"/>
      <c r="D372" s="675"/>
      <c r="E372" s="675"/>
      <c r="F372" s="675"/>
      <c r="G372" s="675"/>
      <c r="H372" s="675"/>
      <c r="I372" s="675"/>
      <c r="J372" s="675"/>
      <c r="K372" s="675"/>
      <c r="L372" s="675"/>
      <c r="M372" s="675"/>
      <c r="N372" s="675"/>
      <c r="O372" s="675"/>
    </row>
    <row r="373" spans="1:16" x14ac:dyDescent="0.25">
      <c r="A373" s="647"/>
      <c r="B373" s="672" t="s">
        <v>363</v>
      </c>
      <c r="C373" s="672">
        <v>1475</v>
      </c>
      <c r="D373" s="672"/>
      <c r="E373" s="672"/>
      <c r="F373" s="672"/>
      <c r="G373" s="672"/>
      <c r="H373" s="672"/>
      <c r="I373" s="672"/>
      <c r="J373" s="673">
        <f>SUM(C373+E373+F373+H373)</f>
        <v>1475</v>
      </c>
      <c r="K373" s="673">
        <f>SUM(D373+G373+I373)</f>
        <v>0</v>
      </c>
      <c r="L373" s="673">
        <f>SUM(J373:K373)</f>
        <v>1475</v>
      </c>
      <c r="M373" s="673">
        <v>51561</v>
      </c>
      <c r="N373" s="673">
        <v>1214</v>
      </c>
      <c r="O373" s="673">
        <f>SUM(L373:N373)</f>
        <v>54250</v>
      </c>
    </row>
    <row r="374" spans="1:16" s="674" customFormat="1" x14ac:dyDescent="0.25">
      <c r="A374" s="636"/>
      <c r="B374" s="632" t="s">
        <v>408</v>
      </c>
      <c r="C374" s="632">
        <v>1475</v>
      </c>
      <c r="D374" s="632"/>
      <c r="E374" s="632"/>
      <c r="F374" s="632"/>
      <c r="G374" s="632"/>
      <c r="H374" s="632"/>
      <c r="I374" s="632"/>
      <c r="J374" s="633">
        <f>SUM(C374+E374+F374+H374)</f>
        <v>1475</v>
      </c>
      <c r="K374" s="633">
        <f>SUM(D374+G374+I374)</f>
        <v>0</v>
      </c>
      <c r="L374" s="633">
        <f>SUM(J374:K374)</f>
        <v>1475</v>
      </c>
      <c r="M374" s="633">
        <v>51561</v>
      </c>
      <c r="N374" s="633">
        <v>1214</v>
      </c>
      <c r="O374" s="633">
        <f>SUM(L374:N374)</f>
        <v>54250</v>
      </c>
    </row>
    <row r="375" spans="1:16" s="674" customFormat="1" x14ac:dyDescent="0.25">
      <c r="A375" s="636"/>
      <c r="B375" s="632" t="s">
        <v>133</v>
      </c>
      <c r="C375" s="632"/>
      <c r="D375" s="632"/>
      <c r="E375" s="632"/>
      <c r="F375" s="632"/>
      <c r="G375" s="632"/>
      <c r="H375" s="632"/>
      <c r="I375" s="632"/>
      <c r="J375" s="633"/>
      <c r="K375" s="633"/>
      <c r="L375" s="633"/>
      <c r="M375" s="633"/>
      <c r="N375" s="633"/>
      <c r="O375" s="633"/>
    </row>
    <row r="376" spans="1:16" s="674" customFormat="1" x14ac:dyDescent="0.25">
      <c r="A376" s="636"/>
      <c r="B376" s="634" t="s">
        <v>1210</v>
      </c>
      <c r="C376" s="634"/>
      <c r="D376" s="634"/>
      <c r="E376" s="634"/>
      <c r="F376" s="634"/>
      <c r="G376" s="634"/>
      <c r="H376" s="634"/>
      <c r="I376" s="634"/>
      <c r="J376" s="634">
        <f t="shared" ref="J376:J378" si="197">SUM(C376+E376+F376+H376)</f>
        <v>0</v>
      </c>
      <c r="K376" s="634">
        <f t="shared" ref="K376:K378" si="198">SUM(D376+G376+I376)</f>
        <v>0</v>
      </c>
      <c r="L376" s="634">
        <f t="shared" ref="L376:L378" si="199">SUM(J376:K376)</f>
        <v>0</v>
      </c>
      <c r="M376" s="634">
        <v>105</v>
      </c>
      <c r="N376" s="634"/>
      <c r="O376" s="634">
        <f t="shared" ref="O376:O378" si="200">SUM(L376:N376)</f>
        <v>105</v>
      </c>
    </row>
    <row r="377" spans="1:16" s="674" customFormat="1" x14ac:dyDescent="0.25">
      <c r="A377" s="636"/>
      <c r="B377" s="634" t="s">
        <v>1199</v>
      </c>
      <c r="C377" s="634"/>
      <c r="D377" s="634"/>
      <c r="E377" s="634"/>
      <c r="F377" s="634"/>
      <c r="G377" s="634"/>
      <c r="H377" s="634"/>
      <c r="I377" s="634"/>
      <c r="J377" s="634">
        <f t="shared" si="197"/>
        <v>0</v>
      </c>
      <c r="K377" s="634">
        <f t="shared" si="198"/>
        <v>0</v>
      </c>
      <c r="L377" s="634">
        <f t="shared" si="199"/>
        <v>0</v>
      </c>
      <c r="M377" s="634">
        <v>90</v>
      </c>
      <c r="N377" s="634"/>
      <c r="O377" s="634">
        <f t="shared" si="200"/>
        <v>90</v>
      </c>
    </row>
    <row r="378" spans="1:16" s="674" customFormat="1" ht="32.25" thickBot="1" x14ac:dyDescent="0.3">
      <c r="A378" s="636"/>
      <c r="B378" s="634" t="s">
        <v>935</v>
      </c>
      <c r="C378" s="634"/>
      <c r="D378" s="634"/>
      <c r="E378" s="634"/>
      <c r="F378" s="634">
        <v>195</v>
      </c>
      <c r="G378" s="634"/>
      <c r="H378" s="634"/>
      <c r="I378" s="634"/>
      <c r="J378" s="634">
        <f t="shared" si="197"/>
        <v>195</v>
      </c>
      <c r="K378" s="634">
        <f t="shared" si="198"/>
        <v>0</v>
      </c>
      <c r="L378" s="634">
        <f t="shared" si="199"/>
        <v>195</v>
      </c>
      <c r="M378" s="634"/>
      <c r="N378" s="634"/>
      <c r="O378" s="634">
        <f t="shared" si="200"/>
        <v>195</v>
      </c>
    </row>
    <row r="379" spans="1:16" ht="17.25" thickTop="1" thickBot="1" x14ac:dyDescent="0.3">
      <c r="A379" s="626"/>
      <c r="B379" s="635" t="s">
        <v>400</v>
      </c>
      <c r="C379" s="635">
        <f>+C373+C376+C377+C378</f>
        <v>1475</v>
      </c>
      <c r="D379" s="635">
        <f t="shared" ref="D379:O379" si="201">+D373+D376+D377+D378</f>
        <v>0</v>
      </c>
      <c r="E379" s="635">
        <f t="shared" si="201"/>
        <v>0</v>
      </c>
      <c r="F379" s="635">
        <f t="shared" si="201"/>
        <v>195</v>
      </c>
      <c r="G379" s="635">
        <f t="shared" si="201"/>
        <v>0</v>
      </c>
      <c r="H379" s="635">
        <f t="shared" si="201"/>
        <v>0</v>
      </c>
      <c r="I379" s="635">
        <f t="shared" si="201"/>
        <v>0</v>
      </c>
      <c r="J379" s="635">
        <f t="shared" si="201"/>
        <v>1670</v>
      </c>
      <c r="K379" s="635">
        <f t="shared" si="201"/>
        <v>0</v>
      </c>
      <c r="L379" s="635">
        <f t="shared" si="201"/>
        <v>1670</v>
      </c>
      <c r="M379" s="635">
        <f t="shared" si="201"/>
        <v>51756</v>
      </c>
      <c r="N379" s="635">
        <f t="shared" si="201"/>
        <v>1214</v>
      </c>
      <c r="O379" s="635">
        <f t="shared" si="201"/>
        <v>54640</v>
      </c>
    </row>
    <row r="380" spans="1:16" ht="17.25" thickTop="1" thickBot="1" x14ac:dyDescent="0.3">
      <c r="A380" s="626"/>
      <c r="B380" s="635" t="s">
        <v>407</v>
      </c>
      <c r="C380" s="635">
        <f>+C374+C376+C377+C378</f>
        <v>1475</v>
      </c>
      <c r="D380" s="635">
        <f t="shared" ref="D380:O380" si="202">+D374+D376+D377+D378</f>
        <v>0</v>
      </c>
      <c r="E380" s="635">
        <f t="shared" si="202"/>
        <v>0</v>
      </c>
      <c r="F380" s="635">
        <f t="shared" si="202"/>
        <v>195</v>
      </c>
      <c r="G380" s="635">
        <f t="shared" si="202"/>
        <v>0</v>
      </c>
      <c r="H380" s="635">
        <f t="shared" si="202"/>
        <v>0</v>
      </c>
      <c r="I380" s="635">
        <f t="shared" si="202"/>
        <v>0</v>
      </c>
      <c r="J380" s="635">
        <f t="shared" si="202"/>
        <v>1670</v>
      </c>
      <c r="K380" s="635">
        <f t="shared" si="202"/>
        <v>0</v>
      </c>
      <c r="L380" s="635">
        <f t="shared" si="202"/>
        <v>1670</v>
      </c>
      <c r="M380" s="635">
        <f t="shared" si="202"/>
        <v>51756</v>
      </c>
      <c r="N380" s="635">
        <f t="shared" si="202"/>
        <v>1214</v>
      </c>
      <c r="O380" s="635">
        <f t="shared" si="202"/>
        <v>54640</v>
      </c>
    </row>
    <row r="381" spans="1:16" ht="16.5" thickTop="1" x14ac:dyDescent="0.25">
      <c r="A381" s="647" t="s">
        <v>19</v>
      </c>
      <c r="B381" s="675" t="s">
        <v>410</v>
      </c>
      <c r="C381" s="675"/>
      <c r="D381" s="675"/>
      <c r="E381" s="675"/>
      <c r="F381" s="675"/>
      <c r="G381" s="675"/>
      <c r="H381" s="675"/>
      <c r="I381" s="675"/>
      <c r="J381" s="675"/>
      <c r="K381" s="675"/>
      <c r="L381" s="675"/>
      <c r="M381" s="675"/>
      <c r="N381" s="675"/>
      <c r="O381" s="675"/>
    </row>
    <row r="382" spans="1:16" x14ac:dyDescent="0.25">
      <c r="A382" s="647"/>
      <c r="B382" s="672" t="s">
        <v>363</v>
      </c>
      <c r="C382" s="672">
        <v>47881</v>
      </c>
      <c r="D382" s="672"/>
      <c r="E382" s="672"/>
      <c r="F382" s="672">
        <v>39202</v>
      </c>
      <c r="G382" s="672"/>
      <c r="H382" s="672">
        <v>333</v>
      </c>
      <c r="I382" s="672"/>
      <c r="J382" s="673">
        <f>SUM(C382+E382+F382+H382)</f>
        <v>87416</v>
      </c>
      <c r="K382" s="673">
        <f>SUM(D382+G382+I382)</f>
        <v>0</v>
      </c>
      <c r="L382" s="673">
        <f>SUM(J382:K382)</f>
        <v>87416</v>
      </c>
      <c r="M382" s="673">
        <v>274171</v>
      </c>
      <c r="N382" s="673">
        <v>28847</v>
      </c>
      <c r="O382" s="673">
        <f>SUM(L382:N382)</f>
        <v>390434</v>
      </c>
    </row>
    <row r="383" spans="1:16" s="674" customFormat="1" x14ac:dyDescent="0.25">
      <c r="A383" s="636"/>
      <c r="B383" s="632" t="s">
        <v>408</v>
      </c>
      <c r="C383" s="632">
        <v>47881</v>
      </c>
      <c r="D383" s="632"/>
      <c r="E383" s="632"/>
      <c r="F383" s="632">
        <v>39202</v>
      </c>
      <c r="G383" s="632"/>
      <c r="H383" s="632">
        <v>333</v>
      </c>
      <c r="I383" s="632"/>
      <c r="J383" s="633">
        <f>SUM(C383+E383+F383+H383)</f>
        <v>87416</v>
      </c>
      <c r="K383" s="633">
        <f>SUM(D383+G383+I383)</f>
        <v>0</v>
      </c>
      <c r="L383" s="633">
        <f>SUM(J383:K383)</f>
        <v>87416</v>
      </c>
      <c r="M383" s="633">
        <v>274171</v>
      </c>
      <c r="N383" s="633">
        <v>28847</v>
      </c>
      <c r="O383" s="633">
        <f>SUM(L383:N383)</f>
        <v>390434</v>
      </c>
    </row>
    <row r="384" spans="1:16" s="674" customFormat="1" x14ac:dyDescent="0.25">
      <c r="A384" s="636"/>
      <c r="B384" s="632" t="s">
        <v>133</v>
      </c>
      <c r="C384" s="632"/>
      <c r="D384" s="632"/>
      <c r="E384" s="632"/>
      <c r="F384" s="632"/>
      <c r="G384" s="632"/>
      <c r="H384" s="632"/>
      <c r="I384" s="632"/>
      <c r="J384" s="633"/>
      <c r="K384" s="633"/>
      <c r="L384" s="633"/>
      <c r="M384" s="633"/>
      <c r="N384" s="633"/>
      <c r="O384" s="633"/>
    </row>
    <row r="385" spans="1:15" s="674" customFormat="1" x14ac:dyDescent="0.25">
      <c r="A385" s="636"/>
      <c r="B385" s="634" t="s">
        <v>1210</v>
      </c>
      <c r="C385" s="634"/>
      <c r="D385" s="634"/>
      <c r="E385" s="634"/>
      <c r="F385" s="634"/>
      <c r="G385" s="634"/>
      <c r="H385" s="634"/>
      <c r="I385" s="634"/>
      <c r="J385" s="634">
        <f t="shared" ref="J385:J388" si="203">SUM(C385+E385+F385+H385)</f>
        <v>0</v>
      </c>
      <c r="K385" s="634">
        <f t="shared" ref="K385:K388" si="204">SUM(D385+G385+I385)</f>
        <v>0</v>
      </c>
      <c r="L385" s="634">
        <f t="shared" ref="L385:L388" si="205">SUM(J385:K385)</f>
        <v>0</v>
      </c>
      <c r="M385" s="634">
        <v>898</v>
      </c>
      <c r="N385" s="634"/>
      <c r="O385" s="634">
        <f t="shared" ref="O385:O388" si="206">SUM(L385:N385)</f>
        <v>898</v>
      </c>
    </row>
    <row r="386" spans="1:15" s="674" customFormat="1" x14ac:dyDescent="0.25">
      <c r="A386" s="636"/>
      <c r="B386" s="634" t="s">
        <v>1199</v>
      </c>
      <c r="C386" s="634"/>
      <c r="D386" s="634"/>
      <c r="E386" s="634"/>
      <c r="F386" s="634"/>
      <c r="G386" s="634"/>
      <c r="H386" s="634"/>
      <c r="I386" s="634"/>
      <c r="J386" s="634">
        <f t="shared" si="203"/>
        <v>0</v>
      </c>
      <c r="K386" s="634">
        <f t="shared" si="204"/>
        <v>0</v>
      </c>
      <c r="L386" s="634">
        <f t="shared" si="205"/>
        <v>0</v>
      </c>
      <c r="M386" s="634">
        <v>896</v>
      </c>
      <c r="N386" s="634"/>
      <c r="O386" s="634">
        <f t="shared" si="206"/>
        <v>896</v>
      </c>
    </row>
    <row r="387" spans="1:15" s="674" customFormat="1" ht="31.5" x14ac:dyDescent="0.25">
      <c r="A387" s="636"/>
      <c r="B387" s="634" t="s">
        <v>675</v>
      </c>
      <c r="C387" s="634">
        <v>-20000</v>
      </c>
      <c r="D387" s="634">
        <v>20000</v>
      </c>
      <c r="E387" s="634"/>
      <c r="F387" s="634">
        <v>-1</v>
      </c>
      <c r="G387" s="634"/>
      <c r="H387" s="634"/>
      <c r="I387" s="634"/>
      <c r="J387" s="634">
        <f t="shared" si="203"/>
        <v>-20001</v>
      </c>
      <c r="K387" s="634">
        <f t="shared" si="204"/>
        <v>20000</v>
      </c>
      <c r="L387" s="634">
        <f t="shared" si="205"/>
        <v>-1</v>
      </c>
      <c r="M387" s="634"/>
      <c r="N387" s="634">
        <v>1</v>
      </c>
      <c r="O387" s="634">
        <f t="shared" si="206"/>
        <v>0</v>
      </c>
    </row>
    <row r="388" spans="1:15" s="674" customFormat="1" ht="32.25" thickBot="1" x14ac:dyDescent="0.3">
      <c r="A388" s="636"/>
      <c r="B388" s="634" t="s">
        <v>935</v>
      </c>
      <c r="C388" s="634">
        <v>700</v>
      </c>
      <c r="D388" s="634"/>
      <c r="E388" s="634"/>
      <c r="F388" s="634">
        <v>10957</v>
      </c>
      <c r="G388" s="634"/>
      <c r="H388" s="634">
        <v>630</v>
      </c>
      <c r="I388" s="634"/>
      <c r="J388" s="634">
        <f t="shared" si="203"/>
        <v>12287</v>
      </c>
      <c r="K388" s="634">
        <f t="shared" si="204"/>
        <v>0</v>
      </c>
      <c r="L388" s="634">
        <f t="shared" si="205"/>
        <v>12287</v>
      </c>
      <c r="M388" s="634"/>
      <c r="N388" s="634"/>
      <c r="O388" s="634">
        <f t="shared" si="206"/>
        <v>12287</v>
      </c>
    </row>
    <row r="389" spans="1:15" ht="17.25" thickTop="1" thickBot="1" x14ac:dyDescent="0.3">
      <c r="A389" s="626"/>
      <c r="B389" s="635" t="s">
        <v>400</v>
      </c>
      <c r="C389" s="635">
        <f>+C382+C385+C386+C387+C388</f>
        <v>28581</v>
      </c>
      <c r="D389" s="635">
        <f t="shared" ref="D389:O389" si="207">+D382+D385+D386+D387+D388</f>
        <v>20000</v>
      </c>
      <c r="E389" s="635">
        <f t="shared" si="207"/>
        <v>0</v>
      </c>
      <c r="F389" s="635">
        <f t="shared" si="207"/>
        <v>50158</v>
      </c>
      <c r="G389" s="635">
        <f t="shared" si="207"/>
        <v>0</v>
      </c>
      <c r="H389" s="635">
        <f t="shared" si="207"/>
        <v>963</v>
      </c>
      <c r="I389" s="635">
        <f t="shared" si="207"/>
        <v>0</v>
      </c>
      <c r="J389" s="635">
        <f t="shared" si="207"/>
        <v>79702</v>
      </c>
      <c r="K389" s="635">
        <f t="shared" si="207"/>
        <v>20000</v>
      </c>
      <c r="L389" s="635">
        <f t="shared" si="207"/>
        <v>99702</v>
      </c>
      <c r="M389" s="635">
        <f t="shared" si="207"/>
        <v>275965</v>
      </c>
      <c r="N389" s="635">
        <f t="shared" si="207"/>
        <v>28848</v>
      </c>
      <c r="O389" s="635">
        <f t="shared" si="207"/>
        <v>404515</v>
      </c>
    </row>
    <row r="390" spans="1:15" ht="17.25" thickTop="1" thickBot="1" x14ac:dyDescent="0.3">
      <c r="A390" s="626"/>
      <c r="B390" s="635" t="s">
        <v>407</v>
      </c>
      <c r="C390" s="635">
        <f>+C383+C385+C386+C387+C388</f>
        <v>28581</v>
      </c>
      <c r="D390" s="635">
        <f t="shared" ref="D390:O390" si="208">+D383+D385+D386+D387+D388</f>
        <v>20000</v>
      </c>
      <c r="E390" s="635">
        <f t="shared" si="208"/>
        <v>0</v>
      </c>
      <c r="F390" s="635">
        <f t="shared" si="208"/>
        <v>50158</v>
      </c>
      <c r="G390" s="635">
        <f t="shared" si="208"/>
        <v>0</v>
      </c>
      <c r="H390" s="635">
        <f t="shared" si="208"/>
        <v>963</v>
      </c>
      <c r="I390" s="635">
        <f t="shared" si="208"/>
        <v>0</v>
      </c>
      <c r="J390" s="635">
        <f t="shared" si="208"/>
        <v>79702</v>
      </c>
      <c r="K390" s="635">
        <f t="shared" si="208"/>
        <v>20000</v>
      </c>
      <c r="L390" s="635">
        <f t="shared" si="208"/>
        <v>99702</v>
      </c>
      <c r="M390" s="635">
        <f t="shared" si="208"/>
        <v>275965</v>
      </c>
      <c r="N390" s="635">
        <f t="shared" si="208"/>
        <v>28848</v>
      </c>
      <c r="O390" s="635">
        <f t="shared" si="208"/>
        <v>404515</v>
      </c>
    </row>
    <row r="391" spans="1:15" ht="16.5" thickTop="1" x14ac:dyDescent="0.25">
      <c r="A391" s="630" t="s">
        <v>20</v>
      </c>
      <c r="B391" s="675" t="s">
        <v>409</v>
      </c>
      <c r="C391" s="675"/>
      <c r="D391" s="675"/>
      <c r="E391" s="675"/>
      <c r="F391" s="675"/>
      <c r="G391" s="675"/>
      <c r="H391" s="675"/>
      <c r="I391" s="675"/>
      <c r="J391" s="675"/>
      <c r="K391" s="675"/>
      <c r="L391" s="675"/>
      <c r="M391" s="675"/>
      <c r="N391" s="675"/>
      <c r="O391" s="675"/>
    </row>
    <row r="392" spans="1:15" x14ac:dyDescent="0.25">
      <c r="A392" s="657"/>
      <c r="B392" s="673" t="s">
        <v>363</v>
      </c>
      <c r="C392" s="673">
        <v>191794</v>
      </c>
      <c r="D392" s="673"/>
      <c r="E392" s="673"/>
      <c r="F392" s="673">
        <v>259831</v>
      </c>
      <c r="G392" s="673"/>
      <c r="H392" s="673"/>
      <c r="I392" s="673"/>
      <c r="J392" s="673">
        <f>SUM(C392+E392+F392+H392)</f>
        <v>451625</v>
      </c>
      <c r="K392" s="673">
        <f>SUM(D392+G392+I392)</f>
        <v>0</v>
      </c>
      <c r="L392" s="673">
        <f>SUM(J392:K392)</f>
        <v>451625</v>
      </c>
      <c r="M392" s="673">
        <v>716383</v>
      </c>
      <c r="N392" s="673">
        <v>4495</v>
      </c>
      <c r="O392" s="673">
        <f>SUM(L392:N392)</f>
        <v>1172503</v>
      </c>
    </row>
    <row r="393" spans="1:15" s="674" customFormat="1" ht="16.5" thickBot="1" x14ac:dyDescent="0.3">
      <c r="A393" s="658"/>
      <c r="B393" s="648" t="s">
        <v>408</v>
      </c>
      <c r="C393" s="648">
        <v>191794</v>
      </c>
      <c r="D393" s="648"/>
      <c r="E393" s="648"/>
      <c r="F393" s="648">
        <v>259831</v>
      </c>
      <c r="G393" s="648"/>
      <c r="H393" s="648"/>
      <c r="I393" s="648"/>
      <c r="J393" s="659">
        <f>SUM(C393+E393+F393+H393)</f>
        <v>451625</v>
      </c>
      <c r="K393" s="659">
        <f>SUM(D393+G393+I393)</f>
        <v>0</v>
      </c>
      <c r="L393" s="659">
        <f>SUM(J393:K393)</f>
        <v>451625</v>
      </c>
      <c r="M393" s="659">
        <v>716383</v>
      </c>
      <c r="N393" s="659">
        <v>4495</v>
      </c>
      <c r="O393" s="659">
        <f>SUM(L393:N393)</f>
        <v>1172503</v>
      </c>
    </row>
    <row r="394" spans="1:15" s="674" customFormat="1" ht="16.5" thickBot="1" x14ac:dyDescent="0.3">
      <c r="A394" s="984"/>
      <c r="B394" s="985" t="s">
        <v>133</v>
      </c>
      <c r="C394" s="985"/>
      <c r="D394" s="985"/>
      <c r="E394" s="985"/>
      <c r="F394" s="985"/>
      <c r="G394" s="985"/>
      <c r="H394" s="985"/>
      <c r="I394" s="985"/>
      <c r="J394" s="986"/>
      <c r="K394" s="986"/>
      <c r="L394" s="986"/>
      <c r="M394" s="986"/>
      <c r="N394" s="986"/>
      <c r="O394" s="986"/>
    </row>
    <row r="395" spans="1:15" s="674" customFormat="1" x14ac:dyDescent="0.25">
      <c r="A395" s="660"/>
      <c r="B395" s="993" t="s">
        <v>1197</v>
      </c>
      <c r="C395" s="993"/>
      <c r="D395" s="993"/>
      <c r="E395" s="993"/>
      <c r="F395" s="993"/>
      <c r="G395" s="993"/>
      <c r="H395" s="993"/>
      <c r="I395" s="993"/>
      <c r="J395" s="993">
        <f t="shared" ref="J395:J399" si="209">SUM(C395+E395+F395+H395)</f>
        <v>0</v>
      </c>
      <c r="K395" s="993">
        <f t="shared" ref="K395:K399" si="210">SUM(D395+G395+I395)</f>
        <v>0</v>
      </c>
      <c r="L395" s="993">
        <f t="shared" ref="L395:L399" si="211">SUM(J395:K395)</f>
        <v>0</v>
      </c>
      <c r="M395" s="993">
        <v>87</v>
      </c>
      <c r="N395" s="993"/>
      <c r="O395" s="993">
        <f t="shared" ref="O395:O399" si="212">SUM(L395:N395)</f>
        <v>87</v>
      </c>
    </row>
    <row r="396" spans="1:15" s="674" customFormat="1" x14ac:dyDescent="0.25">
      <c r="A396" s="661"/>
      <c r="B396" s="634" t="s">
        <v>1210</v>
      </c>
      <c r="C396" s="634"/>
      <c r="D396" s="634"/>
      <c r="E396" s="634"/>
      <c r="F396" s="634"/>
      <c r="G396" s="634"/>
      <c r="H396" s="634"/>
      <c r="I396" s="634"/>
      <c r="J396" s="634">
        <f t="shared" si="209"/>
        <v>0</v>
      </c>
      <c r="K396" s="634">
        <f t="shared" si="210"/>
        <v>0</v>
      </c>
      <c r="L396" s="634">
        <f t="shared" si="211"/>
        <v>0</v>
      </c>
      <c r="M396" s="634">
        <v>1932</v>
      </c>
      <c r="N396" s="634"/>
      <c r="O396" s="634">
        <f t="shared" si="212"/>
        <v>1932</v>
      </c>
    </row>
    <row r="397" spans="1:15" s="674" customFormat="1" x14ac:dyDescent="0.25">
      <c r="A397" s="636"/>
      <c r="B397" s="634" t="s">
        <v>1199</v>
      </c>
      <c r="C397" s="639"/>
      <c r="D397" s="639"/>
      <c r="E397" s="639"/>
      <c r="F397" s="639"/>
      <c r="G397" s="639"/>
      <c r="H397" s="639"/>
      <c r="I397" s="639"/>
      <c r="J397" s="639">
        <f t="shared" si="209"/>
        <v>0</v>
      </c>
      <c r="K397" s="639">
        <f t="shared" si="210"/>
        <v>0</v>
      </c>
      <c r="L397" s="639">
        <f t="shared" si="211"/>
        <v>0</v>
      </c>
      <c r="M397" s="639">
        <v>2383</v>
      </c>
      <c r="N397" s="639"/>
      <c r="O397" s="639">
        <f t="shared" si="212"/>
        <v>2383</v>
      </c>
    </row>
    <row r="398" spans="1:15" s="674" customFormat="1" ht="31.5" x14ac:dyDescent="0.25">
      <c r="A398" s="636"/>
      <c r="B398" s="634" t="s">
        <v>935</v>
      </c>
      <c r="C398" s="639">
        <v>89683</v>
      </c>
      <c r="D398" s="639"/>
      <c r="E398" s="639"/>
      <c r="F398" s="639">
        <v>49108</v>
      </c>
      <c r="G398" s="639">
        <v>2000</v>
      </c>
      <c r="H398" s="639"/>
      <c r="I398" s="639"/>
      <c r="J398" s="639">
        <f t="shared" si="209"/>
        <v>138791</v>
      </c>
      <c r="K398" s="639">
        <f t="shared" si="210"/>
        <v>2000</v>
      </c>
      <c r="L398" s="639">
        <f t="shared" si="211"/>
        <v>140791</v>
      </c>
      <c r="M398" s="639"/>
      <c r="N398" s="639"/>
      <c r="O398" s="639">
        <f t="shared" si="212"/>
        <v>140791</v>
      </c>
    </row>
    <row r="399" spans="1:15" s="674" customFormat="1" ht="32.25" thickBot="1" x14ac:dyDescent="0.3">
      <c r="A399" s="636"/>
      <c r="B399" s="634" t="s">
        <v>675</v>
      </c>
      <c r="C399" s="639"/>
      <c r="D399" s="639"/>
      <c r="E399" s="639"/>
      <c r="F399" s="639">
        <v>-1</v>
      </c>
      <c r="G399" s="639"/>
      <c r="H399" s="639"/>
      <c r="I399" s="639"/>
      <c r="J399" s="639">
        <f t="shared" si="209"/>
        <v>-1</v>
      </c>
      <c r="K399" s="639">
        <f t="shared" si="210"/>
        <v>0</v>
      </c>
      <c r="L399" s="639">
        <f t="shared" si="211"/>
        <v>-1</v>
      </c>
      <c r="M399" s="639"/>
      <c r="N399" s="639">
        <v>1</v>
      </c>
      <c r="O399" s="639">
        <f t="shared" si="212"/>
        <v>0</v>
      </c>
    </row>
    <row r="400" spans="1:15" ht="17.25" thickTop="1" thickBot="1" x14ac:dyDescent="0.3">
      <c r="A400" s="626"/>
      <c r="B400" s="635" t="s">
        <v>400</v>
      </c>
      <c r="C400" s="635">
        <f>+C392+C395+C396+C397+C398+C399</f>
        <v>281477</v>
      </c>
      <c r="D400" s="635">
        <f t="shared" ref="D400:O400" si="213">+D392+D395+D396+D397+D398+D399</f>
        <v>0</v>
      </c>
      <c r="E400" s="635">
        <f t="shared" si="213"/>
        <v>0</v>
      </c>
      <c r="F400" s="635">
        <f t="shared" si="213"/>
        <v>308938</v>
      </c>
      <c r="G400" s="635">
        <f t="shared" si="213"/>
        <v>2000</v>
      </c>
      <c r="H400" s="635">
        <f t="shared" si="213"/>
        <v>0</v>
      </c>
      <c r="I400" s="635">
        <f t="shared" si="213"/>
        <v>0</v>
      </c>
      <c r="J400" s="635">
        <f t="shared" si="213"/>
        <v>590415</v>
      </c>
      <c r="K400" s="635">
        <f t="shared" si="213"/>
        <v>2000</v>
      </c>
      <c r="L400" s="635">
        <f t="shared" si="213"/>
        <v>592415</v>
      </c>
      <c r="M400" s="635">
        <f t="shared" si="213"/>
        <v>720785</v>
      </c>
      <c r="N400" s="635">
        <f t="shared" si="213"/>
        <v>4496</v>
      </c>
      <c r="O400" s="635">
        <f t="shared" si="213"/>
        <v>1317696</v>
      </c>
    </row>
    <row r="401" spans="1:15" ht="17.25" thickTop="1" thickBot="1" x14ac:dyDescent="0.3">
      <c r="A401" s="626"/>
      <c r="B401" s="635" t="s">
        <v>407</v>
      </c>
      <c r="C401" s="635">
        <f>+C393+C395+C396+C397+C398+C399</f>
        <v>281477</v>
      </c>
      <c r="D401" s="635">
        <f t="shared" ref="D401:O401" si="214">+D393+D395+D396+D397+D398+D399</f>
        <v>0</v>
      </c>
      <c r="E401" s="635">
        <f t="shared" si="214"/>
        <v>0</v>
      </c>
      <c r="F401" s="635">
        <f t="shared" si="214"/>
        <v>308938</v>
      </c>
      <c r="G401" s="635">
        <f t="shared" si="214"/>
        <v>2000</v>
      </c>
      <c r="H401" s="635">
        <f t="shared" si="214"/>
        <v>0</v>
      </c>
      <c r="I401" s="635">
        <f t="shared" si="214"/>
        <v>0</v>
      </c>
      <c r="J401" s="635">
        <f t="shared" si="214"/>
        <v>590415</v>
      </c>
      <c r="K401" s="635">
        <f t="shared" si="214"/>
        <v>2000</v>
      </c>
      <c r="L401" s="635">
        <f t="shared" si="214"/>
        <v>592415</v>
      </c>
      <c r="M401" s="635">
        <f t="shared" si="214"/>
        <v>720785</v>
      </c>
      <c r="N401" s="635">
        <f t="shared" si="214"/>
        <v>4496</v>
      </c>
      <c r="O401" s="635">
        <f t="shared" si="214"/>
        <v>1317696</v>
      </c>
    </row>
    <row r="402" spans="1:15" ht="16.5" thickTop="1" x14ac:dyDescent="0.25">
      <c r="A402" s="630" t="s">
        <v>21</v>
      </c>
      <c r="B402" s="675" t="s">
        <v>674</v>
      </c>
      <c r="C402" s="675"/>
      <c r="D402" s="675"/>
      <c r="E402" s="675"/>
      <c r="F402" s="675"/>
      <c r="G402" s="675"/>
      <c r="H402" s="675"/>
      <c r="I402" s="675"/>
      <c r="J402" s="675"/>
      <c r="K402" s="675"/>
      <c r="L402" s="675"/>
      <c r="M402" s="675"/>
      <c r="N402" s="675"/>
      <c r="O402" s="675"/>
    </row>
    <row r="403" spans="1:15" s="674" customFormat="1" x14ac:dyDescent="0.25">
      <c r="A403" s="661"/>
      <c r="B403" s="634" t="s">
        <v>363</v>
      </c>
      <c r="C403" s="632">
        <v>14705</v>
      </c>
      <c r="D403" s="632"/>
      <c r="E403" s="632"/>
      <c r="F403" s="632">
        <v>27620</v>
      </c>
      <c r="G403" s="632"/>
      <c r="H403" s="632">
        <v>350</v>
      </c>
      <c r="I403" s="632"/>
      <c r="J403" s="634">
        <f t="shared" ref="J403:J409" si="215">SUM(C403+E403+F403+H403)</f>
        <v>42675</v>
      </c>
      <c r="K403" s="634">
        <f t="shared" ref="K403:K409" si="216">SUM(D403+G403+I403)</f>
        <v>0</v>
      </c>
      <c r="L403" s="634">
        <f t="shared" ref="L403:L409" si="217">SUM(J403:K403)</f>
        <v>42675</v>
      </c>
      <c r="M403" s="633">
        <v>170963</v>
      </c>
      <c r="N403" s="633">
        <v>3802</v>
      </c>
      <c r="O403" s="634">
        <f t="shared" ref="O403:O409" si="218">SUM(L403:N403)</f>
        <v>217440</v>
      </c>
    </row>
    <row r="404" spans="1:15" s="674" customFormat="1" x14ac:dyDescent="0.25">
      <c r="A404" s="661"/>
      <c r="B404" s="632" t="s">
        <v>878</v>
      </c>
      <c r="C404" s="634">
        <v>14705</v>
      </c>
      <c r="D404" s="634"/>
      <c r="E404" s="634"/>
      <c r="F404" s="634">
        <v>27620</v>
      </c>
      <c r="G404" s="634"/>
      <c r="H404" s="634">
        <v>350</v>
      </c>
      <c r="I404" s="634"/>
      <c r="J404" s="634">
        <f t="shared" si="215"/>
        <v>42675</v>
      </c>
      <c r="K404" s="634">
        <f t="shared" si="216"/>
        <v>0</v>
      </c>
      <c r="L404" s="634">
        <f t="shared" si="217"/>
        <v>42675</v>
      </c>
      <c r="M404" s="634">
        <v>170963</v>
      </c>
      <c r="N404" s="634">
        <v>3802</v>
      </c>
      <c r="O404" s="634">
        <f t="shared" si="218"/>
        <v>217440</v>
      </c>
    </row>
    <row r="405" spans="1:15" s="674" customFormat="1" x14ac:dyDescent="0.25">
      <c r="A405" s="661"/>
      <c r="B405" s="632" t="s">
        <v>133</v>
      </c>
      <c r="C405" s="632"/>
      <c r="D405" s="632"/>
      <c r="E405" s="632"/>
      <c r="F405" s="632"/>
      <c r="G405" s="632"/>
      <c r="H405" s="632"/>
      <c r="I405" s="632"/>
      <c r="J405" s="634"/>
      <c r="K405" s="634"/>
      <c r="L405" s="634"/>
      <c r="M405" s="633"/>
      <c r="N405" s="633"/>
      <c r="O405" s="634"/>
    </row>
    <row r="406" spans="1:15" s="674" customFormat="1" x14ac:dyDescent="0.25">
      <c r="A406" s="636"/>
      <c r="B406" s="634" t="s">
        <v>1210</v>
      </c>
      <c r="C406" s="639"/>
      <c r="D406" s="637"/>
      <c r="E406" s="637"/>
      <c r="F406" s="637"/>
      <c r="G406" s="637"/>
      <c r="H406" s="637"/>
      <c r="I406" s="637"/>
      <c r="J406" s="639">
        <f t="shared" si="215"/>
        <v>0</v>
      </c>
      <c r="K406" s="639">
        <f t="shared" si="216"/>
        <v>0</v>
      </c>
      <c r="L406" s="639">
        <f t="shared" si="217"/>
        <v>0</v>
      </c>
      <c r="M406" s="639">
        <v>304</v>
      </c>
      <c r="N406" s="639"/>
      <c r="O406" s="639">
        <f t="shared" si="218"/>
        <v>304</v>
      </c>
    </row>
    <row r="407" spans="1:15" s="674" customFormat="1" x14ac:dyDescent="0.25">
      <c r="A407" s="636"/>
      <c r="B407" s="634" t="s">
        <v>1199</v>
      </c>
      <c r="C407" s="637"/>
      <c r="D407" s="637"/>
      <c r="E407" s="637"/>
      <c r="F407" s="637"/>
      <c r="G407" s="637"/>
      <c r="H407" s="637"/>
      <c r="I407" s="637"/>
      <c r="J407" s="639">
        <f t="shared" si="215"/>
        <v>0</v>
      </c>
      <c r="K407" s="639">
        <f t="shared" si="216"/>
        <v>0</v>
      </c>
      <c r="L407" s="639">
        <f t="shared" si="217"/>
        <v>0</v>
      </c>
      <c r="M407" s="639">
        <v>452</v>
      </c>
      <c r="N407" s="638"/>
      <c r="O407" s="639">
        <f t="shared" si="218"/>
        <v>452</v>
      </c>
    </row>
    <row r="408" spans="1:15" s="674" customFormat="1" ht="31.5" x14ac:dyDescent="0.25">
      <c r="A408" s="661"/>
      <c r="B408" s="634" t="s">
        <v>935</v>
      </c>
      <c r="C408" s="662">
        <v>60029</v>
      </c>
      <c r="D408" s="663"/>
      <c r="E408" s="663"/>
      <c r="F408" s="663">
        <v>822</v>
      </c>
      <c r="G408" s="663"/>
      <c r="H408" s="663"/>
      <c r="I408" s="663"/>
      <c r="J408" s="662">
        <f t="shared" si="215"/>
        <v>60851</v>
      </c>
      <c r="K408" s="662">
        <f t="shared" si="216"/>
        <v>0</v>
      </c>
      <c r="L408" s="662">
        <f t="shared" si="217"/>
        <v>60851</v>
      </c>
      <c r="M408" s="662"/>
      <c r="N408" s="664"/>
      <c r="O408" s="662">
        <f t="shared" si="218"/>
        <v>60851</v>
      </c>
    </row>
    <row r="409" spans="1:15" s="674" customFormat="1" ht="32.25" thickBot="1" x14ac:dyDescent="0.3">
      <c r="A409" s="636"/>
      <c r="B409" s="634" t="s">
        <v>675</v>
      </c>
      <c r="C409" s="637"/>
      <c r="D409" s="637"/>
      <c r="E409" s="637"/>
      <c r="F409" s="639">
        <v>-1</v>
      </c>
      <c r="G409" s="637"/>
      <c r="H409" s="637"/>
      <c r="I409" s="637"/>
      <c r="J409" s="639">
        <f t="shared" si="215"/>
        <v>-1</v>
      </c>
      <c r="K409" s="639">
        <f t="shared" si="216"/>
        <v>0</v>
      </c>
      <c r="L409" s="639">
        <f t="shared" si="217"/>
        <v>-1</v>
      </c>
      <c r="M409" s="639"/>
      <c r="N409" s="639">
        <v>1</v>
      </c>
      <c r="O409" s="639">
        <f t="shared" si="218"/>
        <v>0</v>
      </c>
    </row>
    <row r="410" spans="1:15" ht="17.25" thickTop="1" thickBot="1" x14ac:dyDescent="0.3">
      <c r="A410" s="626"/>
      <c r="B410" s="635" t="s">
        <v>400</v>
      </c>
      <c r="C410" s="635">
        <f>+C403+C406+C407+C408+C409</f>
        <v>74734</v>
      </c>
      <c r="D410" s="635">
        <f t="shared" ref="D410:O410" si="219">+D403+D406+D407+D408+D409</f>
        <v>0</v>
      </c>
      <c r="E410" s="635">
        <f t="shared" si="219"/>
        <v>0</v>
      </c>
      <c r="F410" s="635">
        <f t="shared" si="219"/>
        <v>28441</v>
      </c>
      <c r="G410" s="635">
        <f t="shared" si="219"/>
        <v>0</v>
      </c>
      <c r="H410" s="635">
        <f t="shared" si="219"/>
        <v>350</v>
      </c>
      <c r="I410" s="635">
        <f t="shared" si="219"/>
        <v>0</v>
      </c>
      <c r="J410" s="635">
        <f t="shared" si="219"/>
        <v>103525</v>
      </c>
      <c r="K410" s="635">
        <f t="shared" si="219"/>
        <v>0</v>
      </c>
      <c r="L410" s="635">
        <f t="shared" si="219"/>
        <v>103525</v>
      </c>
      <c r="M410" s="635">
        <f t="shared" si="219"/>
        <v>171719</v>
      </c>
      <c r="N410" s="635">
        <f t="shared" si="219"/>
        <v>3803</v>
      </c>
      <c r="O410" s="635">
        <f t="shared" si="219"/>
        <v>279047</v>
      </c>
    </row>
    <row r="411" spans="1:15" ht="17.25" thickTop="1" thickBot="1" x14ac:dyDescent="0.3">
      <c r="A411" s="626"/>
      <c r="B411" s="635" t="s">
        <v>407</v>
      </c>
      <c r="C411" s="635">
        <f>+C404+C406+C407+C408+C409</f>
        <v>74734</v>
      </c>
      <c r="D411" s="635">
        <f t="shared" ref="D411:O411" si="220">+D404+D406+D407+D408+D409</f>
        <v>0</v>
      </c>
      <c r="E411" s="635">
        <f t="shared" si="220"/>
        <v>0</v>
      </c>
      <c r="F411" s="635">
        <f t="shared" si="220"/>
        <v>28441</v>
      </c>
      <c r="G411" s="635">
        <f t="shared" si="220"/>
        <v>0</v>
      </c>
      <c r="H411" s="635">
        <f t="shared" si="220"/>
        <v>350</v>
      </c>
      <c r="I411" s="635">
        <f t="shared" si="220"/>
        <v>0</v>
      </c>
      <c r="J411" s="635">
        <f t="shared" si="220"/>
        <v>103525</v>
      </c>
      <c r="K411" s="635">
        <f t="shared" si="220"/>
        <v>0</v>
      </c>
      <c r="L411" s="635">
        <f t="shared" si="220"/>
        <v>103525</v>
      </c>
      <c r="M411" s="635">
        <f t="shared" si="220"/>
        <v>171719</v>
      </c>
      <c r="N411" s="635">
        <f t="shared" si="220"/>
        <v>3803</v>
      </c>
      <c r="O411" s="635">
        <f t="shared" si="220"/>
        <v>279047</v>
      </c>
    </row>
    <row r="412" spans="1:15" ht="16.5" thickTop="1" x14ac:dyDescent="0.25">
      <c r="A412" s="630" t="s">
        <v>672</v>
      </c>
      <c r="B412" s="675" t="s">
        <v>406</v>
      </c>
      <c r="C412" s="675"/>
      <c r="D412" s="675"/>
      <c r="E412" s="675"/>
      <c r="F412" s="675"/>
      <c r="G412" s="675"/>
      <c r="H412" s="675"/>
      <c r="I412" s="675"/>
      <c r="J412" s="675"/>
      <c r="K412" s="675"/>
      <c r="L412" s="675"/>
      <c r="M412" s="675"/>
      <c r="N412" s="675"/>
      <c r="O412" s="675"/>
    </row>
    <row r="413" spans="1:15" x14ac:dyDescent="0.25">
      <c r="A413" s="630"/>
      <c r="B413" s="673" t="s">
        <v>363</v>
      </c>
      <c r="C413" s="673">
        <v>45667</v>
      </c>
      <c r="D413" s="673"/>
      <c r="E413" s="673"/>
      <c r="F413" s="673">
        <v>20935</v>
      </c>
      <c r="G413" s="673"/>
      <c r="H413" s="673"/>
      <c r="I413" s="673"/>
      <c r="J413" s="673">
        <f t="shared" ref="J413:J423" si="221">SUM(C413+E413+F413+H413)</f>
        <v>66602</v>
      </c>
      <c r="K413" s="673">
        <f t="shared" ref="K413:K423" si="222">SUM(D413+G413+I413)</f>
        <v>0</v>
      </c>
      <c r="L413" s="673">
        <f t="shared" ref="L413:L423" si="223">SUM(J413:K413)</f>
        <v>66602</v>
      </c>
      <c r="M413" s="673">
        <v>223248</v>
      </c>
      <c r="N413" s="673">
        <v>7038</v>
      </c>
      <c r="O413" s="673">
        <f t="shared" ref="O413:O423" si="224">SUM(L413:N413)</f>
        <v>296888</v>
      </c>
    </row>
    <row r="414" spans="1:15" s="674" customFormat="1" x14ac:dyDescent="0.25">
      <c r="A414" s="631"/>
      <c r="B414" s="632" t="s">
        <v>402</v>
      </c>
      <c r="C414" s="632">
        <v>7223</v>
      </c>
      <c r="D414" s="632"/>
      <c r="E414" s="632"/>
      <c r="F414" s="632">
        <v>20935</v>
      </c>
      <c r="G414" s="632"/>
      <c r="H414" s="632"/>
      <c r="I414" s="632"/>
      <c r="J414" s="633">
        <f t="shared" si="221"/>
        <v>28158</v>
      </c>
      <c r="K414" s="633">
        <f t="shared" si="222"/>
        <v>0</v>
      </c>
      <c r="L414" s="633">
        <f t="shared" si="223"/>
        <v>28158</v>
      </c>
      <c r="M414" s="633">
        <v>212458</v>
      </c>
      <c r="N414" s="633">
        <v>7038</v>
      </c>
      <c r="O414" s="633">
        <f t="shared" si="224"/>
        <v>247654</v>
      </c>
    </row>
    <row r="415" spans="1:15" s="674" customFormat="1" x14ac:dyDescent="0.25">
      <c r="A415" s="631"/>
      <c r="B415" s="632" t="s">
        <v>401</v>
      </c>
      <c r="C415" s="632">
        <v>38444</v>
      </c>
      <c r="D415" s="632"/>
      <c r="E415" s="632"/>
      <c r="F415" s="632">
        <v>0</v>
      </c>
      <c r="G415" s="632"/>
      <c r="H415" s="632"/>
      <c r="I415" s="632"/>
      <c r="J415" s="632">
        <f t="shared" si="221"/>
        <v>38444</v>
      </c>
      <c r="K415" s="632">
        <f t="shared" si="222"/>
        <v>0</v>
      </c>
      <c r="L415" s="632">
        <f t="shared" si="223"/>
        <v>38444</v>
      </c>
      <c r="M415" s="632">
        <v>10790</v>
      </c>
      <c r="N415" s="632">
        <v>0</v>
      </c>
      <c r="O415" s="632">
        <f t="shared" si="224"/>
        <v>49234</v>
      </c>
    </row>
    <row r="416" spans="1:15" s="674" customFormat="1" x14ac:dyDescent="0.25">
      <c r="A416" s="631"/>
      <c r="B416" s="632" t="s">
        <v>132</v>
      </c>
      <c r="C416" s="634"/>
      <c r="D416" s="634"/>
      <c r="E416" s="634"/>
      <c r="F416" s="634"/>
      <c r="G416" s="634"/>
      <c r="H416" s="634"/>
      <c r="I416" s="634"/>
      <c r="J416" s="634"/>
      <c r="K416" s="634"/>
      <c r="L416" s="634"/>
      <c r="M416" s="634"/>
      <c r="N416" s="634"/>
      <c r="O416" s="634"/>
    </row>
    <row r="417" spans="1:16" s="674" customFormat="1" x14ac:dyDescent="0.25">
      <c r="A417" s="631"/>
      <c r="B417" s="634" t="s">
        <v>1210</v>
      </c>
      <c r="C417" s="634"/>
      <c r="D417" s="634"/>
      <c r="E417" s="634"/>
      <c r="F417" s="634"/>
      <c r="G417" s="634"/>
      <c r="H417" s="634"/>
      <c r="I417" s="634"/>
      <c r="J417" s="634">
        <f t="shared" si="221"/>
        <v>0</v>
      </c>
      <c r="K417" s="634">
        <f t="shared" si="222"/>
        <v>0</v>
      </c>
      <c r="L417" s="634">
        <f t="shared" si="223"/>
        <v>0</v>
      </c>
      <c r="M417" s="634">
        <v>535</v>
      </c>
      <c r="N417" s="634"/>
      <c r="O417" s="634">
        <f t="shared" si="224"/>
        <v>535</v>
      </c>
    </row>
    <row r="418" spans="1:16" s="674" customFormat="1" ht="31.5" x14ac:dyDescent="0.25">
      <c r="A418" s="631"/>
      <c r="B418" s="634" t="s">
        <v>675</v>
      </c>
      <c r="C418" s="634"/>
      <c r="D418" s="634"/>
      <c r="E418" s="634"/>
      <c r="F418" s="634">
        <v>-1</v>
      </c>
      <c r="G418" s="634"/>
      <c r="H418" s="634"/>
      <c r="I418" s="634"/>
      <c r="J418" s="634">
        <f t="shared" si="221"/>
        <v>-1</v>
      </c>
      <c r="K418" s="634">
        <f t="shared" si="222"/>
        <v>0</v>
      </c>
      <c r="L418" s="634">
        <f t="shared" si="223"/>
        <v>-1</v>
      </c>
      <c r="M418" s="634"/>
      <c r="N418" s="634">
        <v>1</v>
      </c>
      <c r="O418" s="634">
        <f t="shared" si="224"/>
        <v>0</v>
      </c>
    </row>
    <row r="419" spans="1:16" s="674" customFormat="1" x14ac:dyDescent="0.25">
      <c r="A419" s="631"/>
      <c r="B419" s="632" t="s">
        <v>133</v>
      </c>
      <c r="C419" s="634"/>
      <c r="D419" s="634"/>
      <c r="E419" s="634"/>
      <c r="F419" s="634"/>
      <c r="G419" s="634"/>
      <c r="H419" s="634"/>
      <c r="I419" s="634"/>
      <c r="J419" s="634"/>
      <c r="K419" s="634"/>
      <c r="L419" s="634"/>
      <c r="M419" s="634"/>
      <c r="N419" s="634"/>
      <c r="O419" s="634"/>
    </row>
    <row r="420" spans="1:16" s="674" customFormat="1" ht="63" x14ac:dyDescent="0.25">
      <c r="A420" s="631"/>
      <c r="B420" s="652" t="s">
        <v>1213</v>
      </c>
      <c r="C420" s="634"/>
      <c r="D420" s="634"/>
      <c r="E420" s="634"/>
      <c r="F420" s="634"/>
      <c r="G420" s="634"/>
      <c r="H420" s="634"/>
      <c r="I420" s="634"/>
      <c r="J420" s="634">
        <f t="shared" si="221"/>
        <v>0</v>
      </c>
      <c r="K420" s="634">
        <f t="shared" si="222"/>
        <v>0</v>
      </c>
      <c r="L420" s="634">
        <f t="shared" si="223"/>
        <v>0</v>
      </c>
      <c r="M420" s="634">
        <v>150</v>
      </c>
      <c r="N420" s="634"/>
      <c r="O420" s="634">
        <f t="shared" si="224"/>
        <v>150</v>
      </c>
    </row>
    <row r="421" spans="1:16" ht="51.75" customHeight="1" x14ac:dyDescent="0.25">
      <c r="A421" s="630"/>
      <c r="B421" s="634" t="s">
        <v>1214</v>
      </c>
      <c r="C421" s="673"/>
      <c r="D421" s="673"/>
      <c r="E421" s="673"/>
      <c r="F421" s="673"/>
      <c r="G421" s="673"/>
      <c r="H421" s="673"/>
      <c r="I421" s="673"/>
      <c r="J421" s="673">
        <f t="shared" si="221"/>
        <v>0</v>
      </c>
      <c r="K421" s="673">
        <f t="shared" si="222"/>
        <v>0</v>
      </c>
      <c r="L421" s="673">
        <f t="shared" si="223"/>
        <v>0</v>
      </c>
      <c r="M421" s="673">
        <v>400</v>
      </c>
      <c r="N421" s="673"/>
      <c r="O421" s="673">
        <f t="shared" si="224"/>
        <v>400</v>
      </c>
    </row>
    <row r="422" spans="1:16" x14ac:dyDescent="0.25">
      <c r="A422" s="647"/>
      <c r="B422" s="634" t="s">
        <v>1199</v>
      </c>
      <c r="C422" s="672"/>
      <c r="D422" s="672"/>
      <c r="E422" s="672"/>
      <c r="F422" s="672"/>
      <c r="G422" s="672"/>
      <c r="H422" s="672"/>
      <c r="I422" s="672"/>
      <c r="J422" s="672">
        <f t="shared" si="221"/>
        <v>0</v>
      </c>
      <c r="K422" s="672">
        <f t="shared" si="222"/>
        <v>0</v>
      </c>
      <c r="L422" s="672">
        <f t="shared" si="223"/>
        <v>0</v>
      </c>
      <c r="M422" s="672">
        <v>778</v>
      </c>
      <c r="N422" s="672"/>
      <c r="O422" s="672">
        <f t="shared" si="224"/>
        <v>778</v>
      </c>
    </row>
    <row r="423" spans="1:16" ht="32.25" thickBot="1" x14ac:dyDescent="0.3">
      <c r="A423" s="630"/>
      <c r="B423" s="634" t="s">
        <v>935</v>
      </c>
      <c r="C423" s="673">
        <v>1200</v>
      </c>
      <c r="D423" s="673"/>
      <c r="E423" s="673"/>
      <c r="F423" s="673">
        <v>3230</v>
      </c>
      <c r="G423" s="673"/>
      <c r="H423" s="673"/>
      <c r="I423" s="673"/>
      <c r="J423" s="673">
        <f t="shared" si="221"/>
        <v>4430</v>
      </c>
      <c r="K423" s="673">
        <f t="shared" si="222"/>
        <v>0</v>
      </c>
      <c r="L423" s="673">
        <f t="shared" si="223"/>
        <v>4430</v>
      </c>
      <c r="M423" s="673"/>
      <c r="N423" s="673"/>
      <c r="O423" s="673">
        <f t="shared" si="224"/>
        <v>4430</v>
      </c>
    </row>
    <row r="424" spans="1:16" ht="17.25" thickTop="1" thickBot="1" x14ac:dyDescent="0.3">
      <c r="A424" s="626"/>
      <c r="B424" s="635" t="s">
        <v>400</v>
      </c>
      <c r="C424" s="635">
        <f>+C413+C417+C418+C420+C421+C422+C423</f>
        <v>46867</v>
      </c>
      <c r="D424" s="635">
        <f t="shared" ref="D424:O424" si="225">+D413+D417+D418+D420+D421+D422+D423</f>
        <v>0</v>
      </c>
      <c r="E424" s="635">
        <f t="shared" si="225"/>
        <v>0</v>
      </c>
      <c r="F424" s="635">
        <f t="shared" si="225"/>
        <v>24164</v>
      </c>
      <c r="G424" s="635">
        <f t="shared" si="225"/>
        <v>0</v>
      </c>
      <c r="H424" s="635">
        <f t="shared" si="225"/>
        <v>0</v>
      </c>
      <c r="I424" s="635">
        <f t="shared" si="225"/>
        <v>0</v>
      </c>
      <c r="J424" s="635">
        <f t="shared" si="225"/>
        <v>71031</v>
      </c>
      <c r="K424" s="635">
        <f t="shared" si="225"/>
        <v>0</v>
      </c>
      <c r="L424" s="635">
        <f t="shared" si="225"/>
        <v>71031</v>
      </c>
      <c r="M424" s="635">
        <f t="shared" si="225"/>
        <v>225111</v>
      </c>
      <c r="N424" s="635">
        <f t="shared" si="225"/>
        <v>7039</v>
      </c>
      <c r="O424" s="635">
        <f t="shared" si="225"/>
        <v>303181</v>
      </c>
      <c r="P424" s="671">
        <f>O425+O426</f>
        <v>303181</v>
      </c>
    </row>
    <row r="425" spans="1:16" ht="17.25" thickTop="1" thickBot="1" x14ac:dyDescent="0.3">
      <c r="A425" s="626"/>
      <c r="B425" s="635" t="s">
        <v>399</v>
      </c>
      <c r="C425" s="635">
        <f>+C414+C417+C418</f>
        <v>7223</v>
      </c>
      <c r="D425" s="635">
        <f t="shared" ref="D425:O425" si="226">+D414+D417+D418</f>
        <v>0</v>
      </c>
      <c r="E425" s="635">
        <f t="shared" si="226"/>
        <v>0</v>
      </c>
      <c r="F425" s="635">
        <f t="shared" si="226"/>
        <v>20934</v>
      </c>
      <c r="G425" s="635">
        <f t="shared" si="226"/>
        <v>0</v>
      </c>
      <c r="H425" s="635">
        <f t="shared" si="226"/>
        <v>0</v>
      </c>
      <c r="I425" s="635">
        <f t="shared" si="226"/>
        <v>0</v>
      </c>
      <c r="J425" s="635">
        <f t="shared" si="226"/>
        <v>28157</v>
      </c>
      <c r="K425" s="635">
        <f t="shared" si="226"/>
        <v>0</v>
      </c>
      <c r="L425" s="635">
        <f t="shared" si="226"/>
        <v>28157</v>
      </c>
      <c r="M425" s="635">
        <f t="shared" si="226"/>
        <v>212993</v>
      </c>
      <c r="N425" s="635">
        <f t="shared" si="226"/>
        <v>7039</v>
      </c>
      <c r="O425" s="635">
        <f t="shared" si="226"/>
        <v>248189</v>
      </c>
    </row>
    <row r="426" spans="1:16" ht="17.25" thickTop="1" thickBot="1" x14ac:dyDescent="0.3">
      <c r="A426" s="626"/>
      <c r="B426" s="635" t="s">
        <v>398</v>
      </c>
      <c r="C426" s="635">
        <f>+C415+C420+C421+C422+C423</f>
        <v>39644</v>
      </c>
      <c r="D426" s="635">
        <f t="shared" ref="D426:O426" si="227">+D415+D420+D421+D422+D423</f>
        <v>0</v>
      </c>
      <c r="E426" s="635">
        <f t="shared" si="227"/>
        <v>0</v>
      </c>
      <c r="F426" s="635">
        <f t="shared" si="227"/>
        <v>3230</v>
      </c>
      <c r="G426" s="635">
        <f t="shared" si="227"/>
        <v>0</v>
      </c>
      <c r="H426" s="635">
        <f t="shared" si="227"/>
        <v>0</v>
      </c>
      <c r="I426" s="635">
        <f t="shared" si="227"/>
        <v>0</v>
      </c>
      <c r="J426" s="635">
        <f t="shared" si="227"/>
        <v>42874</v>
      </c>
      <c r="K426" s="635">
        <f t="shared" si="227"/>
        <v>0</v>
      </c>
      <c r="L426" s="635">
        <f t="shared" si="227"/>
        <v>42874</v>
      </c>
      <c r="M426" s="635">
        <f t="shared" si="227"/>
        <v>12118</v>
      </c>
      <c r="N426" s="635">
        <f t="shared" si="227"/>
        <v>0</v>
      </c>
      <c r="O426" s="635">
        <f t="shared" si="227"/>
        <v>54992</v>
      </c>
    </row>
    <row r="427" spans="1:16" ht="17.25" thickTop="1" thickBot="1" x14ac:dyDescent="0.3">
      <c r="A427" s="626"/>
      <c r="B427" s="635" t="s">
        <v>405</v>
      </c>
      <c r="C427" s="635">
        <f t="shared" ref="C427:O427" si="228">SUM(C339+C355+C369+C389+C400+C410+C424+C379)</f>
        <v>510410</v>
      </c>
      <c r="D427" s="635">
        <f t="shared" si="228"/>
        <v>29975</v>
      </c>
      <c r="E427" s="635">
        <f t="shared" si="228"/>
        <v>0</v>
      </c>
      <c r="F427" s="635">
        <f t="shared" si="228"/>
        <v>584895</v>
      </c>
      <c r="G427" s="635">
        <f t="shared" si="228"/>
        <v>2435</v>
      </c>
      <c r="H427" s="635">
        <f t="shared" si="228"/>
        <v>2110</v>
      </c>
      <c r="I427" s="635">
        <f t="shared" si="228"/>
        <v>0</v>
      </c>
      <c r="J427" s="635">
        <f t="shared" si="228"/>
        <v>1097415</v>
      </c>
      <c r="K427" s="635">
        <f t="shared" si="228"/>
        <v>32410</v>
      </c>
      <c r="L427" s="635">
        <f t="shared" si="228"/>
        <v>1129825</v>
      </c>
      <c r="M427" s="635">
        <f t="shared" si="228"/>
        <v>2785771</v>
      </c>
      <c r="N427" s="635">
        <f t="shared" si="228"/>
        <v>196630</v>
      </c>
      <c r="O427" s="635">
        <f t="shared" si="228"/>
        <v>4112226</v>
      </c>
    </row>
    <row r="428" spans="1:16" ht="17.25" thickTop="1" thickBot="1" x14ac:dyDescent="0.3">
      <c r="A428" s="626"/>
      <c r="B428" s="635" t="s">
        <v>404</v>
      </c>
      <c r="C428" s="635">
        <f t="shared" ref="C428:O428" si="229">SUM(C276+C319+C329+C427)</f>
        <v>1426549</v>
      </c>
      <c r="D428" s="635">
        <f t="shared" si="229"/>
        <v>29975</v>
      </c>
      <c r="E428" s="635">
        <f t="shared" si="229"/>
        <v>0</v>
      </c>
      <c r="F428" s="635">
        <f t="shared" si="229"/>
        <v>1701073</v>
      </c>
      <c r="G428" s="635">
        <f t="shared" si="229"/>
        <v>2435</v>
      </c>
      <c r="H428" s="635">
        <f t="shared" si="229"/>
        <v>10155</v>
      </c>
      <c r="I428" s="635">
        <f t="shared" si="229"/>
        <v>0</v>
      </c>
      <c r="J428" s="635">
        <f t="shared" si="229"/>
        <v>3137777</v>
      </c>
      <c r="K428" s="635">
        <f t="shared" si="229"/>
        <v>32410</v>
      </c>
      <c r="L428" s="635">
        <f t="shared" si="229"/>
        <v>3170187</v>
      </c>
      <c r="M428" s="635">
        <f t="shared" si="229"/>
        <v>9191281</v>
      </c>
      <c r="N428" s="635">
        <f t="shared" si="229"/>
        <v>721145</v>
      </c>
      <c r="O428" s="635">
        <f t="shared" si="229"/>
        <v>13082613</v>
      </c>
    </row>
    <row r="429" spans="1:16" ht="16.5" thickTop="1" x14ac:dyDescent="0.25">
      <c r="A429" s="630" t="s">
        <v>673</v>
      </c>
      <c r="B429" s="675" t="s">
        <v>403</v>
      </c>
      <c r="C429" s="675"/>
      <c r="D429" s="675"/>
      <c r="E429" s="675"/>
      <c r="F429" s="675"/>
      <c r="G429" s="675"/>
      <c r="H429" s="675"/>
      <c r="I429" s="675"/>
      <c r="J429" s="675"/>
      <c r="K429" s="675"/>
      <c r="L429" s="675"/>
      <c r="M429" s="675"/>
      <c r="N429" s="675"/>
      <c r="O429" s="675"/>
    </row>
    <row r="430" spans="1:16" x14ac:dyDescent="0.25">
      <c r="A430" s="630"/>
      <c r="B430" s="673" t="s">
        <v>363</v>
      </c>
      <c r="C430" s="673">
        <v>213097</v>
      </c>
      <c r="D430" s="673"/>
      <c r="E430" s="673">
        <v>300</v>
      </c>
      <c r="F430" s="673">
        <v>11689</v>
      </c>
      <c r="G430" s="673"/>
      <c r="H430" s="673"/>
      <c r="I430" s="673"/>
      <c r="J430" s="673">
        <f>SUM(C430+E430+F430+H430)</f>
        <v>225086</v>
      </c>
      <c r="K430" s="673">
        <f>SUM(D430+G430+I430)</f>
        <v>0</v>
      </c>
      <c r="L430" s="673">
        <f>SUM(J430:K430)</f>
        <v>225086</v>
      </c>
      <c r="M430" s="673">
        <v>2752992</v>
      </c>
      <c r="N430" s="673">
        <v>44558</v>
      </c>
      <c r="O430" s="673">
        <f>SUM(L430:N430)</f>
        <v>3022636</v>
      </c>
    </row>
    <row r="431" spans="1:16" s="674" customFormat="1" x14ac:dyDescent="0.25">
      <c r="A431" s="631"/>
      <c r="B431" s="632" t="s">
        <v>402</v>
      </c>
      <c r="C431" s="632">
        <v>44198</v>
      </c>
      <c r="D431" s="632"/>
      <c r="E431" s="632"/>
      <c r="F431" s="632">
        <v>165</v>
      </c>
      <c r="G431" s="632"/>
      <c r="H431" s="632"/>
      <c r="I431" s="632"/>
      <c r="J431" s="633">
        <f>SUM(C431+E431+F431+H431)</f>
        <v>44363</v>
      </c>
      <c r="K431" s="633">
        <f>SUM(D431+G431+I431)</f>
        <v>0</v>
      </c>
      <c r="L431" s="633">
        <f>SUM(J431:K431)</f>
        <v>44363</v>
      </c>
      <c r="M431" s="633">
        <v>1338471</v>
      </c>
      <c r="N431" s="633">
        <v>44558</v>
      </c>
      <c r="O431" s="633">
        <f>SUM(L431:N431)</f>
        <v>1427392</v>
      </c>
    </row>
    <row r="432" spans="1:16" s="674" customFormat="1" x14ac:dyDescent="0.25">
      <c r="A432" s="631"/>
      <c r="B432" s="632" t="s">
        <v>401</v>
      </c>
      <c r="C432" s="632">
        <v>92868</v>
      </c>
      <c r="D432" s="632"/>
      <c r="E432" s="632"/>
      <c r="F432" s="632">
        <v>11524</v>
      </c>
      <c r="G432" s="632"/>
      <c r="H432" s="632"/>
      <c r="I432" s="632"/>
      <c r="J432" s="633">
        <f>SUM(C432+E432+F432+H432)</f>
        <v>104392</v>
      </c>
      <c r="K432" s="633">
        <f>SUM(D432+G432+I432)</f>
        <v>0</v>
      </c>
      <c r="L432" s="633">
        <f>SUM(J432:K432)</f>
        <v>104392</v>
      </c>
      <c r="M432" s="633">
        <v>500242</v>
      </c>
      <c r="N432" s="633">
        <v>0</v>
      </c>
      <c r="O432" s="633">
        <f>SUM(L432:N432)</f>
        <v>604634</v>
      </c>
    </row>
    <row r="433" spans="1:16" s="674" customFormat="1" x14ac:dyDescent="0.25">
      <c r="A433" s="636"/>
      <c r="B433" s="633" t="s">
        <v>469</v>
      </c>
      <c r="C433" s="633">
        <v>76031</v>
      </c>
      <c r="D433" s="633"/>
      <c r="E433" s="633">
        <v>300</v>
      </c>
      <c r="F433" s="633">
        <v>0</v>
      </c>
      <c r="G433" s="633"/>
      <c r="H433" s="633"/>
      <c r="I433" s="633"/>
      <c r="J433" s="633">
        <f>SUM(C433+E433+F433+H433)</f>
        <v>76331</v>
      </c>
      <c r="K433" s="633">
        <f>SUM(D433+G433+I433)</f>
        <v>0</v>
      </c>
      <c r="L433" s="633">
        <f>SUM(J433:K433)</f>
        <v>76331</v>
      </c>
      <c r="M433" s="633">
        <v>914279</v>
      </c>
      <c r="N433" s="633">
        <v>0</v>
      </c>
      <c r="O433" s="633">
        <f>SUM(L433:N433)</f>
        <v>990610</v>
      </c>
    </row>
    <row r="434" spans="1:16" s="674" customFormat="1" x14ac:dyDescent="0.25">
      <c r="A434" s="636"/>
      <c r="B434" s="633" t="s">
        <v>132</v>
      </c>
      <c r="C434" s="634"/>
      <c r="D434" s="634"/>
      <c r="E434" s="634"/>
      <c r="F434" s="634"/>
      <c r="G434" s="634"/>
      <c r="H434" s="634"/>
      <c r="I434" s="634"/>
      <c r="J434" s="634"/>
      <c r="K434" s="634"/>
      <c r="L434" s="634"/>
      <c r="M434" s="634"/>
      <c r="N434" s="634"/>
      <c r="O434" s="634"/>
    </row>
    <row r="435" spans="1:16" s="674" customFormat="1" x14ac:dyDescent="0.25">
      <c r="A435" s="636"/>
      <c r="B435" s="634" t="s">
        <v>1197</v>
      </c>
      <c r="C435" s="634"/>
      <c r="D435" s="634"/>
      <c r="E435" s="634"/>
      <c r="F435" s="634"/>
      <c r="G435" s="634"/>
      <c r="H435" s="634"/>
      <c r="I435" s="634"/>
      <c r="J435" s="634">
        <f t="shared" ref="J435:J440" si="230">SUM(C435+E435+F435+H435)</f>
        <v>0</v>
      </c>
      <c r="K435" s="634">
        <f t="shared" ref="K435:K440" si="231">SUM(D435+G435+I435)</f>
        <v>0</v>
      </c>
      <c r="L435" s="634">
        <f t="shared" ref="L435:L440" si="232">SUM(J435:K435)</f>
        <v>0</v>
      </c>
      <c r="M435" s="634">
        <v>287</v>
      </c>
      <c r="N435" s="634"/>
      <c r="O435" s="634">
        <f t="shared" ref="O435:O440" si="233">SUM(L435:N435)</f>
        <v>287</v>
      </c>
    </row>
    <row r="436" spans="1:16" s="674" customFormat="1" ht="32.25" thickBot="1" x14ac:dyDescent="0.3">
      <c r="A436" s="644"/>
      <c r="B436" s="645" t="s">
        <v>675</v>
      </c>
      <c r="C436" s="645"/>
      <c r="D436" s="645"/>
      <c r="E436" s="645"/>
      <c r="F436" s="645">
        <v>1123</v>
      </c>
      <c r="G436" s="645"/>
      <c r="H436" s="645"/>
      <c r="I436" s="645"/>
      <c r="J436" s="645">
        <f t="shared" si="230"/>
        <v>1123</v>
      </c>
      <c r="K436" s="645">
        <f t="shared" si="231"/>
        <v>0</v>
      </c>
      <c r="L436" s="645">
        <f t="shared" si="232"/>
        <v>1123</v>
      </c>
      <c r="M436" s="645">
        <f>-1123-1</f>
        <v>-1124</v>
      </c>
      <c r="N436" s="645">
        <v>1</v>
      </c>
      <c r="O436" s="645">
        <f t="shared" si="233"/>
        <v>0</v>
      </c>
    </row>
    <row r="437" spans="1:16" s="674" customFormat="1" ht="31.5" x14ac:dyDescent="0.25">
      <c r="A437" s="641"/>
      <c r="B437" s="646" t="s">
        <v>935</v>
      </c>
      <c r="C437" s="646"/>
      <c r="D437" s="646"/>
      <c r="E437" s="646"/>
      <c r="F437" s="646">
        <v>315</v>
      </c>
      <c r="G437" s="646"/>
      <c r="H437" s="646"/>
      <c r="I437" s="646"/>
      <c r="J437" s="646">
        <f t="shared" si="230"/>
        <v>315</v>
      </c>
      <c r="K437" s="646">
        <f t="shared" si="231"/>
        <v>0</v>
      </c>
      <c r="L437" s="646">
        <f t="shared" si="232"/>
        <v>315</v>
      </c>
      <c r="M437" s="646"/>
      <c r="N437" s="646"/>
      <c r="O437" s="646">
        <f t="shared" si="233"/>
        <v>315</v>
      </c>
    </row>
    <row r="438" spans="1:16" s="674" customFormat="1" ht="16.5" thickBot="1" x14ac:dyDescent="0.3">
      <c r="A438" s="644"/>
      <c r="B438" s="659" t="s">
        <v>133</v>
      </c>
      <c r="C438" s="645"/>
      <c r="D438" s="645"/>
      <c r="E438" s="645"/>
      <c r="F438" s="645"/>
      <c r="G438" s="645"/>
      <c r="H438" s="645"/>
      <c r="I438" s="645"/>
      <c r="J438" s="645"/>
      <c r="K438" s="645"/>
      <c r="L438" s="645"/>
      <c r="M438" s="645"/>
      <c r="N438" s="645"/>
      <c r="O438" s="645"/>
    </row>
    <row r="439" spans="1:16" s="674" customFormat="1" ht="31.5" x14ac:dyDescent="0.25">
      <c r="A439" s="641"/>
      <c r="B439" s="646" t="s">
        <v>675</v>
      </c>
      <c r="C439" s="646"/>
      <c r="D439" s="646"/>
      <c r="E439" s="646"/>
      <c r="F439" s="646">
        <v>2128</v>
      </c>
      <c r="G439" s="646">
        <v>338</v>
      </c>
      <c r="H439" s="646"/>
      <c r="I439" s="646"/>
      <c r="J439" s="646">
        <f t="shared" si="230"/>
        <v>2128</v>
      </c>
      <c r="K439" s="646">
        <f t="shared" si="231"/>
        <v>338</v>
      </c>
      <c r="L439" s="646">
        <f t="shared" si="232"/>
        <v>2466</v>
      </c>
      <c r="M439" s="646">
        <f>-2128-338</f>
        <v>-2466</v>
      </c>
      <c r="N439" s="646"/>
      <c r="O439" s="646">
        <f t="shared" si="233"/>
        <v>0</v>
      </c>
    </row>
    <row r="440" spans="1:16" s="674" customFormat="1" ht="47.25" x14ac:dyDescent="0.25">
      <c r="A440" s="636"/>
      <c r="B440" s="634" t="s">
        <v>1293</v>
      </c>
      <c r="C440" s="634">
        <v>31652</v>
      </c>
      <c r="D440" s="634"/>
      <c r="E440" s="634"/>
      <c r="F440" s="634"/>
      <c r="G440" s="634"/>
      <c r="H440" s="634"/>
      <c r="I440" s="634"/>
      <c r="J440" s="634">
        <f t="shared" si="230"/>
        <v>31652</v>
      </c>
      <c r="K440" s="634">
        <f t="shared" si="231"/>
        <v>0</v>
      </c>
      <c r="L440" s="634">
        <f t="shared" si="232"/>
        <v>31652</v>
      </c>
      <c r="M440" s="634"/>
      <c r="N440" s="634"/>
      <c r="O440" s="634">
        <f t="shared" si="233"/>
        <v>31652</v>
      </c>
    </row>
    <row r="441" spans="1:16" s="674" customFormat="1" x14ac:dyDescent="0.25">
      <c r="A441" s="636"/>
      <c r="B441" s="633" t="s">
        <v>349</v>
      </c>
      <c r="C441" s="634"/>
      <c r="D441" s="634"/>
      <c r="E441" s="634"/>
      <c r="F441" s="634"/>
      <c r="G441" s="634"/>
      <c r="H441" s="634"/>
      <c r="I441" s="634"/>
      <c r="J441" s="634"/>
      <c r="K441" s="634"/>
      <c r="L441" s="634"/>
      <c r="M441" s="634"/>
      <c r="N441" s="634"/>
      <c r="O441" s="634"/>
    </row>
    <row r="442" spans="1:16" s="674" customFormat="1" ht="32.25" thickBot="1" x14ac:dyDescent="0.3">
      <c r="A442" s="636"/>
      <c r="B442" s="634" t="s">
        <v>675</v>
      </c>
      <c r="C442" s="634"/>
      <c r="D442" s="634"/>
      <c r="E442" s="634">
        <v>826</v>
      </c>
      <c r="F442" s="634">
        <v>13</v>
      </c>
      <c r="G442" s="634"/>
      <c r="H442" s="634"/>
      <c r="I442" s="634"/>
      <c r="J442" s="634">
        <f t="shared" ref="J442" si="234">SUM(C442+E442+F442+H442)</f>
        <v>839</v>
      </c>
      <c r="K442" s="634">
        <f t="shared" ref="K442" si="235">SUM(D442+G442+I442)</f>
        <v>0</v>
      </c>
      <c r="L442" s="634">
        <f t="shared" ref="L442" si="236">SUM(J442:K442)</f>
        <v>839</v>
      </c>
      <c r="M442" s="634">
        <f>-826-13</f>
        <v>-839</v>
      </c>
      <c r="N442" s="634"/>
      <c r="O442" s="634">
        <f t="shared" ref="O442" si="237">SUM(L442:N442)</f>
        <v>0</v>
      </c>
    </row>
    <row r="443" spans="1:16" ht="17.25" thickTop="1" thickBot="1" x14ac:dyDescent="0.3">
      <c r="A443" s="626"/>
      <c r="B443" s="635" t="s">
        <v>400</v>
      </c>
      <c r="C443" s="635">
        <f>+C430+C435+C442+C436+C437+C439+C440</f>
        <v>244749</v>
      </c>
      <c r="D443" s="635">
        <f t="shared" ref="D443:O443" si="238">+D430+D435+D442+D436+D437+D439+D440</f>
        <v>0</v>
      </c>
      <c r="E443" s="635">
        <f t="shared" si="238"/>
        <v>1126</v>
      </c>
      <c r="F443" s="635">
        <f t="shared" si="238"/>
        <v>15268</v>
      </c>
      <c r="G443" s="635">
        <f t="shared" si="238"/>
        <v>338</v>
      </c>
      <c r="H443" s="635">
        <f t="shared" si="238"/>
        <v>0</v>
      </c>
      <c r="I443" s="635">
        <f t="shared" si="238"/>
        <v>0</v>
      </c>
      <c r="J443" s="635">
        <f t="shared" si="238"/>
        <v>261143</v>
      </c>
      <c r="K443" s="635">
        <f t="shared" si="238"/>
        <v>338</v>
      </c>
      <c r="L443" s="635">
        <f t="shared" si="238"/>
        <v>261481</v>
      </c>
      <c r="M443" s="635">
        <f t="shared" si="238"/>
        <v>2748850</v>
      </c>
      <c r="N443" s="635">
        <f t="shared" si="238"/>
        <v>44559</v>
      </c>
      <c r="O443" s="635">
        <f t="shared" si="238"/>
        <v>3054890</v>
      </c>
      <c r="P443" s="671">
        <f>O444+O445+O446</f>
        <v>3054890</v>
      </c>
    </row>
    <row r="444" spans="1:16" ht="17.25" thickTop="1" thickBot="1" x14ac:dyDescent="0.3">
      <c r="A444" s="626"/>
      <c r="B444" s="635" t="s">
        <v>399</v>
      </c>
      <c r="C444" s="635">
        <f>+C431+C435+C436+C437</f>
        <v>44198</v>
      </c>
      <c r="D444" s="635">
        <f t="shared" ref="D444:O444" si="239">+D431+D435+D436+D437</f>
        <v>0</v>
      </c>
      <c r="E444" s="635">
        <f t="shared" si="239"/>
        <v>0</v>
      </c>
      <c r="F444" s="635">
        <f t="shared" si="239"/>
        <v>1603</v>
      </c>
      <c r="G444" s="635">
        <f t="shared" si="239"/>
        <v>0</v>
      </c>
      <c r="H444" s="635">
        <f t="shared" si="239"/>
        <v>0</v>
      </c>
      <c r="I444" s="635">
        <f t="shared" si="239"/>
        <v>0</v>
      </c>
      <c r="J444" s="635">
        <f t="shared" si="239"/>
        <v>45801</v>
      </c>
      <c r="K444" s="635">
        <f t="shared" si="239"/>
        <v>0</v>
      </c>
      <c r="L444" s="635">
        <f t="shared" si="239"/>
        <v>45801</v>
      </c>
      <c r="M444" s="635">
        <f t="shared" si="239"/>
        <v>1337634</v>
      </c>
      <c r="N444" s="635">
        <f t="shared" si="239"/>
        <v>44559</v>
      </c>
      <c r="O444" s="635">
        <f t="shared" si="239"/>
        <v>1427994</v>
      </c>
    </row>
    <row r="445" spans="1:16" ht="17.25" thickTop="1" thickBot="1" x14ac:dyDescent="0.3">
      <c r="A445" s="626"/>
      <c r="B445" s="635" t="s">
        <v>398</v>
      </c>
      <c r="C445" s="635">
        <f>+C432+C439+C440</f>
        <v>124520</v>
      </c>
      <c r="D445" s="635">
        <f t="shared" ref="D445:O445" si="240">+D432+D439+D440</f>
        <v>0</v>
      </c>
      <c r="E445" s="635">
        <f t="shared" si="240"/>
        <v>0</v>
      </c>
      <c r="F445" s="635">
        <f t="shared" si="240"/>
        <v>13652</v>
      </c>
      <c r="G445" s="635">
        <f t="shared" si="240"/>
        <v>338</v>
      </c>
      <c r="H445" s="635">
        <f t="shared" si="240"/>
        <v>0</v>
      </c>
      <c r="I445" s="635">
        <f t="shared" si="240"/>
        <v>0</v>
      </c>
      <c r="J445" s="635">
        <f t="shared" si="240"/>
        <v>138172</v>
      </c>
      <c r="K445" s="635">
        <f t="shared" si="240"/>
        <v>338</v>
      </c>
      <c r="L445" s="635">
        <f t="shared" si="240"/>
        <v>138510</v>
      </c>
      <c r="M445" s="635">
        <f t="shared" si="240"/>
        <v>497776</v>
      </c>
      <c r="N445" s="635">
        <f t="shared" si="240"/>
        <v>0</v>
      </c>
      <c r="O445" s="635">
        <f t="shared" si="240"/>
        <v>636286</v>
      </c>
    </row>
    <row r="446" spans="1:16" ht="33" thickTop="1" thickBot="1" x14ac:dyDescent="0.3">
      <c r="A446" s="626"/>
      <c r="B446" s="635" t="s">
        <v>468</v>
      </c>
      <c r="C446" s="635">
        <f>SUM(C433+C442)</f>
        <v>76031</v>
      </c>
      <c r="D446" s="635">
        <f t="shared" ref="D446:O446" si="241">SUM(D433+D442)</f>
        <v>0</v>
      </c>
      <c r="E446" s="635">
        <f t="shared" si="241"/>
        <v>1126</v>
      </c>
      <c r="F446" s="635">
        <f t="shared" si="241"/>
        <v>13</v>
      </c>
      <c r="G446" s="635">
        <f t="shared" si="241"/>
        <v>0</v>
      </c>
      <c r="H446" s="635">
        <f t="shared" si="241"/>
        <v>0</v>
      </c>
      <c r="I446" s="635">
        <f t="shared" si="241"/>
        <v>0</v>
      </c>
      <c r="J446" s="635">
        <f t="shared" si="241"/>
        <v>77170</v>
      </c>
      <c r="K446" s="635">
        <f t="shared" si="241"/>
        <v>0</v>
      </c>
      <c r="L446" s="635">
        <f t="shared" si="241"/>
        <v>77170</v>
      </c>
      <c r="M446" s="635">
        <f t="shared" si="241"/>
        <v>913440</v>
      </c>
      <c r="N446" s="635">
        <f t="shared" si="241"/>
        <v>0</v>
      </c>
      <c r="O446" s="635">
        <f t="shared" si="241"/>
        <v>990610</v>
      </c>
    </row>
    <row r="447" spans="1:16" ht="17.25" thickTop="1" thickBot="1" x14ac:dyDescent="0.3">
      <c r="A447" s="626"/>
      <c r="B447" s="635" t="s">
        <v>396</v>
      </c>
      <c r="C447" s="635">
        <f t="shared" ref="C447:O447" si="242">SUM(C428+C443)</f>
        <v>1671298</v>
      </c>
      <c r="D447" s="635">
        <f t="shared" si="242"/>
        <v>29975</v>
      </c>
      <c r="E447" s="635">
        <f t="shared" si="242"/>
        <v>1126</v>
      </c>
      <c r="F447" s="635">
        <f t="shared" si="242"/>
        <v>1716341</v>
      </c>
      <c r="G447" s="635">
        <f t="shared" si="242"/>
        <v>2773</v>
      </c>
      <c r="H447" s="635">
        <f t="shared" si="242"/>
        <v>10155</v>
      </c>
      <c r="I447" s="635">
        <f t="shared" si="242"/>
        <v>0</v>
      </c>
      <c r="J447" s="635">
        <f t="shared" si="242"/>
        <v>3398920</v>
      </c>
      <c r="K447" s="635">
        <f t="shared" si="242"/>
        <v>32748</v>
      </c>
      <c r="L447" s="635">
        <f t="shared" si="242"/>
        <v>3431668</v>
      </c>
      <c r="M447" s="635">
        <f t="shared" si="242"/>
        <v>11940131</v>
      </c>
      <c r="N447" s="635">
        <f t="shared" si="242"/>
        <v>765704</v>
      </c>
      <c r="O447" s="635">
        <f t="shared" si="242"/>
        <v>16137503</v>
      </c>
    </row>
    <row r="448" spans="1:16" ht="17.25" thickTop="1" thickBot="1" x14ac:dyDescent="0.3">
      <c r="A448" s="655"/>
      <c r="B448" s="635" t="s">
        <v>363</v>
      </c>
      <c r="C448" s="635">
        <f t="shared" ref="C448:O448" si="243">SUM(C6+C20+C38+C51+C64+C77+C90+C104+C118+C131+C144+C158+C171+C185+C197+C211+C225+C237+C249+C263+C278+C293+C307+C321+C333+C342+C359+C382+C392+C403+C413+C430+C373)</f>
        <v>1396396</v>
      </c>
      <c r="D448" s="635">
        <f t="shared" si="243"/>
        <v>0</v>
      </c>
      <c r="E448" s="635">
        <f t="shared" si="243"/>
        <v>300</v>
      </c>
      <c r="F448" s="635">
        <f t="shared" si="243"/>
        <v>1470745</v>
      </c>
      <c r="G448" s="635">
        <f t="shared" si="243"/>
        <v>0</v>
      </c>
      <c r="H448" s="635">
        <f t="shared" si="243"/>
        <v>1780</v>
      </c>
      <c r="I448" s="635">
        <f t="shared" si="243"/>
        <v>0</v>
      </c>
      <c r="J448" s="635">
        <f t="shared" si="243"/>
        <v>2869221</v>
      </c>
      <c r="K448" s="635">
        <f t="shared" si="243"/>
        <v>0</v>
      </c>
      <c r="L448" s="635">
        <f t="shared" si="243"/>
        <v>2869221</v>
      </c>
      <c r="M448" s="635">
        <f t="shared" si="243"/>
        <v>11867289</v>
      </c>
      <c r="N448" s="635">
        <f t="shared" si="243"/>
        <v>765684</v>
      </c>
      <c r="O448" s="635">
        <f t="shared" si="243"/>
        <v>15502194</v>
      </c>
    </row>
    <row r="449" spans="1:15" ht="16.5" thickTop="1" x14ac:dyDescent="0.25">
      <c r="A449" s="665"/>
      <c r="B449" s="666" t="s">
        <v>132</v>
      </c>
      <c r="C449" s="666"/>
      <c r="D449" s="666"/>
      <c r="E449" s="666"/>
      <c r="F449" s="666"/>
      <c r="G449" s="666"/>
      <c r="H449" s="666"/>
      <c r="I449" s="666"/>
      <c r="J449" s="666"/>
      <c r="K449" s="666"/>
      <c r="L449" s="666"/>
      <c r="M449" s="666"/>
      <c r="N449" s="666"/>
      <c r="O449" s="666"/>
    </row>
    <row r="450" spans="1:15" s="681" customFormat="1" x14ac:dyDescent="0.25">
      <c r="A450" s="667"/>
      <c r="B450" s="668" t="s">
        <v>1197</v>
      </c>
      <c r="C450" s="669">
        <f t="shared" ref="C450:O450" si="244">C10+C24+C42+C55+C68+C81+C94+C108+C122+C135+C148+C162+C175+C189+C201+C215+C253+C267+C282+C297+C311+C325+C346+C363+C435</f>
        <v>0</v>
      </c>
      <c r="D450" s="669">
        <f t="shared" si="244"/>
        <v>0</v>
      </c>
      <c r="E450" s="669">
        <f t="shared" si="244"/>
        <v>0</v>
      </c>
      <c r="F450" s="669">
        <f t="shared" si="244"/>
        <v>0</v>
      </c>
      <c r="G450" s="669">
        <f t="shared" si="244"/>
        <v>0</v>
      </c>
      <c r="H450" s="669">
        <f t="shared" si="244"/>
        <v>0</v>
      </c>
      <c r="I450" s="669">
        <f t="shared" si="244"/>
        <v>0</v>
      </c>
      <c r="J450" s="669">
        <f t="shared" si="244"/>
        <v>0</v>
      </c>
      <c r="K450" s="669">
        <f t="shared" si="244"/>
        <v>0</v>
      </c>
      <c r="L450" s="669">
        <f t="shared" si="244"/>
        <v>0</v>
      </c>
      <c r="M450" s="669">
        <f t="shared" si="244"/>
        <v>2860</v>
      </c>
      <c r="N450" s="669">
        <f t="shared" si="244"/>
        <v>0</v>
      </c>
      <c r="O450" s="669">
        <f t="shared" si="244"/>
        <v>2860</v>
      </c>
    </row>
    <row r="451" spans="1:15" s="681" customFormat="1" ht="31.5" x14ac:dyDescent="0.25">
      <c r="A451" s="667"/>
      <c r="B451" s="668" t="s">
        <v>1200</v>
      </c>
      <c r="C451" s="669">
        <f t="shared" ref="C451:O451" si="245">C25+C43+C56+C69+C82+C95+C109+C283+C298+C312</f>
        <v>0</v>
      </c>
      <c r="D451" s="669">
        <f t="shared" si="245"/>
        <v>0</v>
      </c>
      <c r="E451" s="669">
        <f t="shared" si="245"/>
        <v>0</v>
      </c>
      <c r="F451" s="669">
        <f t="shared" si="245"/>
        <v>0</v>
      </c>
      <c r="G451" s="669">
        <f t="shared" si="245"/>
        <v>0</v>
      </c>
      <c r="H451" s="669">
        <f t="shared" si="245"/>
        <v>0</v>
      </c>
      <c r="I451" s="669">
        <f t="shared" si="245"/>
        <v>0</v>
      </c>
      <c r="J451" s="669">
        <f t="shared" si="245"/>
        <v>0</v>
      </c>
      <c r="K451" s="669">
        <f t="shared" si="245"/>
        <v>0</v>
      </c>
      <c r="L451" s="669">
        <f t="shared" si="245"/>
        <v>0</v>
      </c>
      <c r="M451" s="669">
        <f t="shared" si="245"/>
        <v>15334</v>
      </c>
      <c r="N451" s="669">
        <f t="shared" si="245"/>
        <v>0</v>
      </c>
      <c r="O451" s="669">
        <f t="shared" si="245"/>
        <v>15334</v>
      </c>
    </row>
    <row r="452" spans="1:15" s="681" customFormat="1" x14ac:dyDescent="0.25">
      <c r="A452" s="667"/>
      <c r="B452" s="668" t="s">
        <v>1208</v>
      </c>
      <c r="C452" s="669">
        <f t="shared" ref="C452:O452" si="246">C284</f>
        <v>0</v>
      </c>
      <c r="D452" s="669">
        <f t="shared" si="246"/>
        <v>0</v>
      </c>
      <c r="E452" s="669">
        <f t="shared" si="246"/>
        <v>0</v>
      </c>
      <c r="F452" s="669">
        <f t="shared" si="246"/>
        <v>0</v>
      </c>
      <c r="G452" s="669">
        <f t="shared" si="246"/>
        <v>0</v>
      </c>
      <c r="H452" s="669">
        <f t="shared" si="246"/>
        <v>0</v>
      </c>
      <c r="I452" s="669">
        <f t="shared" si="246"/>
        <v>0</v>
      </c>
      <c r="J452" s="669">
        <f t="shared" si="246"/>
        <v>0</v>
      </c>
      <c r="K452" s="669">
        <f t="shared" si="246"/>
        <v>0</v>
      </c>
      <c r="L452" s="669">
        <f t="shared" si="246"/>
        <v>0</v>
      </c>
      <c r="M452" s="669">
        <f t="shared" si="246"/>
        <v>1157</v>
      </c>
      <c r="N452" s="669">
        <f t="shared" si="246"/>
        <v>0</v>
      </c>
      <c r="O452" s="669">
        <f t="shared" si="246"/>
        <v>1157</v>
      </c>
    </row>
    <row r="453" spans="1:15" s="681" customFormat="1" x14ac:dyDescent="0.25">
      <c r="A453" s="667"/>
      <c r="B453" s="668" t="s">
        <v>1210</v>
      </c>
      <c r="C453" s="669">
        <f t="shared" ref="C453:O453" si="247">C347+C364+C417</f>
        <v>0</v>
      </c>
      <c r="D453" s="669">
        <f t="shared" si="247"/>
        <v>0</v>
      </c>
      <c r="E453" s="669">
        <f t="shared" si="247"/>
        <v>0</v>
      </c>
      <c r="F453" s="669">
        <f t="shared" si="247"/>
        <v>0</v>
      </c>
      <c r="G453" s="669">
        <f t="shared" si="247"/>
        <v>0</v>
      </c>
      <c r="H453" s="669">
        <f t="shared" si="247"/>
        <v>0</v>
      </c>
      <c r="I453" s="669">
        <f t="shared" si="247"/>
        <v>0</v>
      </c>
      <c r="J453" s="669">
        <f t="shared" si="247"/>
        <v>0</v>
      </c>
      <c r="K453" s="669">
        <f t="shared" si="247"/>
        <v>0</v>
      </c>
      <c r="L453" s="669">
        <f t="shared" si="247"/>
        <v>0</v>
      </c>
      <c r="M453" s="669">
        <f t="shared" si="247"/>
        <v>4732</v>
      </c>
      <c r="N453" s="669">
        <f t="shared" si="247"/>
        <v>0</v>
      </c>
      <c r="O453" s="669">
        <f t="shared" si="247"/>
        <v>4732</v>
      </c>
    </row>
    <row r="454" spans="1:15" s="681" customFormat="1" ht="47.25" x14ac:dyDescent="0.25">
      <c r="A454" s="667"/>
      <c r="B454" s="668" t="s">
        <v>1198</v>
      </c>
      <c r="C454" s="669">
        <f t="shared" ref="C454:O454" si="248">C11+C26+C123+C136+C149+C163+C202+C216+C299+C348</f>
        <v>0</v>
      </c>
      <c r="D454" s="669">
        <f t="shared" si="248"/>
        <v>0</v>
      </c>
      <c r="E454" s="669">
        <f t="shared" si="248"/>
        <v>0</v>
      </c>
      <c r="F454" s="669">
        <f t="shared" si="248"/>
        <v>0</v>
      </c>
      <c r="G454" s="669">
        <f t="shared" si="248"/>
        <v>0</v>
      </c>
      <c r="H454" s="669">
        <f t="shared" si="248"/>
        <v>0</v>
      </c>
      <c r="I454" s="669">
        <f t="shared" si="248"/>
        <v>0</v>
      </c>
      <c r="J454" s="669">
        <f t="shared" si="248"/>
        <v>0</v>
      </c>
      <c r="K454" s="669">
        <f t="shared" si="248"/>
        <v>0</v>
      </c>
      <c r="L454" s="669">
        <f t="shared" si="248"/>
        <v>0</v>
      </c>
      <c r="M454" s="669">
        <f t="shared" si="248"/>
        <v>13350</v>
      </c>
      <c r="N454" s="669">
        <f t="shared" si="248"/>
        <v>0</v>
      </c>
      <c r="O454" s="669">
        <f t="shared" si="248"/>
        <v>13350</v>
      </c>
    </row>
    <row r="455" spans="1:15" s="681" customFormat="1" ht="31.5" x14ac:dyDescent="0.25">
      <c r="A455" s="667"/>
      <c r="B455" s="668" t="s">
        <v>935</v>
      </c>
      <c r="C455" s="669">
        <f>C12+C27+C44+C57+C70+C83+C96+C110+C124+C137+C150+C164+C176+C190+C203+C217+C229+C241+C254+C268+C300+C313+C326+C349+C286+C437</f>
        <v>102838</v>
      </c>
      <c r="D455" s="669">
        <f t="shared" ref="D455:O455" si="249">D12+D27+D44+D57+D70+D83+D96+D110+D124+D137+D150+D164+D176+D190+D203+D217+D229+D241+D254+D268+D300+D313+D326+D349+D286+D437</f>
        <v>0</v>
      </c>
      <c r="E455" s="669">
        <f t="shared" si="249"/>
        <v>0</v>
      </c>
      <c r="F455" s="669">
        <f t="shared" si="249"/>
        <v>117704</v>
      </c>
      <c r="G455" s="669">
        <f t="shared" si="249"/>
        <v>32</v>
      </c>
      <c r="H455" s="669">
        <f t="shared" si="249"/>
        <v>7745</v>
      </c>
      <c r="I455" s="669">
        <f t="shared" si="249"/>
        <v>0</v>
      </c>
      <c r="J455" s="669">
        <f t="shared" si="249"/>
        <v>228287</v>
      </c>
      <c r="K455" s="669">
        <f t="shared" si="249"/>
        <v>32</v>
      </c>
      <c r="L455" s="669">
        <f t="shared" si="249"/>
        <v>228319</v>
      </c>
      <c r="M455" s="669">
        <f t="shared" si="249"/>
        <v>722</v>
      </c>
      <c r="N455" s="669">
        <f t="shared" si="249"/>
        <v>0</v>
      </c>
      <c r="O455" s="669">
        <f t="shared" si="249"/>
        <v>229041</v>
      </c>
    </row>
    <row r="456" spans="1:15" s="681" customFormat="1" ht="63" x14ac:dyDescent="0.25">
      <c r="A456" s="667"/>
      <c r="B456" s="668" t="s">
        <v>1215</v>
      </c>
      <c r="C456" s="669">
        <f t="shared" ref="C456:O456" si="250">C28</f>
        <v>0</v>
      </c>
      <c r="D456" s="669">
        <f t="shared" si="250"/>
        <v>0</v>
      </c>
      <c r="E456" s="669">
        <f t="shared" si="250"/>
        <v>0</v>
      </c>
      <c r="F456" s="669">
        <f t="shared" si="250"/>
        <v>0</v>
      </c>
      <c r="G456" s="669">
        <f t="shared" si="250"/>
        <v>0</v>
      </c>
      <c r="H456" s="669">
        <f t="shared" si="250"/>
        <v>0</v>
      </c>
      <c r="I456" s="669">
        <f t="shared" si="250"/>
        <v>0</v>
      </c>
      <c r="J456" s="669">
        <f t="shared" si="250"/>
        <v>0</v>
      </c>
      <c r="K456" s="669">
        <f t="shared" si="250"/>
        <v>0</v>
      </c>
      <c r="L456" s="669">
        <f t="shared" si="250"/>
        <v>0</v>
      </c>
      <c r="M456" s="669">
        <f t="shared" si="250"/>
        <v>-2556</v>
      </c>
      <c r="N456" s="669">
        <f t="shared" si="250"/>
        <v>0</v>
      </c>
      <c r="O456" s="669">
        <f t="shared" si="250"/>
        <v>-2556</v>
      </c>
    </row>
    <row r="457" spans="1:15" s="681" customFormat="1" ht="31.5" x14ac:dyDescent="0.25">
      <c r="A457" s="667"/>
      <c r="B457" s="668" t="s">
        <v>675</v>
      </c>
      <c r="C457" s="669">
        <f>C13+C29+C97+C151+C177+C204+C218+C230+C242+C255+C269+C285+C350+C418+C436</f>
        <v>0</v>
      </c>
      <c r="D457" s="669">
        <f t="shared" ref="D457:O457" si="251">D13+D29+D97+D151+D177+D204+D218+D230+D242+D255+D269+D285+D350+D418+D436</f>
        <v>0</v>
      </c>
      <c r="E457" s="669">
        <f t="shared" si="251"/>
        <v>0</v>
      </c>
      <c r="F457" s="669">
        <f t="shared" si="251"/>
        <v>1108</v>
      </c>
      <c r="G457" s="669">
        <f t="shared" si="251"/>
        <v>0</v>
      </c>
      <c r="H457" s="669">
        <f t="shared" si="251"/>
        <v>0</v>
      </c>
      <c r="I457" s="669">
        <f t="shared" si="251"/>
        <v>0</v>
      </c>
      <c r="J457" s="669">
        <f t="shared" si="251"/>
        <v>1108</v>
      </c>
      <c r="K457" s="669">
        <f t="shared" si="251"/>
        <v>0</v>
      </c>
      <c r="L457" s="669">
        <f t="shared" si="251"/>
        <v>1108</v>
      </c>
      <c r="M457" s="669">
        <f t="shared" si="251"/>
        <v>-1124</v>
      </c>
      <c r="N457" s="669">
        <f t="shared" si="251"/>
        <v>16</v>
      </c>
      <c r="O457" s="669">
        <f t="shared" si="251"/>
        <v>0</v>
      </c>
    </row>
    <row r="458" spans="1:15" s="681" customFormat="1" x14ac:dyDescent="0.25">
      <c r="A458" s="667"/>
      <c r="B458" s="670" t="s">
        <v>133</v>
      </c>
      <c r="C458" s="670"/>
      <c r="D458" s="670"/>
      <c r="E458" s="670"/>
      <c r="F458" s="670"/>
      <c r="G458" s="670"/>
      <c r="H458" s="670"/>
      <c r="I458" s="670"/>
      <c r="J458" s="670"/>
      <c r="K458" s="670"/>
      <c r="L458" s="670"/>
      <c r="M458" s="670"/>
      <c r="N458" s="670"/>
      <c r="O458" s="670"/>
    </row>
    <row r="459" spans="1:15" s="681" customFormat="1" x14ac:dyDescent="0.25">
      <c r="A459" s="667"/>
      <c r="B459" s="668" t="s">
        <v>1197</v>
      </c>
      <c r="C459" s="669">
        <f t="shared" ref="C459:O459" si="252">C395</f>
        <v>0</v>
      </c>
      <c r="D459" s="669">
        <f t="shared" si="252"/>
        <v>0</v>
      </c>
      <c r="E459" s="669">
        <f t="shared" si="252"/>
        <v>0</v>
      </c>
      <c r="F459" s="669">
        <f t="shared" si="252"/>
        <v>0</v>
      </c>
      <c r="G459" s="669">
        <f t="shared" si="252"/>
        <v>0</v>
      </c>
      <c r="H459" s="669">
        <f t="shared" si="252"/>
        <v>0</v>
      </c>
      <c r="I459" s="669">
        <f t="shared" si="252"/>
        <v>0</v>
      </c>
      <c r="J459" s="669">
        <f t="shared" si="252"/>
        <v>0</v>
      </c>
      <c r="K459" s="669">
        <f t="shared" si="252"/>
        <v>0</v>
      </c>
      <c r="L459" s="669">
        <f t="shared" si="252"/>
        <v>0</v>
      </c>
      <c r="M459" s="669">
        <f t="shared" si="252"/>
        <v>87</v>
      </c>
      <c r="N459" s="669">
        <f t="shared" si="252"/>
        <v>0</v>
      </c>
      <c r="O459" s="669">
        <f t="shared" si="252"/>
        <v>87</v>
      </c>
    </row>
    <row r="460" spans="1:15" s="681" customFormat="1" x14ac:dyDescent="0.25">
      <c r="A460" s="667"/>
      <c r="B460" s="668" t="s">
        <v>1210</v>
      </c>
      <c r="C460" s="669">
        <f t="shared" ref="C460:O460" si="253">C336+C376+C385+C396+C406</f>
        <v>0</v>
      </c>
      <c r="D460" s="669">
        <f t="shared" si="253"/>
        <v>0</v>
      </c>
      <c r="E460" s="669">
        <f t="shared" si="253"/>
        <v>0</v>
      </c>
      <c r="F460" s="669">
        <f t="shared" si="253"/>
        <v>0</v>
      </c>
      <c r="G460" s="669">
        <f t="shared" si="253"/>
        <v>0</v>
      </c>
      <c r="H460" s="669">
        <f t="shared" si="253"/>
        <v>0</v>
      </c>
      <c r="I460" s="669">
        <f t="shared" si="253"/>
        <v>0</v>
      </c>
      <c r="J460" s="669">
        <f t="shared" si="253"/>
        <v>0</v>
      </c>
      <c r="K460" s="669">
        <f t="shared" si="253"/>
        <v>0</v>
      </c>
      <c r="L460" s="669">
        <f t="shared" si="253"/>
        <v>0</v>
      </c>
      <c r="M460" s="669">
        <f t="shared" si="253"/>
        <v>3561</v>
      </c>
      <c r="N460" s="669">
        <f t="shared" si="253"/>
        <v>0</v>
      </c>
      <c r="O460" s="669">
        <f t="shared" si="253"/>
        <v>3561</v>
      </c>
    </row>
    <row r="461" spans="1:15" s="681" customFormat="1" x14ac:dyDescent="0.25">
      <c r="A461" s="667"/>
      <c r="B461" s="668" t="s">
        <v>1216</v>
      </c>
      <c r="C461" s="669">
        <f t="shared" ref="C461:O461" si="254">C31+C179+C257+C352+C420</f>
        <v>0</v>
      </c>
      <c r="D461" s="669">
        <f t="shared" si="254"/>
        <v>0</v>
      </c>
      <c r="E461" s="669">
        <f t="shared" si="254"/>
        <v>0</v>
      </c>
      <c r="F461" s="669">
        <f t="shared" si="254"/>
        <v>0</v>
      </c>
      <c r="G461" s="669">
        <f t="shared" si="254"/>
        <v>0</v>
      </c>
      <c r="H461" s="669">
        <f t="shared" si="254"/>
        <v>0</v>
      </c>
      <c r="I461" s="669">
        <f t="shared" si="254"/>
        <v>0</v>
      </c>
      <c r="J461" s="669">
        <f t="shared" si="254"/>
        <v>0</v>
      </c>
      <c r="K461" s="669">
        <f t="shared" si="254"/>
        <v>0</v>
      </c>
      <c r="L461" s="669">
        <f t="shared" si="254"/>
        <v>0</v>
      </c>
      <c r="M461" s="669">
        <f t="shared" si="254"/>
        <v>485</v>
      </c>
      <c r="N461" s="669">
        <f t="shared" si="254"/>
        <v>0</v>
      </c>
      <c r="O461" s="669">
        <f t="shared" si="254"/>
        <v>485</v>
      </c>
    </row>
    <row r="462" spans="1:15" s="681" customFormat="1" x14ac:dyDescent="0.25">
      <c r="A462" s="667"/>
      <c r="B462" s="668" t="s">
        <v>958</v>
      </c>
      <c r="C462" s="669">
        <f t="shared" ref="C462:O462" si="255">C421</f>
        <v>0</v>
      </c>
      <c r="D462" s="669">
        <f t="shared" si="255"/>
        <v>0</v>
      </c>
      <c r="E462" s="669">
        <f t="shared" si="255"/>
        <v>0</v>
      </c>
      <c r="F462" s="669">
        <f t="shared" si="255"/>
        <v>0</v>
      </c>
      <c r="G462" s="669">
        <f t="shared" si="255"/>
        <v>0</v>
      </c>
      <c r="H462" s="669">
        <f t="shared" si="255"/>
        <v>0</v>
      </c>
      <c r="I462" s="669">
        <f t="shared" si="255"/>
        <v>0</v>
      </c>
      <c r="J462" s="669">
        <f t="shared" si="255"/>
        <v>0</v>
      </c>
      <c r="K462" s="669">
        <f t="shared" si="255"/>
        <v>0</v>
      </c>
      <c r="L462" s="669">
        <f t="shared" si="255"/>
        <v>0</v>
      </c>
      <c r="M462" s="669">
        <f t="shared" si="255"/>
        <v>400</v>
      </c>
      <c r="N462" s="669">
        <f t="shared" si="255"/>
        <v>0</v>
      </c>
      <c r="O462" s="669">
        <f t="shared" si="255"/>
        <v>400</v>
      </c>
    </row>
    <row r="463" spans="1:15" s="681" customFormat="1" ht="31.5" x14ac:dyDescent="0.25">
      <c r="A463" s="667"/>
      <c r="B463" s="668" t="s">
        <v>1217</v>
      </c>
      <c r="C463" s="669">
        <f t="shared" ref="C463:O463" si="256">C366</f>
        <v>0</v>
      </c>
      <c r="D463" s="669">
        <f t="shared" si="256"/>
        <v>0</v>
      </c>
      <c r="E463" s="669">
        <f t="shared" si="256"/>
        <v>0</v>
      </c>
      <c r="F463" s="669">
        <f t="shared" si="256"/>
        <v>0</v>
      </c>
      <c r="G463" s="669">
        <f t="shared" si="256"/>
        <v>0</v>
      </c>
      <c r="H463" s="669">
        <f t="shared" si="256"/>
        <v>0</v>
      </c>
      <c r="I463" s="669">
        <f t="shared" si="256"/>
        <v>0</v>
      </c>
      <c r="J463" s="669">
        <f t="shared" si="256"/>
        <v>0</v>
      </c>
      <c r="K463" s="669">
        <f t="shared" si="256"/>
        <v>0</v>
      </c>
      <c r="L463" s="669">
        <f t="shared" si="256"/>
        <v>0</v>
      </c>
      <c r="M463" s="669">
        <f t="shared" si="256"/>
        <v>150</v>
      </c>
      <c r="N463" s="669">
        <f t="shared" si="256"/>
        <v>0</v>
      </c>
      <c r="O463" s="669">
        <f t="shared" si="256"/>
        <v>150</v>
      </c>
    </row>
    <row r="464" spans="1:15" s="681" customFormat="1" x14ac:dyDescent="0.25">
      <c r="A464" s="667"/>
      <c r="B464" s="668" t="s">
        <v>1199</v>
      </c>
      <c r="C464" s="669">
        <f t="shared" ref="C464:O464" si="257">C15+C32+C46+C59+C72+C85+C99+C112+C126+C139+C153+C166+C180+C192+C206+C220+C232+C244+C258+C271+C288+C302+C315+C328+C337+C353+C367+C377+C386+C397+C407+C422</f>
        <v>0</v>
      </c>
      <c r="D464" s="669">
        <f t="shared" si="257"/>
        <v>0</v>
      </c>
      <c r="E464" s="669">
        <f t="shared" si="257"/>
        <v>0</v>
      </c>
      <c r="F464" s="669">
        <f t="shared" si="257"/>
        <v>0</v>
      </c>
      <c r="G464" s="669">
        <f t="shared" si="257"/>
        <v>0</v>
      </c>
      <c r="H464" s="669">
        <f t="shared" si="257"/>
        <v>0</v>
      </c>
      <c r="I464" s="669">
        <f t="shared" si="257"/>
        <v>0</v>
      </c>
      <c r="J464" s="669">
        <f t="shared" si="257"/>
        <v>0</v>
      </c>
      <c r="K464" s="669">
        <f t="shared" si="257"/>
        <v>0</v>
      </c>
      <c r="L464" s="669">
        <f t="shared" si="257"/>
        <v>0</v>
      </c>
      <c r="M464" s="669">
        <f t="shared" si="257"/>
        <v>36989</v>
      </c>
      <c r="N464" s="669">
        <f t="shared" si="257"/>
        <v>0</v>
      </c>
      <c r="O464" s="669">
        <f t="shared" si="257"/>
        <v>36989</v>
      </c>
    </row>
    <row r="465" spans="1:16" s="681" customFormat="1" ht="31.5" x14ac:dyDescent="0.25">
      <c r="A465" s="667"/>
      <c r="B465" s="668" t="s">
        <v>935</v>
      </c>
      <c r="C465" s="669">
        <f t="shared" ref="C465:O465" si="258">C354+C368+C378+C388+C398+C408+C423+C440</f>
        <v>192064</v>
      </c>
      <c r="D465" s="669">
        <f t="shared" si="258"/>
        <v>9975</v>
      </c>
      <c r="E465" s="669">
        <f t="shared" si="258"/>
        <v>0</v>
      </c>
      <c r="F465" s="669">
        <f t="shared" si="258"/>
        <v>124647</v>
      </c>
      <c r="G465" s="669">
        <f t="shared" si="258"/>
        <v>2403</v>
      </c>
      <c r="H465" s="669">
        <f t="shared" si="258"/>
        <v>630</v>
      </c>
      <c r="I465" s="669">
        <f t="shared" si="258"/>
        <v>0</v>
      </c>
      <c r="J465" s="669">
        <f t="shared" si="258"/>
        <v>317341</v>
      </c>
      <c r="K465" s="669">
        <f t="shared" si="258"/>
        <v>12378</v>
      </c>
      <c r="L465" s="669">
        <f t="shared" si="258"/>
        <v>329719</v>
      </c>
      <c r="M465" s="669">
        <f t="shared" si="258"/>
        <v>0</v>
      </c>
      <c r="N465" s="669">
        <f t="shared" si="258"/>
        <v>0</v>
      </c>
      <c r="O465" s="669">
        <f t="shared" si="258"/>
        <v>329719</v>
      </c>
    </row>
    <row r="466" spans="1:16" s="681" customFormat="1" ht="31.5" x14ac:dyDescent="0.25">
      <c r="A466" s="667"/>
      <c r="B466" s="668" t="s">
        <v>675</v>
      </c>
      <c r="C466" s="669">
        <f t="shared" ref="C466:O466" si="259">C338+C387+C399+C409+C439</f>
        <v>-20000</v>
      </c>
      <c r="D466" s="669">
        <f t="shared" si="259"/>
        <v>20000</v>
      </c>
      <c r="E466" s="669">
        <f t="shared" si="259"/>
        <v>0</v>
      </c>
      <c r="F466" s="669">
        <f t="shared" si="259"/>
        <v>2124</v>
      </c>
      <c r="G466" s="669">
        <f t="shared" si="259"/>
        <v>338</v>
      </c>
      <c r="H466" s="669">
        <f t="shared" si="259"/>
        <v>0</v>
      </c>
      <c r="I466" s="669">
        <f t="shared" si="259"/>
        <v>0</v>
      </c>
      <c r="J466" s="669">
        <f t="shared" si="259"/>
        <v>-17876</v>
      </c>
      <c r="K466" s="669">
        <f t="shared" si="259"/>
        <v>20338</v>
      </c>
      <c r="L466" s="669">
        <f t="shared" si="259"/>
        <v>2462</v>
      </c>
      <c r="M466" s="669">
        <f t="shared" si="259"/>
        <v>-2466</v>
      </c>
      <c r="N466" s="669">
        <f t="shared" si="259"/>
        <v>4</v>
      </c>
      <c r="O466" s="669">
        <f t="shared" si="259"/>
        <v>0</v>
      </c>
    </row>
    <row r="467" spans="1:16" s="681" customFormat="1" x14ac:dyDescent="0.25">
      <c r="A467" s="667"/>
      <c r="B467" s="670" t="s">
        <v>349</v>
      </c>
      <c r="C467" s="669"/>
      <c r="D467" s="669"/>
      <c r="E467" s="669"/>
      <c r="F467" s="669"/>
      <c r="G467" s="669"/>
      <c r="H467" s="669"/>
      <c r="I467" s="669"/>
      <c r="J467" s="669"/>
      <c r="K467" s="669"/>
      <c r="L467" s="669"/>
      <c r="M467" s="669"/>
      <c r="N467" s="669"/>
      <c r="O467" s="669"/>
    </row>
    <row r="468" spans="1:16" s="681" customFormat="1" ht="32.25" thickBot="1" x14ac:dyDescent="0.3">
      <c r="A468" s="667"/>
      <c r="B468" s="668" t="s">
        <v>675</v>
      </c>
      <c r="C468" s="669">
        <f t="shared" ref="C468:O468" si="260">C442</f>
        <v>0</v>
      </c>
      <c r="D468" s="669">
        <f t="shared" si="260"/>
        <v>0</v>
      </c>
      <c r="E468" s="669">
        <f t="shared" si="260"/>
        <v>826</v>
      </c>
      <c r="F468" s="669">
        <f t="shared" si="260"/>
        <v>13</v>
      </c>
      <c r="G468" s="669">
        <f t="shared" si="260"/>
        <v>0</v>
      </c>
      <c r="H468" s="669">
        <f t="shared" si="260"/>
        <v>0</v>
      </c>
      <c r="I468" s="669">
        <f t="shared" si="260"/>
        <v>0</v>
      </c>
      <c r="J468" s="669">
        <f t="shared" si="260"/>
        <v>839</v>
      </c>
      <c r="K468" s="669">
        <f t="shared" si="260"/>
        <v>0</v>
      </c>
      <c r="L468" s="669">
        <f t="shared" si="260"/>
        <v>839</v>
      </c>
      <c r="M468" s="669">
        <f t="shared" si="260"/>
        <v>-839</v>
      </c>
      <c r="N468" s="669">
        <f t="shared" si="260"/>
        <v>0</v>
      </c>
      <c r="O468" s="669">
        <f t="shared" si="260"/>
        <v>0</v>
      </c>
    </row>
    <row r="469" spans="1:16" ht="17.25" thickTop="1" thickBot="1" x14ac:dyDescent="0.3">
      <c r="A469" s="626"/>
      <c r="B469" s="635" t="s">
        <v>396</v>
      </c>
      <c r="C469" s="635">
        <f t="shared" ref="C469:O469" si="261">SUM(C448:C468)</f>
        <v>1671298</v>
      </c>
      <c r="D469" s="635">
        <f t="shared" si="261"/>
        <v>29975</v>
      </c>
      <c r="E469" s="635">
        <f t="shared" si="261"/>
        <v>1126</v>
      </c>
      <c r="F469" s="635">
        <f t="shared" si="261"/>
        <v>1716341</v>
      </c>
      <c r="G469" s="635">
        <f t="shared" si="261"/>
        <v>2773</v>
      </c>
      <c r="H469" s="635">
        <f t="shared" si="261"/>
        <v>10155</v>
      </c>
      <c r="I469" s="635">
        <f t="shared" si="261"/>
        <v>0</v>
      </c>
      <c r="J469" s="635">
        <f t="shared" si="261"/>
        <v>3398920</v>
      </c>
      <c r="K469" s="635">
        <f t="shared" si="261"/>
        <v>32748</v>
      </c>
      <c r="L469" s="635">
        <f t="shared" si="261"/>
        <v>3431668</v>
      </c>
      <c r="M469" s="635">
        <f t="shared" si="261"/>
        <v>11940131</v>
      </c>
      <c r="N469" s="635">
        <f t="shared" si="261"/>
        <v>765704</v>
      </c>
      <c r="O469" s="635">
        <f t="shared" si="261"/>
        <v>16137503</v>
      </c>
      <c r="P469" s="671">
        <f>O470+O471+O472</f>
        <v>16137503</v>
      </c>
    </row>
    <row r="470" spans="1:16" ht="17.25" thickTop="1" thickBot="1" x14ac:dyDescent="0.3">
      <c r="A470" s="626"/>
      <c r="B470" s="635" t="s">
        <v>399</v>
      </c>
      <c r="C470" s="635">
        <f t="shared" ref="C470:O470" si="262">SUM(C17+C34+C48+C61+C74+C87+C101+C114+C128+C141+C155+C168+C182+C194+C208+C222+C234+C246+C260+C273+C290+C304+C317+C330+C356+C370+C425+C444)</f>
        <v>922183</v>
      </c>
      <c r="D470" s="635">
        <f t="shared" si="262"/>
        <v>0</v>
      </c>
      <c r="E470" s="635">
        <f t="shared" si="262"/>
        <v>0</v>
      </c>
      <c r="F470" s="635">
        <f t="shared" si="262"/>
        <v>1235001</v>
      </c>
      <c r="G470" s="635">
        <f t="shared" si="262"/>
        <v>32</v>
      </c>
      <c r="H470" s="635">
        <f t="shared" si="262"/>
        <v>8045</v>
      </c>
      <c r="I470" s="635">
        <f t="shared" si="262"/>
        <v>0</v>
      </c>
      <c r="J470" s="635">
        <f t="shared" si="262"/>
        <v>2165229</v>
      </c>
      <c r="K470" s="635">
        <f t="shared" si="262"/>
        <v>32</v>
      </c>
      <c r="L470" s="635">
        <f t="shared" si="262"/>
        <v>2165261</v>
      </c>
      <c r="M470" s="635">
        <f t="shared" si="262"/>
        <v>8839229</v>
      </c>
      <c r="N470" s="635">
        <f t="shared" si="262"/>
        <v>725941</v>
      </c>
      <c r="O470" s="635">
        <f t="shared" si="262"/>
        <v>11730431</v>
      </c>
    </row>
    <row r="471" spans="1:16" ht="17.25" thickTop="1" thickBot="1" x14ac:dyDescent="0.3">
      <c r="A471" s="626"/>
      <c r="B471" s="635" t="s">
        <v>398</v>
      </c>
      <c r="C471" s="635">
        <f t="shared" ref="C471:O471" si="263">SUM(C18+C35+C49+C62+C75+C88+C102+C115+C129+C142+C156+C169+C183+C195+C209+C223+C235+C247+C261+C274+C291+C305+C318+C331+C340+C357+C371+C390+C401+C411+C426+C445+C380)</f>
        <v>673084</v>
      </c>
      <c r="D471" s="635">
        <f t="shared" si="263"/>
        <v>29975</v>
      </c>
      <c r="E471" s="635">
        <f t="shared" si="263"/>
        <v>0</v>
      </c>
      <c r="F471" s="635">
        <f t="shared" si="263"/>
        <v>481327</v>
      </c>
      <c r="G471" s="635">
        <f t="shared" si="263"/>
        <v>2741</v>
      </c>
      <c r="H471" s="635">
        <f t="shared" si="263"/>
        <v>2110</v>
      </c>
      <c r="I471" s="635">
        <f t="shared" si="263"/>
        <v>0</v>
      </c>
      <c r="J471" s="635">
        <f t="shared" si="263"/>
        <v>1156521</v>
      </c>
      <c r="K471" s="635">
        <f t="shared" si="263"/>
        <v>32716</v>
      </c>
      <c r="L471" s="635">
        <f t="shared" si="263"/>
        <v>1189237</v>
      </c>
      <c r="M471" s="635">
        <f t="shared" si="263"/>
        <v>2187462</v>
      </c>
      <c r="N471" s="635">
        <f t="shared" si="263"/>
        <v>39763</v>
      </c>
      <c r="O471" s="635">
        <f t="shared" si="263"/>
        <v>3416462</v>
      </c>
    </row>
    <row r="472" spans="1:16" ht="33" thickTop="1" thickBot="1" x14ac:dyDescent="0.3">
      <c r="A472" s="626"/>
      <c r="B472" s="635" t="s">
        <v>468</v>
      </c>
      <c r="C472" s="635">
        <f t="shared" ref="C472:O472" si="264">SUM(C446)</f>
        <v>76031</v>
      </c>
      <c r="D472" s="635">
        <f t="shared" si="264"/>
        <v>0</v>
      </c>
      <c r="E472" s="635">
        <f t="shared" si="264"/>
        <v>1126</v>
      </c>
      <c r="F472" s="635">
        <f t="shared" si="264"/>
        <v>13</v>
      </c>
      <c r="G472" s="635">
        <f t="shared" si="264"/>
        <v>0</v>
      </c>
      <c r="H472" s="635">
        <f t="shared" si="264"/>
        <v>0</v>
      </c>
      <c r="I472" s="635">
        <f t="shared" si="264"/>
        <v>0</v>
      </c>
      <c r="J472" s="635">
        <f t="shared" si="264"/>
        <v>77170</v>
      </c>
      <c r="K472" s="635">
        <f t="shared" si="264"/>
        <v>0</v>
      </c>
      <c r="L472" s="635">
        <f t="shared" si="264"/>
        <v>77170</v>
      </c>
      <c r="M472" s="635">
        <f t="shared" si="264"/>
        <v>913440</v>
      </c>
      <c r="N472" s="635">
        <f t="shared" si="264"/>
        <v>0</v>
      </c>
      <c r="O472" s="635">
        <f t="shared" si="264"/>
        <v>990610</v>
      </c>
    </row>
    <row r="473" spans="1:16" ht="16.5" thickTop="1" x14ac:dyDescent="0.25"/>
    <row r="475" spans="1:16" x14ac:dyDescent="0.25">
      <c r="C475" s="671">
        <f t="shared" ref="C475:O475" si="265">SUM(C469-C448)</f>
        <v>274902</v>
      </c>
      <c r="D475" s="671">
        <f t="shared" si="265"/>
        <v>29975</v>
      </c>
      <c r="E475" s="671">
        <f t="shared" si="265"/>
        <v>826</v>
      </c>
      <c r="F475" s="671">
        <f t="shared" si="265"/>
        <v>245596</v>
      </c>
      <c r="G475" s="671">
        <f t="shared" si="265"/>
        <v>2773</v>
      </c>
      <c r="H475" s="671">
        <f t="shared" si="265"/>
        <v>8375</v>
      </c>
      <c r="I475" s="671">
        <f t="shared" si="265"/>
        <v>0</v>
      </c>
      <c r="J475" s="671">
        <f t="shared" si="265"/>
        <v>529699</v>
      </c>
      <c r="K475" s="671">
        <f t="shared" si="265"/>
        <v>32748</v>
      </c>
      <c r="L475" s="671">
        <f t="shared" si="265"/>
        <v>562447</v>
      </c>
      <c r="M475" s="671">
        <f t="shared" si="265"/>
        <v>72842</v>
      </c>
      <c r="N475" s="671">
        <f t="shared" si="265"/>
        <v>20</v>
      </c>
      <c r="O475" s="671">
        <f t="shared" si="265"/>
        <v>635309</v>
      </c>
    </row>
    <row r="477" spans="1:16" x14ac:dyDescent="0.25">
      <c r="B477" s="683" t="s">
        <v>879</v>
      </c>
      <c r="C477" s="671">
        <f t="shared" ref="C477:O480" si="266">+C469</f>
        <v>1671298</v>
      </c>
      <c r="D477" s="671">
        <f t="shared" si="266"/>
        <v>29975</v>
      </c>
      <c r="E477" s="671">
        <f t="shared" si="266"/>
        <v>1126</v>
      </c>
      <c r="F477" s="671">
        <f t="shared" si="266"/>
        <v>1716341</v>
      </c>
      <c r="G477" s="671">
        <f t="shared" si="266"/>
        <v>2773</v>
      </c>
      <c r="H477" s="671">
        <f t="shared" si="266"/>
        <v>10155</v>
      </c>
      <c r="I477" s="671">
        <f t="shared" si="266"/>
        <v>0</v>
      </c>
      <c r="J477" s="671">
        <f t="shared" si="266"/>
        <v>3398920</v>
      </c>
      <c r="K477" s="671">
        <f t="shared" si="266"/>
        <v>32748</v>
      </c>
      <c r="L477" s="671">
        <f t="shared" si="266"/>
        <v>3431668</v>
      </c>
      <c r="M477" s="671">
        <f t="shared" si="266"/>
        <v>11940131</v>
      </c>
      <c r="N477" s="671">
        <f t="shared" si="266"/>
        <v>765704</v>
      </c>
      <c r="O477" s="671">
        <f t="shared" si="266"/>
        <v>16137503</v>
      </c>
    </row>
    <row r="478" spans="1:16" x14ac:dyDescent="0.25">
      <c r="B478" s="683" t="s">
        <v>882</v>
      </c>
      <c r="C478" s="671">
        <f>+C470</f>
        <v>922183</v>
      </c>
      <c r="D478" s="671">
        <f>+D470</f>
        <v>0</v>
      </c>
      <c r="F478" s="671">
        <f>+F470</f>
        <v>1235001</v>
      </c>
      <c r="G478" s="671">
        <f t="shared" si="266"/>
        <v>32</v>
      </c>
      <c r="H478" s="671">
        <f t="shared" si="266"/>
        <v>8045</v>
      </c>
      <c r="I478" s="671">
        <f t="shared" si="266"/>
        <v>0</v>
      </c>
      <c r="J478" s="671">
        <f t="shared" si="266"/>
        <v>2165229</v>
      </c>
      <c r="K478" s="671">
        <f t="shared" si="266"/>
        <v>32</v>
      </c>
      <c r="L478" s="671">
        <f t="shared" si="266"/>
        <v>2165261</v>
      </c>
      <c r="M478" s="671">
        <f t="shared" si="266"/>
        <v>8839229</v>
      </c>
      <c r="N478" s="671">
        <f t="shared" si="266"/>
        <v>725941</v>
      </c>
      <c r="O478" s="671">
        <f t="shared" si="266"/>
        <v>11730431</v>
      </c>
    </row>
    <row r="479" spans="1:16" x14ac:dyDescent="0.25">
      <c r="B479" s="683" t="s">
        <v>398</v>
      </c>
      <c r="C479" s="671">
        <f>+C471</f>
        <v>673084</v>
      </c>
      <c r="F479" s="671">
        <f>+F471</f>
        <v>481327</v>
      </c>
      <c r="G479" s="671">
        <f t="shared" si="266"/>
        <v>2741</v>
      </c>
      <c r="H479" s="671">
        <f>+H471</f>
        <v>2110</v>
      </c>
      <c r="I479" s="671">
        <f>+I471-0</f>
        <v>0</v>
      </c>
      <c r="J479" s="671">
        <f>+J471</f>
        <v>1156521</v>
      </c>
      <c r="L479" s="671">
        <f>+L471</f>
        <v>1189237</v>
      </c>
      <c r="M479" s="671">
        <f>+M471</f>
        <v>2187462</v>
      </c>
      <c r="N479" s="671">
        <f>+N471</f>
        <v>39763</v>
      </c>
      <c r="O479" s="671">
        <f>+O471</f>
        <v>3416462</v>
      </c>
    </row>
    <row r="480" spans="1:16" x14ac:dyDescent="0.25">
      <c r="B480" s="683" t="s">
        <v>468</v>
      </c>
      <c r="C480" s="671">
        <f>+C472</f>
        <v>76031</v>
      </c>
      <c r="E480" s="671">
        <f>+E472</f>
        <v>1126</v>
      </c>
      <c r="F480" s="671">
        <f>+F472</f>
        <v>13</v>
      </c>
      <c r="G480" s="671">
        <f t="shared" si="266"/>
        <v>0</v>
      </c>
      <c r="H480" s="671">
        <f>+H472-0</f>
        <v>0</v>
      </c>
      <c r="J480" s="671">
        <f>+J472</f>
        <v>77170</v>
      </c>
      <c r="L480" s="671">
        <f>+L472</f>
        <v>77170</v>
      </c>
      <c r="M480" s="671">
        <f>+M472</f>
        <v>913440</v>
      </c>
      <c r="O480" s="671">
        <f>+O472</f>
        <v>990610</v>
      </c>
    </row>
    <row r="482" spans="2:15" x14ac:dyDescent="0.25">
      <c r="B482" s="683" t="s">
        <v>883</v>
      </c>
    </row>
    <row r="483" spans="2:15" x14ac:dyDescent="0.25">
      <c r="B483" s="683" t="s">
        <v>879</v>
      </c>
      <c r="C483" s="671">
        <f t="shared" ref="C483:O483" si="267">+C475</f>
        <v>274902</v>
      </c>
      <c r="D483" s="671">
        <f t="shared" si="267"/>
        <v>29975</v>
      </c>
      <c r="E483" s="671">
        <f t="shared" si="267"/>
        <v>826</v>
      </c>
      <c r="F483" s="671">
        <f t="shared" si="267"/>
        <v>245596</v>
      </c>
      <c r="G483" s="671">
        <f t="shared" si="267"/>
        <v>2773</v>
      </c>
      <c r="H483" s="671">
        <f t="shared" si="267"/>
        <v>8375</v>
      </c>
      <c r="I483" s="671">
        <f t="shared" si="267"/>
        <v>0</v>
      </c>
      <c r="J483" s="671">
        <f t="shared" si="267"/>
        <v>529699</v>
      </c>
      <c r="K483" s="671">
        <f t="shared" si="267"/>
        <v>32748</v>
      </c>
      <c r="L483" s="671">
        <f t="shared" si="267"/>
        <v>562447</v>
      </c>
      <c r="M483" s="671">
        <f t="shared" si="267"/>
        <v>72842</v>
      </c>
      <c r="N483" s="671">
        <f t="shared" si="267"/>
        <v>20</v>
      </c>
      <c r="O483" s="671">
        <f t="shared" si="267"/>
        <v>635309</v>
      </c>
    </row>
    <row r="484" spans="2:15" x14ac:dyDescent="0.25">
      <c r="B484" s="683" t="s">
        <v>882</v>
      </c>
      <c r="C484" s="671">
        <f>C450+C451+C452+C453+C454+C455+C456+C457</f>
        <v>102838</v>
      </c>
      <c r="D484" s="671">
        <f t="shared" ref="D484:O484" si="268">D450+D451+D452+D453+D454+D455+D456+D457</f>
        <v>0</v>
      </c>
      <c r="E484" s="671">
        <f t="shared" si="268"/>
        <v>0</v>
      </c>
      <c r="F484" s="671">
        <f t="shared" si="268"/>
        <v>118812</v>
      </c>
      <c r="G484" s="671">
        <f t="shared" si="268"/>
        <v>32</v>
      </c>
      <c r="H484" s="671">
        <f t="shared" si="268"/>
        <v>7745</v>
      </c>
      <c r="I484" s="671">
        <f t="shared" si="268"/>
        <v>0</v>
      </c>
      <c r="J484" s="671">
        <f t="shared" si="268"/>
        <v>229395</v>
      </c>
      <c r="K484" s="671">
        <f t="shared" si="268"/>
        <v>32</v>
      </c>
      <c r="L484" s="671">
        <f t="shared" si="268"/>
        <v>229427</v>
      </c>
      <c r="M484" s="671">
        <f t="shared" si="268"/>
        <v>34475</v>
      </c>
      <c r="N484" s="671">
        <f t="shared" si="268"/>
        <v>16</v>
      </c>
      <c r="O484" s="671">
        <f t="shared" si="268"/>
        <v>263918</v>
      </c>
    </row>
    <row r="485" spans="2:15" x14ac:dyDescent="0.25">
      <c r="B485" s="683" t="s">
        <v>398</v>
      </c>
      <c r="C485" s="671">
        <f>C459+C460+C461+C462+C463+C464+C465+C466</f>
        <v>172064</v>
      </c>
      <c r="D485" s="671">
        <f t="shared" ref="D485:O485" si="269">D459+D460+D461+D462+D463+D464+D465+D466</f>
        <v>29975</v>
      </c>
      <c r="E485" s="671">
        <f t="shared" si="269"/>
        <v>0</v>
      </c>
      <c r="F485" s="671">
        <f t="shared" si="269"/>
        <v>126771</v>
      </c>
      <c r="G485" s="671">
        <f t="shared" si="269"/>
        <v>2741</v>
      </c>
      <c r="H485" s="671">
        <f t="shared" si="269"/>
        <v>630</v>
      </c>
      <c r="I485" s="671">
        <f t="shared" si="269"/>
        <v>0</v>
      </c>
      <c r="J485" s="671">
        <f t="shared" si="269"/>
        <v>299465</v>
      </c>
      <c r="K485" s="671">
        <f t="shared" si="269"/>
        <v>32716</v>
      </c>
      <c r="L485" s="671">
        <f t="shared" si="269"/>
        <v>332181</v>
      </c>
      <c r="M485" s="671">
        <f t="shared" si="269"/>
        <v>39206</v>
      </c>
      <c r="N485" s="671">
        <f t="shared" si="269"/>
        <v>4</v>
      </c>
      <c r="O485" s="671">
        <f t="shared" si="269"/>
        <v>371391</v>
      </c>
    </row>
    <row r="486" spans="2:15" x14ac:dyDescent="0.25">
      <c r="B486" s="683" t="s">
        <v>468</v>
      </c>
      <c r="C486" s="671">
        <f>C468</f>
        <v>0</v>
      </c>
      <c r="D486" s="671">
        <f t="shared" ref="D486:O486" si="270">D468</f>
        <v>0</v>
      </c>
      <c r="E486" s="671">
        <f t="shared" si="270"/>
        <v>826</v>
      </c>
      <c r="F486" s="671">
        <f t="shared" si="270"/>
        <v>13</v>
      </c>
      <c r="G486" s="671">
        <f t="shared" si="270"/>
        <v>0</v>
      </c>
      <c r="H486" s="671">
        <f t="shared" si="270"/>
        <v>0</v>
      </c>
      <c r="I486" s="671">
        <f t="shared" si="270"/>
        <v>0</v>
      </c>
      <c r="J486" s="671">
        <f t="shared" si="270"/>
        <v>839</v>
      </c>
      <c r="K486" s="671">
        <f t="shared" si="270"/>
        <v>0</v>
      </c>
      <c r="L486" s="671">
        <f t="shared" si="270"/>
        <v>839</v>
      </c>
      <c r="M486" s="671">
        <f t="shared" si="270"/>
        <v>-839</v>
      </c>
      <c r="N486" s="671">
        <f t="shared" si="270"/>
        <v>0</v>
      </c>
      <c r="O486" s="671">
        <f t="shared" si="270"/>
        <v>0</v>
      </c>
    </row>
    <row r="488" spans="2:15" x14ac:dyDescent="0.25">
      <c r="B488" s="683" t="s">
        <v>884</v>
      </c>
      <c r="C488" s="671">
        <f>C486+C485+C484</f>
        <v>274902</v>
      </c>
      <c r="D488" s="671">
        <f t="shared" ref="D488:O488" si="271">D486+D485+D484</f>
        <v>29975</v>
      </c>
      <c r="E488" s="671">
        <f t="shared" si="271"/>
        <v>826</v>
      </c>
      <c r="F488" s="671">
        <f t="shared" si="271"/>
        <v>245596</v>
      </c>
      <c r="G488" s="671">
        <f t="shared" si="271"/>
        <v>2773</v>
      </c>
      <c r="H488" s="671">
        <f t="shared" si="271"/>
        <v>8375</v>
      </c>
      <c r="I488" s="671">
        <f t="shared" si="271"/>
        <v>0</v>
      </c>
      <c r="J488" s="671">
        <f t="shared" si="271"/>
        <v>529699</v>
      </c>
      <c r="K488" s="671">
        <f t="shared" si="271"/>
        <v>32748</v>
      </c>
      <c r="L488" s="671">
        <f t="shared" si="271"/>
        <v>562447</v>
      </c>
      <c r="M488" s="671">
        <f t="shared" si="271"/>
        <v>72842</v>
      </c>
      <c r="N488" s="671">
        <f t="shared" si="271"/>
        <v>20</v>
      </c>
      <c r="O488" s="671">
        <f t="shared" si="271"/>
        <v>635309</v>
      </c>
    </row>
  </sheetData>
  <mergeCells count="16">
    <mergeCell ref="M1:N1"/>
    <mergeCell ref="O1:O2"/>
    <mergeCell ref="M3:N3"/>
    <mergeCell ref="M4:N4"/>
    <mergeCell ref="G1:G2"/>
    <mergeCell ref="H1:H2"/>
    <mergeCell ref="I1:I2"/>
    <mergeCell ref="J1:J2"/>
    <mergeCell ref="K1:K2"/>
    <mergeCell ref="L1:L2"/>
    <mergeCell ref="F1:F2"/>
    <mergeCell ref="A1:A3"/>
    <mergeCell ref="B1:B2"/>
    <mergeCell ref="C1:C2"/>
    <mergeCell ref="D1:D2"/>
    <mergeCell ref="E1:E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&amp;CKöltségvetési szervek 2019. évi bevételi előirányzata (eFt-ban)&amp;R&amp;"Times New Roman CE,Félkövér"6.melléklet az 6/2020.(II.24.) önkomrányzati rendelethez&amp;"Times New Roman CE,Normál"
7. melléklet az 5/2019 (II.15.) önkormányzati rendelethez</oddHeader>
  </headerFooter>
  <rowBreaks count="2" manualBreakCount="2">
    <brk id="305" max="14" man="1"/>
    <brk id="351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3FC96-9167-4A77-B321-F3AC442A08A5}">
  <sheetPr>
    <tabColor rgb="FF00B0F0"/>
  </sheetPr>
  <dimension ref="A1:P486"/>
  <sheetViews>
    <sheetView view="pageBreakPreview" zoomScale="60" zoomScaleNormal="80" workbookViewId="0">
      <pane ySplit="6" topLeftCell="A304" activePane="bottomLeft" state="frozen"/>
      <selection pane="bottomLeft" activeCell="A317" sqref="A317:O318"/>
    </sheetView>
  </sheetViews>
  <sheetFormatPr defaultColWidth="8" defaultRowHeight="15.75" x14ac:dyDescent="0.25"/>
  <cols>
    <col min="1" max="1" width="3.625" style="794" customWidth="1"/>
    <col min="2" max="2" width="36.75" style="794" customWidth="1"/>
    <col min="3" max="3" width="10.875" style="794" customWidth="1"/>
    <col min="4" max="4" width="15.625" style="794" customWidth="1"/>
    <col min="5" max="5" width="12.125" style="794" customWidth="1"/>
    <col min="6" max="6" width="11" style="794" customWidth="1"/>
    <col min="7" max="7" width="10.875" style="794" customWidth="1"/>
    <col min="8" max="8" width="11.125" style="794" customWidth="1"/>
    <col min="9" max="9" width="12.5" style="794" customWidth="1"/>
    <col min="10" max="10" width="11.5" style="794" customWidth="1"/>
    <col min="11" max="11" width="13.25" style="794" customWidth="1"/>
    <col min="12" max="12" width="13.125" style="794" customWidth="1"/>
    <col min="13" max="13" width="12.625" style="794" customWidth="1"/>
    <col min="14" max="14" width="14" style="794" customWidth="1"/>
    <col min="15" max="15" width="12.75" style="794" customWidth="1"/>
    <col min="16" max="16" width="11.375" style="794" customWidth="1"/>
    <col min="17" max="16384" width="8" style="794"/>
  </cols>
  <sheetData>
    <row r="1" spans="1:15" x14ac:dyDescent="0.25">
      <c r="A1" s="1027"/>
      <c r="B1" s="1027"/>
      <c r="C1" s="1027"/>
      <c r="D1" s="1027"/>
      <c r="E1" s="1027"/>
      <c r="F1" s="1027"/>
      <c r="G1" s="1027"/>
      <c r="H1" s="1027"/>
      <c r="I1" s="1027"/>
      <c r="J1" s="1027"/>
      <c r="K1" s="1027"/>
      <c r="L1" s="1027"/>
      <c r="M1" s="1027"/>
      <c r="N1" s="1027"/>
      <c r="O1" s="1027"/>
    </row>
    <row r="3" spans="1:15" ht="8.25" customHeight="1" thickBot="1" x14ac:dyDescent="0.3"/>
    <row r="4" spans="1:15" ht="80.25" customHeight="1" thickTop="1" thickBot="1" x14ac:dyDescent="0.3">
      <c r="A4" s="684" t="s">
        <v>462</v>
      </c>
      <c r="B4" s="685" t="s">
        <v>461</v>
      </c>
      <c r="C4" s="686" t="s">
        <v>30</v>
      </c>
      <c r="D4" s="687" t="s">
        <v>31</v>
      </c>
      <c r="E4" s="687" t="s">
        <v>56</v>
      </c>
      <c r="F4" s="688" t="s">
        <v>460</v>
      </c>
      <c r="G4" s="687" t="s">
        <v>459</v>
      </c>
      <c r="H4" s="687" t="s">
        <v>470</v>
      </c>
      <c r="I4" s="689" t="s">
        <v>51</v>
      </c>
      <c r="J4" s="690" t="s">
        <v>59</v>
      </c>
      <c r="K4" s="688" t="s">
        <v>257</v>
      </c>
      <c r="L4" s="687" t="s">
        <v>471</v>
      </c>
      <c r="M4" s="687" t="s">
        <v>258</v>
      </c>
      <c r="N4" s="687" t="s">
        <v>458</v>
      </c>
      <c r="O4" s="687" t="s">
        <v>457</v>
      </c>
    </row>
    <row r="5" spans="1:15" ht="17.25" thickTop="1" thickBot="1" x14ac:dyDescent="0.3">
      <c r="A5" s="684"/>
      <c r="B5" s="685"/>
      <c r="C5" s="686" t="s">
        <v>155</v>
      </c>
      <c r="D5" s="687" t="s">
        <v>156</v>
      </c>
      <c r="E5" s="687" t="s">
        <v>157</v>
      </c>
      <c r="F5" s="688" t="s">
        <v>158</v>
      </c>
      <c r="G5" s="687" t="s">
        <v>259</v>
      </c>
      <c r="H5" s="687" t="s">
        <v>456</v>
      </c>
      <c r="I5" s="689" t="s">
        <v>159</v>
      </c>
      <c r="J5" s="690" t="s">
        <v>160</v>
      </c>
      <c r="K5" s="688" t="s">
        <v>161</v>
      </c>
      <c r="L5" s="687" t="s">
        <v>455</v>
      </c>
      <c r="M5" s="687" t="s">
        <v>274</v>
      </c>
      <c r="N5" s="687" t="s">
        <v>210</v>
      </c>
      <c r="O5" s="687" t="s">
        <v>454</v>
      </c>
    </row>
    <row r="6" spans="1:15" s="800" customFormat="1" ht="14.25" thickTop="1" thickBot="1" x14ac:dyDescent="0.25">
      <c r="A6" s="691" t="s">
        <v>138</v>
      </c>
      <c r="B6" s="795" t="s">
        <v>139</v>
      </c>
      <c r="C6" s="796" t="s">
        <v>547</v>
      </c>
      <c r="D6" s="796" t="s">
        <v>141</v>
      </c>
      <c r="E6" s="796" t="s">
        <v>142</v>
      </c>
      <c r="F6" s="797" t="s">
        <v>143</v>
      </c>
      <c r="G6" s="796" t="s">
        <v>436</v>
      </c>
      <c r="H6" s="798" t="s">
        <v>453</v>
      </c>
      <c r="I6" s="799" t="s">
        <v>35</v>
      </c>
      <c r="J6" s="796" t="s">
        <v>36</v>
      </c>
      <c r="K6" s="797" t="s">
        <v>452</v>
      </c>
      <c r="L6" s="796" t="s">
        <v>451</v>
      </c>
      <c r="M6" s="796" t="s">
        <v>450</v>
      </c>
      <c r="N6" s="796" t="s">
        <v>449</v>
      </c>
      <c r="O6" s="796" t="s">
        <v>448</v>
      </c>
    </row>
    <row r="7" spans="1:15" ht="16.5" thickTop="1" x14ac:dyDescent="0.25">
      <c r="A7" s="692" t="s">
        <v>145</v>
      </c>
      <c r="B7" s="801" t="s">
        <v>432</v>
      </c>
      <c r="C7" s="712"/>
      <c r="D7" s="713"/>
      <c r="E7" s="713"/>
      <c r="F7" s="714"/>
      <c r="G7" s="713"/>
      <c r="H7" s="705"/>
      <c r="I7" s="717"/>
      <c r="J7" s="714"/>
      <c r="K7" s="714"/>
      <c r="L7" s="705"/>
      <c r="M7" s="706"/>
      <c r="N7" s="706"/>
      <c r="O7" s="706"/>
    </row>
    <row r="8" spans="1:15" x14ac:dyDescent="0.25">
      <c r="A8" s="692"/>
      <c r="B8" s="774" t="s">
        <v>363</v>
      </c>
      <c r="C8" s="712">
        <f>SUM(C9:C10)</f>
        <v>580125</v>
      </c>
      <c r="D8" s="712">
        <f t="shared" ref="D8:E8" si="0">SUM(D9:D10)</f>
        <v>121118</v>
      </c>
      <c r="E8" s="712">
        <f t="shared" si="0"/>
        <v>219681</v>
      </c>
      <c r="F8" s="714"/>
      <c r="G8" s="713"/>
      <c r="H8" s="705">
        <f>SUM(C8:G8)</f>
        <v>920924</v>
      </c>
      <c r="I8" s="717">
        <v>18083</v>
      </c>
      <c r="J8" s="714"/>
      <c r="K8" s="714"/>
      <c r="L8" s="705">
        <f>SUM(I8:K8)</f>
        <v>18083</v>
      </c>
      <c r="M8" s="706">
        <f>SUM(H8+L8)</f>
        <v>939007</v>
      </c>
      <c r="N8" s="706"/>
      <c r="O8" s="706">
        <f>SUM(M8+N8)</f>
        <v>939007</v>
      </c>
    </row>
    <row r="9" spans="1:15" s="702" customFormat="1" x14ac:dyDescent="0.25">
      <c r="A9" s="693"/>
      <c r="B9" s="694" t="s">
        <v>402</v>
      </c>
      <c r="C9" s="695">
        <v>454098</v>
      </c>
      <c r="D9" s="696">
        <v>93464</v>
      </c>
      <c r="E9" s="696">
        <v>159128</v>
      </c>
      <c r="F9" s="697"/>
      <c r="G9" s="696"/>
      <c r="H9" s="698">
        <f>SUM(C9:G9)</f>
        <v>706690</v>
      </c>
      <c r="I9" s="699">
        <v>18083</v>
      </c>
      <c r="J9" s="700"/>
      <c r="K9" s="700"/>
      <c r="L9" s="698">
        <f>SUM(I9:K9)</f>
        <v>18083</v>
      </c>
      <c r="M9" s="701">
        <f>SUM(H9+L9)</f>
        <v>724773</v>
      </c>
      <c r="N9" s="701"/>
      <c r="O9" s="701">
        <f>SUM(M9+N9)</f>
        <v>724773</v>
      </c>
    </row>
    <row r="10" spans="1:15" x14ac:dyDescent="0.25">
      <c r="A10" s="692"/>
      <c r="B10" s="694" t="s">
        <v>401</v>
      </c>
      <c r="C10" s="695">
        <v>126027</v>
      </c>
      <c r="D10" s="696">
        <v>27654</v>
      </c>
      <c r="E10" s="696">
        <v>60553</v>
      </c>
      <c r="F10" s="714"/>
      <c r="G10" s="713"/>
      <c r="H10" s="698">
        <f>SUM(C10:G10)</f>
        <v>214234</v>
      </c>
      <c r="I10" s="717"/>
      <c r="J10" s="714"/>
      <c r="K10" s="714"/>
      <c r="L10" s="705">
        <f>SUM(I10:K10)</f>
        <v>0</v>
      </c>
      <c r="M10" s="701">
        <f>SUM(H10+L10)</f>
        <v>214234</v>
      </c>
      <c r="N10" s="701"/>
      <c r="O10" s="701">
        <f>SUM(M10+N10)</f>
        <v>214234</v>
      </c>
    </row>
    <row r="11" spans="1:15" s="702" customFormat="1" x14ac:dyDescent="0.25">
      <c r="A11" s="693"/>
      <c r="B11" s="694" t="s">
        <v>132</v>
      </c>
      <c r="C11" s="695"/>
      <c r="D11" s="696"/>
      <c r="E11" s="696"/>
      <c r="F11" s="697"/>
      <c r="G11" s="696"/>
      <c r="H11" s="705"/>
      <c r="I11" s="699"/>
      <c r="J11" s="700"/>
      <c r="K11" s="700"/>
      <c r="L11" s="705">
        <f t="shared" ref="L11:L16" si="1">SUM(I11:K11)</f>
        <v>0</v>
      </c>
      <c r="M11" s="706">
        <f t="shared" ref="M11:M16" si="2">SUM(H11+L11)</f>
        <v>0</v>
      </c>
      <c r="N11" s="701"/>
      <c r="O11" s="706">
        <f t="shared" ref="O11:O16" si="3">SUM(M11+N11)</f>
        <v>0</v>
      </c>
    </row>
    <row r="12" spans="1:15" x14ac:dyDescent="0.25">
      <c r="A12" s="692"/>
      <c r="B12" s="774" t="s">
        <v>1218</v>
      </c>
      <c r="C12" s="712">
        <v>833</v>
      </c>
      <c r="D12" s="713">
        <v>146</v>
      </c>
      <c r="E12" s="713"/>
      <c r="F12" s="714"/>
      <c r="G12" s="713"/>
      <c r="H12" s="705">
        <f t="shared" ref="H12:H16" si="4">SUM(C12:G12)</f>
        <v>979</v>
      </c>
      <c r="I12" s="717"/>
      <c r="J12" s="714"/>
      <c r="K12" s="714"/>
      <c r="L12" s="705">
        <f t="shared" si="1"/>
        <v>0</v>
      </c>
      <c r="M12" s="706">
        <f t="shared" si="2"/>
        <v>979</v>
      </c>
      <c r="N12" s="706"/>
      <c r="O12" s="706">
        <f t="shared" si="3"/>
        <v>979</v>
      </c>
    </row>
    <row r="13" spans="1:15" ht="47.25" x14ac:dyDescent="0.25">
      <c r="A13" s="692"/>
      <c r="B13" s="774" t="s">
        <v>1198</v>
      </c>
      <c r="C13" s="712">
        <v>1027</v>
      </c>
      <c r="D13" s="713">
        <v>181</v>
      </c>
      <c r="E13" s="713"/>
      <c r="F13" s="714"/>
      <c r="G13" s="713"/>
      <c r="H13" s="705">
        <f t="shared" si="4"/>
        <v>1208</v>
      </c>
      <c r="I13" s="715"/>
      <c r="J13" s="716"/>
      <c r="K13" s="716"/>
      <c r="L13" s="705">
        <f t="shared" si="1"/>
        <v>0</v>
      </c>
      <c r="M13" s="706">
        <f t="shared" si="2"/>
        <v>1208</v>
      </c>
      <c r="N13" s="706"/>
      <c r="O13" s="706">
        <f t="shared" si="3"/>
        <v>1208</v>
      </c>
    </row>
    <row r="14" spans="1:15" ht="31.5" x14ac:dyDescent="0.25">
      <c r="A14" s="692"/>
      <c r="B14" s="774" t="s">
        <v>935</v>
      </c>
      <c r="C14" s="712">
        <v>60629</v>
      </c>
      <c r="D14" s="713">
        <v>10787</v>
      </c>
      <c r="E14" s="713">
        <v>26114</v>
      </c>
      <c r="F14" s="714"/>
      <c r="G14" s="713"/>
      <c r="H14" s="705">
        <f t="shared" si="4"/>
        <v>97530</v>
      </c>
      <c r="I14" s="715">
        <v>3048</v>
      </c>
      <c r="J14" s="716"/>
      <c r="K14" s="716"/>
      <c r="L14" s="705">
        <f t="shared" si="1"/>
        <v>3048</v>
      </c>
      <c r="M14" s="706">
        <f t="shared" si="2"/>
        <v>100578</v>
      </c>
      <c r="N14" s="706"/>
      <c r="O14" s="706">
        <f t="shared" si="3"/>
        <v>100578</v>
      </c>
    </row>
    <row r="15" spans="1:15" s="702" customFormat="1" x14ac:dyDescent="0.25">
      <c r="A15" s="693"/>
      <c r="B15" s="694" t="s">
        <v>133</v>
      </c>
      <c r="C15" s="695"/>
      <c r="D15" s="696"/>
      <c r="E15" s="696"/>
      <c r="F15" s="697"/>
      <c r="G15" s="696"/>
      <c r="H15" s="705"/>
      <c r="I15" s="699"/>
      <c r="J15" s="700"/>
      <c r="K15" s="700"/>
      <c r="L15" s="705">
        <f t="shared" si="1"/>
        <v>0</v>
      </c>
      <c r="M15" s="706">
        <f t="shared" si="2"/>
        <v>0</v>
      </c>
      <c r="N15" s="701"/>
      <c r="O15" s="706">
        <f t="shared" si="3"/>
        <v>0</v>
      </c>
    </row>
    <row r="16" spans="1:15" ht="16.5" thickBot="1" x14ac:dyDescent="0.3">
      <c r="A16" s="692"/>
      <c r="B16" s="774" t="s">
        <v>1219</v>
      </c>
      <c r="C16" s="712">
        <v>2042</v>
      </c>
      <c r="D16" s="713">
        <v>664</v>
      </c>
      <c r="E16" s="713"/>
      <c r="F16" s="714"/>
      <c r="G16" s="713"/>
      <c r="H16" s="705">
        <f t="shared" si="4"/>
        <v>2706</v>
      </c>
      <c r="I16" s="715"/>
      <c r="J16" s="716"/>
      <c r="K16" s="716"/>
      <c r="L16" s="705">
        <f t="shared" si="1"/>
        <v>0</v>
      </c>
      <c r="M16" s="706">
        <f t="shared" si="2"/>
        <v>2706</v>
      </c>
      <c r="N16" s="706"/>
      <c r="O16" s="706">
        <f t="shared" si="3"/>
        <v>2706</v>
      </c>
    </row>
    <row r="17" spans="1:16" ht="17.25" thickTop="1" thickBot="1" x14ac:dyDescent="0.3">
      <c r="A17" s="703"/>
      <c r="B17" s="802" t="s">
        <v>400</v>
      </c>
      <c r="C17" s="803">
        <f>+C8+C12+C16+C13+C14</f>
        <v>644656</v>
      </c>
      <c r="D17" s="803">
        <f t="shared" ref="D17:O17" si="5">+D8+D12+D16+D13+D14</f>
        <v>132896</v>
      </c>
      <c r="E17" s="803">
        <f t="shared" si="5"/>
        <v>245795</v>
      </c>
      <c r="F17" s="803">
        <f t="shared" si="5"/>
        <v>0</v>
      </c>
      <c r="G17" s="803">
        <f t="shared" si="5"/>
        <v>0</v>
      </c>
      <c r="H17" s="803">
        <f t="shared" si="5"/>
        <v>1023347</v>
      </c>
      <c r="I17" s="803">
        <f t="shared" si="5"/>
        <v>21131</v>
      </c>
      <c r="J17" s="803">
        <f t="shared" si="5"/>
        <v>0</v>
      </c>
      <c r="K17" s="803">
        <f t="shared" si="5"/>
        <v>0</v>
      </c>
      <c r="L17" s="803">
        <f t="shared" si="5"/>
        <v>21131</v>
      </c>
      <c r="M17" s="803">
        <f t="shared" si="5"/>
        <v>1044478</v>
      </c>
      <c r="N17" s="803">
        <f t="shared" si="5"/>
        <v>0</v>
      </c>
      <c r="O17" s="803">
        <f t="shared" si="5"/>
        <v>1044478</v>
      </c>
      <c r="P17" s="683">
        <f>+O18+O19</f>
        <v>1044478</v>
      </c>
    </row>
    <row r="18" spans="1:16" ht="17.25" thickTop="1" thickBot="1" x14ac:dyDescent="0.3">
      <c r="A18" s="703"/>
      <c r="B18" s="802" t="s">
        <v>399</v>
      </c>
      <c r="C18" s="803">
        <f t="shared" ref="C18:O18" si="6">+C9+C12+C13+C14</f>
        <v>516587</v>
      </c>
      <c r="D18" s="803">
        <f t="shared" si="6"/>
        <v>104578</v>
      </c>
      <c r="E18" s="803">
        <f t="shared" si="6"/>
        <v>185242</v>
      </c>
      <c r="F18" s="803">
        <f t="shared" si="6"/>
        <v>0</v>
      </c>
      <c r="G18" s="803">
        <f t="shared" si="6"/>
        <v>0</v>
      </c>
      <c r="H18" s="803">
        <f t="shared" si="6"/>
        <v>806407</v>
      </c>
      <c r="I18" s="803">
        <f t="shared" si="6"/>
        <v>21131</v>
      </c>
      <c r="J18" s="803">
        <f t="shared" si="6"/>
        <v>0</v>
      </c>
      <c r="K18" s="803">
        <f t="shared" si="6"/>
        <v>0</v>
      </c>
      <c r="L18" s="803">
        <f t="shared" si="6"/>
        <v>21131</v>
      </c>
      <c r="M18" s="803">
        <f t="shared" si="6"/>
        <v>827538</v>
      </c>
      <c r="N18" s="803">
        <f t="shared" si="6"/>
        <v>0</v>
      </c>
      <c r="O18" s="803">
        <f t="shared" si="6"/>
        <v>827538</v>
      </c>
      <c r="P18" s="683"/>
    </row>
    <row r="19" spans="1:16" ht="17.25" thickTop="1" thickBot="1" x14ac:dyDescent="0.3">
      <c r="A19" s="703"/>
      <c r="B19" s="802" t="s">
        <v>398</v>
      </c>
      <c r="C19" s="803">
        <f>+C10+C16</f>
        <v>128069</v>
      </c>
      <c r="D19" s="803">
        <f t="shared" ref="D19:O19" si="7">+D10+D16</f>
        <v>28318</v>
      </c>
      <c r="E19" s="803">
        <f t="shared" si="7"/>
        <v>60553</v>
      </c>
      <c r="F19" s="803">
        <f t="shared" si="7"/>
        <v>0</v>
      </c>
      <c r="G19" s="803">
        <f t="shared" si="7"/>
        <v>0</v>
      </c>
      <c r="H19" s="803">
        <f t="shared" si="7"/>
        <v>216940</v>
      </c>
      <c r="I19" s="803">
        <f t="shared" si="7"/>
        <v>0</v>
      </c>
      <c r="J19" s="803">
        <f t="shared" si="7"/>
        <v>0</v>
      </c>
      <c r="K19" s="803">
        <f t="shared" si="7"/>
        <v>0</v>
      </c>
      <c r="L19" s="803">
        <f t="shared" si="7"/>
        <v>0</v>
      </c>
      <c r="M19" s="803">
        <f t="shared" si="7"/>
        <v>216940</v>
      </c>
      <c r="N19" s="803">
        <f t="shared" si="7"/>
        <v>0</v>
      </c>
      <c r="O19" s="803">
        <f t="shared" si="7"/>
        <v>216940</v>
      </c>
    </row>
    <row r="20" spans="1:16" ht="32.25" thickTop="1" x14ac:dyDescent="0.25">
      <c r="A20" s="692" t="s">
        <v>146</v>
      </c>
      <c r="B20" s="801" t="s">
        <v>431</v>
      </c>
      <c r="C20" s="712"/>
      <c r="D20" s="713"/>
      <c r="E20" s="713"/>
      <c r="F20" s="714"/>
      <c r="G20" s="713"/>
      <c r="H20" s="705"/>
      <c r="I20" s="717"/>
      <c r="J20" s="714"/>
      <c r="K20" s="714"/>
      <c r="L20" s="705"/>
      <c r="M20" s="706"/>
      <c r="N20" s="706"/>
      <c r="O20" s="706"/>
    </row>
    <row r="21" spans="1:16" x14ac:dyDescent="0.25">
      <c r="A21" s="692"/>
      <c r="B21" s="774" t="s">
        <v>363</v>
      </c>
      <c r="C21" s="712">
        <f>SUM(C22:C23)</f>
        <v>95399</v>
      </c>
      <c r="D21" s="712">
        <f t="shared" ref="D21:E21" si="8">SUM(D22:D23)</f>
        <v>18402</v>
      </c>
      <c r="E21" s="712">
        <f t="shared" si="8"/>
        <v>30192</v>
      </c>
      <c r="F21" s="714"/>
      <c r="G21" s="713"/>
      <c r="H21" s="705">
        <f>SUM(C21:G21)</f>
        <v>143993</v>
      </c>
      <c r="I21" s="717">
        <v>633</v>
      </c>
      <c r="J21" s="714"/>
      <c r="K21" s="714"/>
      <c r="L21" s="705">
        <f>SUM(I21:K21)</f>
        <v>633</v>
      </c>
      <c r="M21" s="706">
        <f>SUM(H21+L21)</f>
        <v>144626</v>
      </c>
      <c r="N21" s="706"/>
      <c r="O21" s="706">
        <f>SUM(M21+N21)</f>
        <v>144626</v>
      </c>
    </row>
    <row r="22" spans="1:16" s="702" customFormat="1" x14ac:dyDescent="0.25">
      <c r="A22" s="693"/>
      <c r="B22" s="694" t="s">
        <v>402</v>
      </c>
      <c r="C22" s="695">
        <v>48496</v>
      </c>
      <c r="D22" s="696">
        <v>9239</v>
      </c>
      <c r="E22" s="696">
        <v>14762</v>
      </c>
      <c r="F22" s="697"/>
      <c r="G22" s="696"/>
      <c r="H22" s="698">
        <f>SUM(C22:G22)</f>
        <v>72497</v>
      </c>
      <c r="I22" s="704">
        <v>633</v>
      </c>
      <c r="J22" s="697"/>
      <c r="K22" s="697"/>
      <c r="L22" s="698">
        <f>SUM(I22:K22)</f>
        <v>633</v>
      </c>
      <c r="M22" s="701">
        <f>SUM(H22+L22)</f>
        <v>73130</v>
      </c>
      <c r="N22" s="701"/>
      <c r="O22" s="701">
        <f>SUM(M22+N22)</f>
        <v>73130</v>
      </c>
    </row>
    <row r="23" spans="1:16" x14ac:dyDescent="0.25">
      <c r="A23" s="692"/>
      <c r="B23" s="694" t="s">
        <v>401</v>
      </c>
      <c r="C23" s="695">
        <v>46903</v>
      </c>
      <c r="D23" s="696">
        <v>9163</v>
      </c>
      <c r="E23" s="696">
        <v>15430</v>
      </c>
      <c r="F23" s="697"/>
      <c r="G23" s="696"/>
      <c r="H23" s="698">
        <f>SUM(C23:G23)</f>
        <v>71496</v>
      </c>
      <c r="I23" s="704"/>
      <c r="J23" s="697"/>
      <c r="K23" s="697"/>
      <c r="L23" s="698">
        <f>SUM(I23:K23)</f>
        <v>0</v>
      </c>
      <c r="M23" s="701">
        <f>SUM(H23+L23)</f>
        <v>71496</v>
      </c>
      <c r="N23" s="701"/>
      <c r="O23" s="701">
        <f>SUM(M23+N23)</f>
        <v>71496</v>
      </c>
    </row>
    <row r="24" spans="1:16" x14ac:dyDescent="0.25">
      <c r="A24" s="692"/>
      <c r="B24" s="694" t="s">
        <v>132</v>
      </c>
      <c r="C24" s="712"/>
      <c r="D24" s="713"/>
      <c r="E24" s="713"/>
      <c r="F24" s="714"/>
      <c r="G24" s="713"/>
      <c r="H24" s="698"/>
      <c r="I24" s="717"/>
      <c r="J24" s="714"/>
      <c r="K24" s="714"/>
      <c r="L24" s="698"/>
      <c r="M24" s="701"/>
      <c r="N24" s="706"/>
      <c r="O24" s="701"/>
    </row>
    <row r="25" spans="1:16" x14ac:dyDescent="0.25">
      <c r="A25" s="692"/>
      <c r="B25" s="774" t="s">
        <v>1218</v>
      </c>
      <c r="C25" s="712">
        <v>107</v>
      </c>
      <c r="D25" s="713">
        <v>19</v>
      </c>
      <c r="E25" s="713"/>
      <c r="F25" s="714"/>
      <c r="G25" s="713"/>
      <c r="H25" s="705">
        <f t="shared" ref="H25:H33" si="9">SUM(C25:G25)</f>
        <v>126</v>
      </c>
      <c r="I25" s="717"/>
      <c r="J25" s="714"/>
      <c r="K25" s="714"/>
      <c r="L25" s="705">
        <f t="shared" ref="L25:L33" si="10">SUM(I25:K25)</f>
        <v>0</v>
      </c>
      <c r="M25" s="706">
        <f t="shared" ref="M25:M33" si="11">SUM(H25+L25)</f>
        <v>126</v>
      </c>
      <c r="N25" s="706"/>
      <c r="O25" s="706">
        <f t="shared" ref="O25:O33" si="12">SUM(M25+N25)</f>
        <v>126</v>
      </c>
    </row>
    <row r="26" spans="1:16" x14ac:dyDescent="0.25">
      <c r="A26" s="692"/>
      <c r="B26" s="774" t="s">
        <v>1220</v>
      </c>
      <c r="C26" s="712">
        <v>1000</v>
      </c>
      <c r="D26" s="713">
        <v>175</v>
      </c>
      <c r="E26" s="713"/>
      <c r="F26" s="714"/>
      <c r="G26" s="713"/>
      <c r="H26" s="705">
        <f t="shared" si="9"/>
        <v>1175</v>
      </c>
      <c r="I26" s="717"/>
      <c r="J26" s="714"/>
      <c r="K26" s="714"/>
      <c r="L26" s="705">
        <f t="shared" si="10"/>
        <v>0</v>
      </c>
      <c r="M26" s="706">
        <f t="shared" si="11"/>
        <v>1175</v>
      </c>
      <c r="N26" s="706"/>
      <c r="O26" s="706">
        <f t="shared" si="12"/>
        <v>1175</v>
      </c>
    </row>
    <row r="27" spans="1:16" ht="47.25" x14ac:dyDescent="0.25">
      <c r="A27" s="692"/>
      <c r="B27" s="774" t="s">
        <v>1198</v>
      </c>
      <c r="C27" s="712">
        <v>14</v>
      </c>
      <c r="D27" s="713">
        <v>2</v>
      </c>
      <c r="E27" s="713"/>
      <c r="F27" s="714"/>
      <c r="G27" s="713"/>
      <c r="H27" s="705">
        <f t="shared" si="9"/>
        <v>16</v>
      </c>
      <c r="I27" s="717"/>
      <c r="J27" s="714"/>
      <c r="K27" s="714"/>
      <c r="L27" s="705">
        <f t="shared" si="10"/>
        <v>0</v>
      </c>
      <c r="M27" s="706">
        <f t="shared" si="11"/>
        <v>16</v>
      </c>
      <c r="N27" s="706"/>
      <c r="O27" s="706">
        <f t="shared" si="12"/>
        <v>16</v>
      </c>
    </row>
    <row r="28" spans="1:16" ht="31.5" x14ac:dyDescent="0.25">
      <c r="A28" s="692"/>
      <c r="B28" s="774" t="s">
        <v>935</v>
      </c>
      <c r="C28" s="712"/>
      <c r="D28" s="713"/>
      <c r="E28" s="713">
        <v>2272</v>
      </c>
      <c r="F28" s="714"/>
      <c r="G28" s="713"/>
      <c r="H28" s="705">
        <f t="shared" si="9"/>
        <v>2272</v>
      </c>
      <c r="I28" s="717">
        <v>389</v>
      </c>
      <c r="J28" s="714"/>
      <c r="K28" s="714"/>
      <c r="L28" s="705">
        <f t="shared" si="10"/>
        <v>389</v>
      </c>
      <c r="M28" s="706">
        <f t="shared" si="11"/>
        <v>2661</v>
      </c>
      <c r="N28" s="706"/>
      <c r="O28" s="706">
        <f t="shared" si="12"/>
        <v>2661</v>
      </c>
    </row>
    <row r="29" spans="1:16" ht="47.25" x14ac:dyDescent="0.25">
      <c r="A29" s="692"/>
      <c r="B29" s="774" t="s">
        <v>1221</v>
      </c>
      <c r="C29" s="712"/>
      <c r="D29" s="713"/>
      <c r="E29" s="713">
        <v>-2556</v>
      </c>
      <c r="F29" s="714"/>
      <c r="G29" s="713"/>
      <c r="H29" s="705">
        <f t="shared" si="9"/>
        <v>-2556</v>
      </c>
      <c r="I29" s="717"/>
      <c r="J29" s="714"/>
      <c r="K29" s="714"/>
      <c r="L29" s="705">
        <f t="shared" si="10"/>
        <v>0</v>
      </c>
      <c r="M29" s="706">
        <f t="shared" si="11"/>
        <v>-2556</v>
      </c>
      <c r="N29" s="706"/>
      <c r="O29" s="706">
        <f t="shared" si="12"/>
        <v>-2556</v>
      </c>
    </row>
    <row r="30" spans="1:16" ht="31.5" x14ac:dyDescent="0.25">
      <c r="A30" s="692"/>
      <c r="B30" s="774" t="s">
        <v>675</v>
      </c>
      <c r="C30" s="712"/>
      <c r="D30" s="713"/>
      <c r="E30" s="713">
        <v>2</v>
      </c>
      <c r="F30" s="714"/>
      <c r="G30" s="713"/>
      <c r="H30" s="705">
        <f t="shared" si="9"/>
        <v>2</v>
      </c>
      <c r="I30" s="717">
        <v>-2</v>
      </c>
      <c r="J30" s="714"/>
      <c r="K30" s="714"/>
      <c r="L30" s="705">
        <f t="shared" si="10"/>
        <v>-2</v>
      </c>
      <c r="M30" s="706">
        <f t="shared" si="11"/>
        <v>0</v>
      </c>
      <c r="N30" s="706"/>
      <c r="O30" s="706">
        <f t="shared" si="12"/>
        <v>0</v>
      </c>
    </row>
    <row r="31" spans="1:16" x14ac:dyDescent="0.25">
      <c r="A31" s="692"/>
      <c r="B31" s="694" t="s">
        <v>133</v>
      </c>
      <c r="C31" s="712"/>
      <c r="D31" s="713"/>
      <c r="E31" s="713"/>
      <c r="F31" s="714"/>
      <c r="G31" s="713"/>
      <c r="H31" s="698"/>
      <c r="I31" s="717"/>
      <c r="J31" s="714"/>
      <c r="K31" s="714"/>
      <c r="L31" s="705"/>
      <c r="M31" s="706"/>
      <c r="N31" s="706"/>
      <c r="O31" s="706"/>
    </row>
    <row r="32" spans="1:16" ht="78.75" x14ac:dyDescent="0.25">
      <c r="A32" s="692"/>
      <c r="B32" s="774" t="s">
        <v>1222</v>
      </c>
      <c r="C32" s="712"/>
      <c r="D32" s="713"/>
      <c r="E32" s="713">
        <v>150</v>
      </c>
      <c r="F32" s="714"/>
      <c r="G32" s="713"/>
      <c r="H32" s="705">
        <f t="shared" si="9"/>
        <v>150</v>
      </c>
      <c r="I32" s="717"/>
      <c r="J32" s="714"/>
      <c r="K32" s="714"/>
      <c r="L32" s="705">
        <f t="shared" si="10"/>
        <v>0</v>
      </c>
      <c r="M32" s="706">
        <f t="shared" si="11"/>
        <v>150</v>
      </c>
      <c r="N32" s="706"/>
      <c r="O32" s="706">
        <f t="shared" si="12"/>
        <v>150</v>
      </c>
    </row>
    <row r="33" spans="1:16" ht="16.5" thickBot="1" x14ac:dyDescent="0.3">
      <c r="A33" s="692"/>
      <c r="B33" s="774" t="s">
        <v>1219</v>
      </c>
      <c r="C33" s="712">
        <v>444</v>
      </c>
      <c r="D33" s="713">
        <v>144</v>
      </c>
      <c r="E33" s="713"/>
      <c r="F33" s="714"/>
      <c r="G33" s="713"/>
      <c r="H33" s="705">
        <f t="shared" si="9"/>
        <v>588</v>
      </c>
      <c r="I33" s="717"/>
      <c r="J33" s="714"/>
      <c r="K33" s="714"/>
      <c r="L33" s="705">
        <f t="shared" si="10"/>
        <v>0</v>
      </c>
      <c r="M33" s="706">
        <f t="shared" si="11"/>
        <v>588</v>
      </c>
      <c r="N33" s="706"/>
      <c r="O33" s="706">
        <f t="shared" si="12"/>
        <v>588</v>
      </c>
    </row>
    <row r="34" spans="1:16" ht="17.25" thickTop="1" thickBot="1" x14ac:dyDescent="0.3">
      <c r="A34" s="703"/>
      <c r="B34" s="802" t="s">
        <v>400</v>
      </c>
      <c r="C34" s="803">
        <f>+C21+C25+C32+C26+C27+C33+C28+C29+C30</f>
        <v>96964</v>
      </c>
      <c r="D34" s="803">
        <f t="shared" ref="D34:O34" si="13">+D21+D25+D32+D26+D27+D33+D28+D29+D30</f>
        <v>18742</v>
      </c>
      <c r="E34" s="803">
        <f t="shared" si="13"/>
        <v>30060</v>
      </c>
      <c r="F34" s="803">
        <f t="shared" si="13"/>
        <v>0</v>
      </c>
      <c r="G34" s="803">
        <f t="shared" si="13"/>
        <v>0</v>
      </c>
      <c r="H34" s="803">
        <f t="shared" si="13"/>
        <v>145766</v>
      </c>
      <c r="I34" s="803">
        <f t="shared" si="13"/>
        <v>1020</v>
      </c>
      <c r="J34" s="803">
        <f t="shared" si="13"/>
        <v>0</v>
      </c>
      <c r="K34" s="803">
        <f t="shared" si="13"/>
        <v>0</v>
      </c>
      <c r="L34" s="803">
        <f t="shared" si="13"/>
        <v>1020</v>
      </c>
      <c r="M34" s="803">
        <f t="shared" si="13"/>
        <v>146786</v>
      </c>
      <c r="N34" s="803">
        <f t="shared" si="13"/>
        <v>0</v>
      </c>
      <c r="O34" s="803">
        <f t="shared" si="13"/>
        <v>146786</v>
      </c>
    </row>
    <row r="35" spans="1:16" ht="17.25" thickTop="1" thickBot="1" x14ac:dyDescent="0.3">
      <c r="A35" s="703"/>
      <c r="B35" s="802" t="s">
        <v>399</v>
      </c>
      <c r="C35" s="803">
        <f t="shared" ref="C35:O35" si="14">+C22+C25+C26+C27+C28+C29+C30</f>
        <v>49617</v>
      </c>
      <c r="D35" s="803">
        <f t="shared" si="14"/>
        <v>9435</v>
      </c>
      <c r="E35" s="803">
        <f t="shared" si="14"/>
        <v>14480</v>
      </c>
      <c r="F35" s="803">
        <f t="shared" si="14"/>
        <v>0</v>
      </c>
      <c r="G35" s="803">
        <f t="shared" si="14"/>
        <v>0</v>
      </c>
      <c r="H35" s="803">
        <f t="shared" si="14"/>
        <v>73532</v>
      </c>
      <c r="I35" s="803">
        <f t="shared" si="14"/>
        <v>1020</v>
      </c>
      <c r="J35" s="803">
        <f t="shared" si="14"/>
        <v>0</v>
      </c>
      <c r="K35" s="803">
        <f t="shared" si="14"/>
        <v>0</v>
      </c>
      <c r="L35" s="803">
        <f t="shared" si="14"/>
        <v>1020</v>
      </c>
      <c r="M35" s="803">
        <f t="shared" si="14"/>
        <v>74552</v>
      </c>
      <c r="N35" s="803">
        <f t="shared" si="14"/>
        <v>0</v>
      </c>
      <c r="O35" s="803">
        <f t="shared" si="14"/>
        <v>74552</v>
      </c>
      <c r="P35" s="683">
        <f>+O35+O36</f>
        <v>146786</v>
      </c>
    </row>
    <row r="36" spans="1:16" ht="17.25" thickTop="1" thickBot="1" x14ac:dyDescent="0.3">
      <c r="A36" s="703"/>
      <c r="B36" s="802" t="s">
        <v>398</v>
      </c>
      <c r="C36" s="803">
        <f>+C23+C32+C33</f>
        <v>47347</v>
      </c>
      <c r="D36" s="803">
        <f t="shared" ref="D36:O36" si="15">+D23+D32+D33</f>
        <v>9307</v>
      </c>
      <c r="E36" s="803">
        <f t="shared" si="15"/>
        <v>15580</v>
      </c>
      <c r="F36" s="803">
        <f t="shared" si="15"/>
        <v>0</v>
      </c>
      <c r="G36" s="803">
        <f t="shared" si="15"/>
        <v>0</v>
      </c>
      <c r="H36" s="803">
        <f t="shared" si="15"/>
        <v>72234</v>
      </c>
      <c r="I36" s="803">
        <f t="shared" si="15"/>
        <v>0</v>
      </c>
      <c r="J36" s="803">
        <f t="shared" si="15"/>
        <v>0</v>
      </c>
      <c r="K36" s="803">
        <f t="shared" si="15"/>
        <v>0</v>
      </c>
      <c r="L36" s="803">
        <f t="shared" si="15"/>
        <v>0</v>
      </c>
      <c r="M36" s="803">
        <f t="shared" si="15"/>
        <v>72234</v>
      </c>
      <c r="N36" s="803">
        <f t="shared" si="15"/>
        <v>0</v>
      </c>
      <c r="O36" s="803">
        <f t="shared" si="15"/>
        <v>72234</v>
      </c>
    </row>
    <row r="37" spans="1:16" ht="17.25" thickTop="1" thickBot="1" x14ac:dyDescent="0.3">
      <c r="A37" s="703"/>
      <c r="B37" s="802" t="s">
        <v>430</v>
      </c>
      <c r="C37" s="803">
        <f t="shared" ref="C37:O37" si="16">SUM(C17+C34)</f>
        <v>741620</v>
      </c>
      <c r="D37" s="803">
        <f t="shared" si="16"/>
        <v>151638</v>
      </c>
      <c r="E37" s="803">
        <f t="shared" si="16"/>
        <v>275855</v>
      </c>
      <c r="F37" s="803">
        <f t="shared" si="16"/>
        <v>0</v>
      </c>
      <c r="G37" s="803">
        <f t="shared" si="16"/>
        <v>0</v>
      </c>
      <c r="H37" s="803">
        <f t="shared" si="16"/>
        <v>1169113</v>
      </c>
      <c r="I37" s="803">
        <f t="shared" si="16"/>
        <v>22151</v>
      </c>
      <c r="J37" s="803">
        <f t="shared" si="16"/>
        <v>0</v>
      </c>
      <c r="K37" s="803">
        <f t="shared" si="16"/>
        <v>0</v>
      </c>
      <c r="L37" s="803">
        <f t="shared" si="16"/>
        <v>22151</v>
      </c>
      <c r="M37" s="803">
        <f t="shared" si="16"/>
        <v>1191264</v>
      </c>
      <c r="N37" s="803">
        <f t="shared" si="16"/>
        <v>0</v>
      </c>
      <c r="O37" s="803">
        <f t="shared" si="16"/>
        <v>1191264</v>
      </c>
    </row>
    <row r="38" spans="1:16" ht="16.5" thickTop="1" x14ac:dyDescent="0.25">
      <c r="A38" s="692" t="s">
        <v>147</v>
      </c>
      <c r="B38" s="804" t="s">
        <v>429</v>
      </c>
      <c r="C38" s="737"/>
      <c r="D38" s="738"/>
      <c r="E38" s="713"/>
      <c r="F38" s="713"/>
      <c r="G38" s="738"/>
      <c r="H38" s="705"/>
      <c r="I38" s="740"/>
      <c r="J38" s="739"/>
      <c r="K38" s="739"/>
      <c r="L38" s="705"/>
      <c r="M38" s="710"/>
      <c r="N38" s="710"/>
      <c r="O38" s="710"/>
    </row>
    <row r="39" spans="1:16" x14ac:dyDescent="0.25">
      <c r="A39" s="692"/>
      <c r="B39" s="774" t="s">
        <v>363</v>
      </c>
      <c r="C39" s="737">
        <v>75216</v>
      </c>
      <c r="D39" s="738">
        <v>14701</v>
      </c>
      <c r="E39" s="713">
        <v>15918</v>
      </c>
      <c r="F39" s="738"/>
      <c r="G39" s="713"/>
      <c r="H39" s="705">
        <f>SUM(C39:G39)</f>
        <v>105835</v>
      </c>
      <c r="I39" s="717">
        <v>493</v>
      </c>
      <c r="J39" s="714"/>
      <c r="K39" s="714"/>
      <c r="L39" s="705">
        <f>SUM(I39:K39)</f>
        <v>493</v>
      </c>
      <c r="M39" s="706">
        <f>SUM(H39+L39)</f>
        <v>106328</v>
      </c>
      <c r="N39" s="706"/>
      <c r="O39" s="710">
        <f>SUM(M39+N39)</f>
        <v>106328</v>
      </c>
    </row>
    <row r="40" spans="1:16" s="702" customFormat="1" x14ac:dyDescent="0.25">
      <c r="A40" s="693"/>
      <c r="B40" s="694" t="s">
        <v>402</v>
      </c>
      <c r="C40" s="695">
        <v>73116</v>
      </c>
      <c r="D40" s="696">
        <v>13997</v>
      </c>
      <c r="E40" s="696">
        <v>15783</v>
      </c>
      <c r="F40" s="697"/>
      <c r="G40" s="696"/>
      <c r="H40" s="705">
        <f>SUM(C40:G40)</f>
        <v>102896</v>
      </c>
      <c r="I40" s="717">
        <v>493</v>
      </c>
      <c r="J40" s="714"/>
      <c r="K40" s="714"/>
      <c r="L40" s="705">
        <f>SUM(I40:K40)</f>
        <v>493</v>
      </c>
      <c r="M40" s="706">
        <f>SUM(H40+L40)</f>
        <v>103389</v>
      </c>
      <c r="N40" s="706"/>
      <c r="O40" s="710">
        <f>SUM(M40+N40)</f>
        <v>103389</v>
      </c>
    </row>
    <row r="41" spans="1:16" s="702" customFormat="1" x14ac:dyDescent="0.25">
      <c r="A41" s="693"/>
      <c r="B41" s="694" t="s">
        <v>401</v>
      </c>
      <c r="C41" s="707">
        <v>2100</v>
      </c>
      <c r="D41" s="708">
        <v>704</v>
      </c>
      <c r="E41" s="696">
        <v>135</v>
      </c>
      <c r="F41" s="708"/>
      <c r="G41" s="696"/>
      <c r="H41" s="698">
        <f>SUM(C41:G41)</f>
        <v>2939</v>
      </c>
      <c r="I41" s="704"/>
      <c r="J41" s="697"/>
      <c r="K41" s="697"/>
      <c r="L41" s="698">
        <f>SUM(I41:K41)</f>
        <v>0</v>
      </c>
      <c r="M41" s="701">
        <f>SUM(H41+L41)</f>
        <v>2939</v>
      </c>
      <c r="N41" s="701"/>
      <c r="O41" s="709">
        <f>SUM(M41+N41)</f>
        <v>2939</v>
      </c>
    </row>
    <row r="42" spans="1:16" x14ac:dyDescent="0.25">
      <c r="A42" s="692"/>
      <c r="B42" s="694" t="s">
        <v>132</v>
      </c>
      <c r="C42" s="737"/>
      <c r="D42" s="738"/>
      <c r="E42" s="713"/>
      <c r="F42" s="738"/>
      <c r="G42" s="713"/>
      <c r="H42" s="698"/>
      <c r="I42" s="717"/>
      <c r="J42" s="714"/>
      <c r="K42" s="714"/>
      <c r="L42" s="698"/>
      <c r="M42" s="701"/>
      <c r="N42" s="706"/>
      <c r="O42" s="709"/>
    </row>
    <row r="43" spans="1:16" x14ac:dyDescent="0.25">
      <c r="A43" s="692"/>
      <c r="B43" s="774" t="s">
        <v>1218</v>
      </c>
      <c r="C43" s="737">
        <v>25</v>
      </c>
      <c r="D43" s="738">
        <v>4</v>
      </c>
      <c r="E43" s="713"/>
      <c r="F43" s="738"/>
      <c r="G43" s="713"/>
      <c r="H43" s="705">
        <f t="shared" ref="H43:H47" si="17">SUM(C43:G43)</f>
        <v>29</v>
      </c>
      <c r="I43" s="717"/>
      <c r="J43" s="714"/>
      <c r="K43" s="714"/>
      <c r="L43" s="705">
        <f t="shared" ref="L43:L47" si="18">SUM(I43:K43)</f>
        <v>0</v>
      </c>
      <c r="M43" s="706">
        <f t="shared" ref="M43:M47" si="19">SUM(H43+L43)</f>
        <v>29</v>
      </c>
      <c r="N43" s="706"/>
      <c r="O43" s="710">
        <f t="shared" ref="O43:O47" si="20">SUM(M43+N43)</f>
        <v>29</v>
      </c>
    </row>
    <row r="44" spans="1:16" x14ac:dyDescent="0.25">
      <c r="A44" s="692"/>
      <c r="B44" s="774" t="s">
        <v>1220</v>
      </c>
      <c r="C44" s="737">
        <v>107</v>
      </c>
      <c r="D44" s="738">
        <v>18</v>
      </c>
      <c r="E44" s="713"/>
      <c r="F44" s="738"/>
      <c r="G44" s="713"/>
      <c r="H44" s="705">
        <f t="shared" si="17"/>
        <v>125</v>
      </c>
      <c r="I44" s="717"/>
      <c r="J44" s="714"/>
      <c r="K44" s="714"/>
      <c r="L44" s="705">
        <f t="shared" si="18"/>
        <v>0</v>
      </c>
      <c r="M44" s="706">
        <f t="shared" si="19"/>
        <v>125</v>
      </c>
      <c r="N44" s="706"/>
      <c r="O44" s="710">
        <f t="shared" si="20"/>
        <v>125</v>
      </c>
    </row>
    <row r="45" spans="1:16" ht="31.5" x14ac:dyDescent="0.25">
      <c r="A45" s="692"/>
      <c r="B45" s="774" t="s">
        <v>935</v>
      </c>
      <c r="C45" s="737"/>
      <c r="D45" s="738"/>
      <c r="E45" s="713">
        <f>374+87</f>
        <v>461</v>
      </c>
      <c r="F45" s="738"/>
      <c r="G45" s="713"/>
      <c r="H45" s="705">
        <f t="shared" si="17"/>
        <v>461</v>
      </c>
      <c r="I45" s="717">
        <v>37</v>
      </c>
      <c r="J45" s="714"/>
      <c r="K45" s="714"/>
      <c r="L45" s="705">
        <f t="shared" si="18"/>
        <v>37</v>
      </c>
      <c r="M45" s="706">
        <f t="shared" si="19"/>
        <v>498</v>
      </c>
      <c r="N45" s="706"/>
      <c r="O45" s="710">
        <f t="shared" si="20"/>
        <v>498</v>
      </c>
    </row>
    <row r="46" spans="1:16" x14ac:dyDescent="0.25">
      <c r="A46" s="692"/>
      <c r="B46" s="694" t="s">
        <v>133</v>
      </c>
      <c r="C46" s="737"/>
      <c r="D46" s="738"/>
      <c r="E46" s="713"/>
      <c r="F46" s="738"/>
      <c r="G46" s="713"/>
      <c r="H46" s="698"/>
      <c r="I46" s="717"/>
      <c r="J46" s="714"/>
      <c r="K46" s="714"/>
      <c r="L46" s="705"/>
      <c r="M46" s="706"/>
      <c r="N46" s="706"/>
      <c r="O46" s="710"/>
    </row>
    <row r="47" spans="1:16" ht="16.5" thickBot="1" x14ac:dyDescent="0.3">
      <c r="A47" s="692"/>
      <c r="B47" s="774" t="s">
        <v>1219</v>
      </c>
      <c r="C47" s="737">
        <v>411</v>
      </c>
      <c r="D47" s="738">
        <v>134</v>
      </c>
      <c r="E47" s="713"/>
      <c r="F47" s="738"/>
      <c r="G47" s="713"/>
      <c r="H47" s="705">
        <f t="shared" si="17"/>
        <v>545</v>
      </c>
      <c r="I47" s="717"/>
      <c r="J47" s="714"/>
      <c r="K47" s="714"/>
      <c r="L47" s="705">
        <f t="shared" si="18"/>
        <v>0</v>
      </c>
      <c r="M47" s="706">
        <f t="shared" si="19"/>
        <v>545</v>
      </c>
      <c r="N47" s="706"/>
      <c r="O47" s="710">
        <f t="shared" si="20"/>
        <v>545</v>
      </c>
    </row>
    <row r="48" spans="1:16" ht="17.25" thickTop="1" thickBot="1" x14ac:dyDescent="0.3">
      <c r="A48" s="703"/>
      <c r="B48" s="802" t="s">
        <v>400</v>
      </c>
      <c r="C48" s="803">
        <f>+C39+C43+C47+C44+C45</f>
        <v>75759</v>
      </c>
      <c r="D48" s="803">
        <f t="shared" ref="D48:O48" si="21">+D39+D43+D47+D44+D45</f>
        <v>14857</v>
      </c>
      <c r="E48" s="803">
        <f t="shared" si="21"/>
        <v>16379</v>
      </c>
      <c r="F48" s="803">
        <f t="shared" si="21"/>
        <v>0</v>
      </c>
      <c r="G48" s="803">
        <f t="shared" si="21"/>
        <v>0</v>
      </c>
      <c r="H48" s="803">
        <f t="shared" si="21"/>
        <v>106995</v>
      </c>
      <c r="I48" s="803">
        <f t="shared" si="21"/>
        <v>530</v>
      </c>
      <c r="J48" s="803">
        <f t="shared" si="21"/>
        <v>0</v>
      </c>
      <c r="K48" s="803">
        <f t="shared" si="21"/>
        <v>0</v>
      </c>
      <c r="L48" s="803">
        <f t="shared" si="21"/>
        <v>530</v>
      </c>
      <c r="M48" s="803">
        <f t="shared" si="21"/>
        <v>107525</v>
      </c>
      <c r="N48" s="803">
        <f t="shared" si="21"/>
        <v>0</v>
      </c>
      <c r="O48" s="803">
        <f t="shared" si="21"/>
        <v>107525</v>
      </c>
      <c r="P48" s="683">
        <f>O49+O50</f>
        <v>107525</v>
      </c>
    </row>
    <row r="49" spans="1:16" ht="17.25" thickTop="1" thickBot="1" x14ac:dyDescent="0.3">
      <c r="A49" s="703"/>
      <c r="B49" s="802" t="s">
        <v>399</v>
      </c>
      <c r="C49" s="803">
        <f t="shared" ref="C49:O49" si="22">+C40+C43+C44+C45</f>
        <v>73248</v>
      </c>
      <c r="D49" s="803">
        <f t="shared" si="22"/>
        <v>14019</v>
      </c>
      <c r="E49" s="803">
        <f t="shared" si="22"/>
        <v>16244</v>
      </c>
      <c r="F49" s="803">
        <f t="shared" si="22"/>
        <v>0</v>
      </c>
      <c r="G49" s="803">
        <f t="shared" si="22"/>
        <v>0</v>
      </c>
      <c r="H49" s="803">
        <f t="shared" si="22"/>
        <v>103511</v>
      </c>
      <c r="I49" s="803">
        <f t="shared" si="22"/>
        <v>530</v>
      </c>
      <c r="J49" s="803">
        <f t="shared" si="22"/>
        <v>0</v>
      </c>
      <c r="K49" s="803">
        <f t="shared" si="22"/>
        <v>0</v>
      </c>
      <c r="L49" s="803">
        <f t="shared" si="22"/>
        <v>530</v>
      </c>
      <c r="M49" s="803">
        <f t="shared" si="22"/>
        <v>104041</v>
      </c>
      <c r="N49" s="803">
        <f t="shared" si="22"/>
        <v>0</v>
      </c>
      <c r="O49" s="803">
        <f t="shared" si="22"/>
        <v>104041</v>
      </c>
    </row>
    <row r="50" spans="1:16" ht="17.25" thickTop="1" thickBot="1" x14ac:dyDescent="0.3">
      <c r="A50" s="703"/>
      <c r="B50" s="802" t="s">
        <v>398</v>
      </c>
      <c r="C50" s="803">
        <f>+C41+C47</f>
        <v>2511</v>
      </c>
      <c r="D50" s="803">
        <f t="shared" ref="D50:O50" si="23">+D41+D47</f>
        <v>838</v>
      </c>
      <c r="E50" s="803">
        <f t="shared" si="23"/>
        <v>135</v>
      </c>
      <c r="F50" s="803">
        <f t="shared" si="23"/>
        <v>0</v>
      </c>
      <c r="G50" s="803">
        <f t="shared" si="23"/>
        <v>0</v>
      </c>
      <c r="H50" s="803">
        <f t="shared" si="23"/>
        <v>3484</v>
      </c>
      <c r="I50" s="803">
        <f t="shared" si="23"/>
        <v>0</v>
      </c>
      <c r="J50" s="803">
        <f t="shared" si="23"/>
        <v>0</v>
      </c>
      <c r="K50" s="803">
        <f t="shared" si="23"/>
        <v>0</v>
      </c>
      <c r="L50" s="803">
        <f t="shared" si="23"/>
        <v>0</v>
      </c>
      <c r="M50" s="803">
        <f t="shared" si="23"/>
        <v>3484</v>
      </c>
      <c r="N50" s="803">
        <f t="shared" si="23"/>
        <v>0</v>
      </c>
      <c r="O50" s="803">
        <f t="shared" si="23"/>
        <v>3484</v>
      </c>
    </row>
    <row r="51" spans="1:16" ht="32.25" thickTop="1" x14ac:dyDescent="0.25">
      <c r="A51" s="692" t="s">
        <v>148</v>
      </c>
      <c r="B51" s="801" t="s">
        <v>1223</v>
      </c>
      <c r="C51" s="712"/>
      <c r="D51" s="713"/>
      <c r="E51" s="713"/>
      <c r="F51" s="716"/>
      <c r="G51" s="713"/>
      <c r="H51" s="705"/>
      <c r="I51" s="717"/>
      <c r="J51" s="714"/>
      <c r="K51" s="714"/>
      <c r="L51" s="705"/>
      <c r="M51" s="705"/>
      <c r="N51" s="705"/>
      <c r="O51" s="705"/>
    </row>
    <row r="52" spans="1:16" x14ac:dyDescent="0.25">
      <c r="A52" s="692"/>
      <c r="B52" s="774" t="s">
        <v>363</v>
      </c>
      <c r="C52" s="712">
        <v>81608</v>
      </c>
      <c r="D52" s="713">
        <v>15857</v>
      </c>
      <c r="E52" s="713">
        <v>16055</v>
      </c>
      <c r="F52" s="714"/>
      <c r="G52" s="713"/>
      <c r="H52" s="705">
        <f>SUM(C52:G52)</f>
        <v>113520</v>
      </c>
      <c r="I52" s="715">
        <v>69</v>
      </c>
      <c r="J52" s="716"/>
      <c r="K52" s="716"/>
      <c r="L52" s="705">
        <f>SUM(I52:K52)</f>
        <v>69</v>
      </c>
      <c r="M52" s="706">
        <f>SUM(H52+L52)</f>
        <v>113589</v>
      </c>
      <c r="N52" s="706"/>
      <c r="O52" s="706">
        <f>SUM(M52+N52)</f>
        <v>113589</v>
      </c>
    </row>
    <row r="53" spans="1:16" s="702" customFormat="1" x14ac:dyDescent="0.25">
      <c r="A53" s="693"/>
      <c r="B53" s="694" t="s">
        <v>402</v>
      </c>
      <c r="C53" s="695">
        <v>79427</v>
      </c>
      <c r="D53" s="696">
        <v>15128</v>
      </c>
      <c r="E53" s="696">
        <v>15935</v>
      </c>
      <c r="F53" s="697"/>
      <c r="G53" s="696"/>
      <c r="H53" s="698">
        <f>SUM(C53:G53)</f>
        <v>110490</v>
      </c>
      <c r="I53" s="699">
        <v>69</v>
      </c>
      <c r="J53" s="700"/>
      <c r="K53" s="700"/>
      <c r="L53" s="698">
        <f>SUM(I53:K53)</f>
        <v>69</v>
      </c>
      <c r="M53" s="701">
        <f>SUM(H53+L53)</f>
        <v>110559</v>
      </c>
      <c r="N53" s="701"/>
      <c r="O53" s="701">
        <f>SUM(M53+N53)</f>
        <v>110559</v>
      </c>
    </row>
    <row r="54" spans="1:16" s="702" customFormat="1" x14ac:dyDescent="0.25">
      <c r="A54" s="693"/>
      <c r="B54" s="694" t="s">
        <v>401</v>
      </c>
      <c r="C54" s="695">
        <v>2181</v>
      </c>
      <c r="D54" s="696">
        <v>729</v>
      </c>
      <c r="E54" s="696">
        <v>120</v>
      </c>
      <c r="F54" s="697"/>
      <c r="G54" s="696"/>
      <c r="H54" s="698">
        <f>SUM(C54:G54)</f>
        <v>3030</v>
      </c>
      <c r="I54" s="699"/>
      <c r="J54" s="700"/>
      <c r="K54" s="700"/>
      <c r="L54" s="698">
        <f>SUM(I54:K54)</f>
        <v>0</v>
      </c>
      <c r="M54" s="701">
        <f>SUM(H54+L54)</f>
        <v>3030</v>
      </c>
      <c r="N54" s="701"/>
      <c r="O54" s="701">
        <f>SUM(M54+N54)</f>
        <v>3030</v>
      </c>
    </row>
    <row r="55" spans="1:16" x14ac:dyDescent="0.25">
      <c r="A55" s="711"/>
      <c r="B55" s="694" t="s">
        <v>132</v>
      </c>
      <c r="C55" s="712"/>
      <c r="D55" s="713"/>
      <c r="E55" s="713"/>
      <c r="F55" s="714"/>
      <c r="G55" s="713"/>
      <c r="H55" s="698"/>
      <c r="I55" s="715"/>
      <c r="J55" s="716"/>
      <c r="K55" s="716"/>
      <c r="L55" s="698"/>
      <c r="M55" s="701"/>
      <c r="N55" s="706"/>
      <c r="O55" s="701"/>
    </row>
    <row r="56" spans="1:16" x14ac:dyDescent="0.25">
      <c r="A56" s="711"/>
      <c r="B56" s="774" t="s">
        <v>1218</v>
      </c>
      <c r="C56" s="712">
        <v>76</v>
      </c>
      <c r="D56" s="713">
        <v>13</v>
      </c>
      <c r="E56" s="713"/>
      <c r="F56" s="714"/>
      <c r="G56" s="713"/>
      <c r="H56" s="705">
        <f t="shared" ref="H56:H60" si="24">SUM(C56:G56)</f>
        <v>89</v>
      </c>
      <c r="I56" s="715"/>
      <c r="J56" s="716"/>
      <c r="K56" s="716"/>
      <c r="L56" s="705">
        <f t="shared" ref="L56:L60" si="25">SUM(I56:K56)</f>
        <v>0</v>
      </c>
      <c r="M56" s="706">
        <f t="shared" ref="M56:M60" si="26">SUM(H56+L56)</f>
        <v>89</v>
      </c>
      <c r="N56" s="706"/>
      <c r="O56" s="706">
        <f t="shared" ref="O56:O60" si="27">SUM(M56+N56)</f>
        <v>89</v>
      </c>
    </row>
    <row r="57" spans="1:16" x14ac:dyDescent="0.25">
      <c r="A57" s="711"/>
      <c r="B57" s="774" t="s">
        <v>1220</v>
      </c>
      <c r="C57" s="712">
        <v>128</v>
      </c>
      <c r="D57" s="713">
        <v>22</v>
      </c>
      <c r="E57" s="713"/>
      <c r="F57" s="714"/>
      <c r="G57" s="713"/>
      <c r="H57" s="705">
        <f t="shared" si="24"/>
        <v>150</v>
      </c>
      <c r="I57" s="715"/>
      <c r="J57" s="716"/>
      <c r="K57" s="716"/>
      <c r="L57" s="705">
        <f t="shared" si="25"/>
        <v>0</v>
      </c>
      <c r="M57" s="706">
        <f t="shared" si="26"/>
        <v>150</v>
      </c>
      <c r="N57" s="706"/>
      <c r="O57" s="706">
        <f t="shared" si="27"/>
        <v>150</v>
      </c>
    </row>
    <row r="58" spans="1:16" ht="31.5" x14ac:dyDescent="0.25">
      <c r="A58" s="711"/>
      <c r="B58" s="774" t="s">
        <v>935</v>
      </c>
      <c r="C58" s="712"/>
      <c r="D58" s="713"/>
      <c r="E58" s="713">
        <v>2627</v>
      </c>
      <c r="F58" s="714"/>
      <c r="G58" s="713"/>
      <c r="H58" s="705">
        <f t="shared" si="24"/>
        <v>2627</v>
      </c>
      <c r="I58" s="715">
        <v>374</v>
      </c>
      <c r="J58" s="716"/>
      <c r="K58" s="716"/>
      <c r="L58" s="705">
        <f t="shared" si="25"/>
        <v>374</v>
      </c>
      <c r="M58" s="706">
        <f t="shared" si="26"/>
        <v>3001</v>
      </c>
      <c r="N58" s="706"/>
      <c r="O58" s="706">
        <f t="shared" si="27"/>
        <v>3001</v>
      </c>
    </row>
    <row r="59" spans="1:16" x14ac:dyDescent="0.25">
      <c r="A59" s="711"/>
      <c r="B59" s="694" t="s">
        <v>133</v>
      </c>
      <c r="C59" s="712"/>
      <c r="D59" s="713"/>
      <c r="E59" s="713"/>
      <c r="F59" s="714"/>
      <c r="G59" s="713"/>
      <c r="H59" s="698"/>
      <c r="I59" s="715"/>
      <c r="J59" s="716"/>
      <c r="K59" s="716"/>
      <c r="L59" s="698"/>
      <c r="M59" s="701"/>
      <c r="N59" s="706"/>
      <c r="O59" s="701"/>
    </row>
    <row r="60" spans="1:16" ht="16.5" thickBot="1" x14ac:dyDescent="0.3">
      <c r="A60" s="711"/>
      <c r="B60" s="774" t="s">
        <v>1219</v>
      </c>
      <c r="C60" s="712">
        <v>424</v>
      </c>
      <c r="D60" s="713">
        <v>138</v>
      </c>
      <c r="E60" s="713"/>
      <c r="F60" s="714"/>
      <c r="G60" s="713"/>
      <c r="H60" s="705">
        <f t="shared" si="24"/>
        <v>562</v>
      </c>
      <c r="I60" s="715"/>
      <c r="J60" s="716"/>
      <c r="K60" s="716"/>
      <c r="L60" s="705">
        <f t="shared" si="25"/>
        <v>0</v>
      </c>
      <c r="M60" s="706">
        <f t="shared" si="26"/>
        <v>562</v>
      </c>
      <c r="N60" s="706"/>
      <c r="O60" s="706">
        <f t="shared" si="27"/>
        <v>562</v>
      </c>
    </row>
    <row r="61" spans="1:16" ht="17.25" thickTop="1" thickBot="1" x14ac:dyDescent="0.3">
      <c r="A61" s="703"/>
      <c r="B61" s="802" t="s">
        <v>400</v>
      </c>
      <c r="C61" s="803">
        <f>+C52+C56+C60+C57+C58</f>
        <v>82236</v>
      </c>
      <c r="D61" s="803">
        <f t="shared" ref="D61:O61" si="28">+D52+D56+D60+D57+D58</f>
        <v>16030</v>
      </c>
      <c r="E61" s="803">
        <f t="shared" si="28"/>
        <v>18682</v>
      </c>
      <c r="F61" s="803">
        <f t="shared" si="28"/>
        <v>0</v>
      </c>
      <c r="G61" s="803">
        <f t="shared" si="28"/>
        <v>0</v>
      </c>
      <c r="H61" s="803">
        <f t="shared" si="28"/>
        <v>116948</v>
      </c>
      <c r="I61" s="803">
        <f t="shared" si="28"/>
        <v>443</v>
      </c>
      <c r="J61" s="803">
        <f t="shared" si="28"/>
        <v>0</v>
      </c>
      <c r="K61" s="803">
        <f t="shared" si="28"/>
        <v>0</v>
      </c>
      <c r="L61" s="803">
        <f t="shared" si="28"/>
        <v>443</v>
      </c>
      <c r="M61" s="803">
        <f t="shared" si="28"/>
        <v>117391</v>
      </c>
      <c r="N61" s="803">
        <f t="shared" si="28"/>
        <v>0</v>
      </c>
      <c r="O61" s="803">
        <f t="shared" si="28"/>
        <v>117391</v>
      </c>
      <c r="P61" s="683">
        <f>O62+O63</f>
        <v>117391</v>
      </c>
    </row>
    <row r="62" spans="1:16" ht="17.25" thickTop="1" thickBot="1" x14ac:dyDescent="0.3">
      <c r="A62" s="703"/>
      <c r="B62" s="802" t="s">
        <v>399</v>
      </c>
      <c r="C62" s="803">
        <f>+C53+C56+C57+C58</f>
        <v>79631</v>
      </c>
      <c r="D62" s="803">
        <f t="shared" ref="D62:O62" si="29">+D53+D56+D57+D58</f>
        <v>15163</v>
      </c>
      <c r="E62" s="803">
        <f t="shared" si="29"/>
        <v>18562</v>
      </c>
      <c r="F62" s="803">
        <f t="shared" si="29"/>
        <v>0</v>
      </c>
      <c r="G62" s="803">
        <f t="shared" si="29"/>
        <v>0</v>
      </c>
      <c r="H62" s="803">
        <f t="shared" si="29"/>
        <v>113356</v>
      </c>
      <c r="I62" s="803">
        <f t="shared" si="29"/>
        <v>443</v>
      </c>
      <c r="J62" s="803">
        <f t="shared" si="29"/>
        <v>0</v>
      </c>
      <c r="K62" s="803">
        <f t="shared" si="29"/>
        <v>0</v>
      </c>
      <c r="L62" s="803">
        <f t="shared" si="29"/>
        <v>443</v>
      </c>
      <c r="M62" s="803">
        <f t="shared" si="29"/>
        <v>113799</v>
      </c>
      <c r="N62" s="803">
        <f t="shared" si="29"/>
        <v>0</v>
      </c>
      <c r="O62" s="803">
        <f t="shared" si="29"/>
        <v>113799</v>
      </c>
    </row>
    <row r="63" spans="1:16" ht="17.25" thickTop="1" thickBot="1" x14ac:dyDescent="0.3">
      <c r="A63" s="703"/>
      <c r="B63" s="802" t="s">
        <v>398</v>
      </c>
      <c r="C63" s="803">
        <f>+C54+C60</f>
        <v>2605</v>
      </c>
      <c r="D63" s="803">
        <f t="shared" ref="D63:O63" si="30">+D54+D60</f>
        <v>867</v>
      </c>
      <c r="E63" s="803">
        <f t="shared" si="30"/>
        <v>120</v>
      </c>
      <c r="F63" s="803">
        <f t="shared" si="30"/>
        <v>0</v>
      </c>
      <c r="G63" s="803">
        <f t="shared" si="30"/>
        <v>0</v>
      </c>
      <c r="H63" s="803">
        <f t="shared" si="30"/>
        <v>3592</v>
      </c>
      <c r="I63" s="803">
        <f t="shared" si="30"/>
        <v>0</v>
      </c>
      <c r="J63" s="803">
        <f t="shared" si="30"/>
        <v>0</v>
      </c>
      <c r="K63" s="803">
        <f t="shared" si="30"/>
        <v>0</v>
      </c>
      <c r="L63" s="803">
        <f t="shared" si="30"/>
        <v>0</v>
      </c>
      <c r="M63" s="803">
        <f t="shared" si="30"/>
        <v>3592</v>
      </c>
      <c r="N63" s="803">
        <f t="shared" si="30"/>
        <v>0</v>
      </c>
      <c r="O63" s="803">
        <f t="shared" si="30"/>
        <v>3592</v>
      </c>
    </row>
    <row r="64" spans="1:16" ht="16.5" thickTop="1" x14ac:dyDescent="0.25">
      <c r="A64" s="692" t="s">
        <v>149</v>
      </c>
      <c r="B64" s="801" t="s">
        <v>428</v>
      </c>
      <c r="C64" s="712"/>
      <c r="D64" s="713"/>
      <c r="E64" s="713"/>
      <c r="F64" s="716"/>
      <c r="G64" s="713"/>
      <c r="H64" s="705"/>
      <c r="I64" s="717"/>
      <c r="J64" s="714"/>
      <c r="K64" s="714"/>
      <c r="L64" s="705"/>
      <c r="M64" s="705"/>
      <c r="N64" s="705"/>
      <c r="O64" s="705"/>
    </row>
    <row r="65" spans="1:16" x14ac:dyDescent="0.25">
      <c r="A65" s="692"/>
      <c r="B65" s="774" t="s">
        <v>363</v>
      </c>
      <c r="C65" s="712">
        <v>81261</v>
      </c>
      <c r="D65" s="713">
        <v>15892</v>
      </c>
      <c r="E65" s="713">
        <v>14739</v>
      </c>
      <c r="F65" s="714"/>
      <c r="G65" s="713"/>
      <c r="H65" s="705">
        <f>SUM(C65:G65)</f>
        <v>111892</v>
      </c>
      <c r="I65" s="717">
        <v>51</v>
      </c>
      <c r="J65" s="714"/>
      <c r="K65" s="714"/>
      <c r="L65" s="705">
        <f>SUM(I65:K65)</f>
        <v>51</v>
      </c>
      <c r="M65" s="706">
        <f>SUM(H65+L65)</f>
        <v>111943</v>
      </c>
      <c r="N65" s="706"/>
      <c r="O65" s="706">
        <f>SUM(M65+N65)</f>
        <v>111943</v>
      </c>
    </row>
    <row r="66" spans="1:16" s="702" customFormat="1" x14ac:dyDescent="0.25">
      <c r="A66" s="693"/>
      <c r="B66" s="694" t="s">
        <v>402</v>
      </c>
      <c r="C66" s="695">
        <v>79162</v>
      </c>
      <c r="D66" s="696">
        <v>15189</v>
      </c>
      <c r="E66" s="696">
        <v>14554</v>
      </c>
      <c r="F66" s="697"/>
      <c r="G66" s="696"/>
      <c r="H66" s="698">
        <f>SUM(C66:G66)</f>
        <v>108905</v>
      </c>
      <c r="I66" s="704">
        <v>51</v>
      </c>
      <c r="J66" s="697"/>
      <c r="K66" s="697"/>
      <c r="L66" s="698">
        <f>SUM(I66:K66)</f>
        <v>51</v>
      </c>
      <c r="M66" s="701">
        <f>SUM(H66+L66)</f>
        <v>108956</v>
      </c>
      <c r="N66" s="701"/>
      <c r="O66" s="701">
        <f>SUM(M66+N66)</f>
        <v>108956</v>
      </c>
    </row>
    <row r="67" spans="1:16" s="702" customFormat="1" x14ac:dyDescent="0.25">
      <c r="A67" s="693"/>
      <c r="B67" s="694" t="s">
        <v>401</v>
      </c>
      <c r="C67" s="695">
        <v>2099</v>
      </c>
      <c r="D67" s="696">
        <v>703</v>
      </c>
      <c r="E67" s="696">
        <v>185</v>
      </c>
      <c r="F67" s="697"/>
      <c r="G67" s="696"/>
      <c r="H67" s="698">
        <f>SUM(C67:G67)</f>
        <v>2987</v>
      </c>
      <c r="I67" s="704"/>
      <c r="J67" s="697"/>
      <c r="K67" s="697"/>
      <c r="L67" s="698">
        <f>SUM(I67:K67)</f>
        <v>0</v>
      </c>
      <c r="M67" s="701">
        <f>SUM(H67+L67)</f>
        <v>2987</v>
      </c>
      <c r="N67" s="701"/>
      <c r="O67" s="701">
        <f>SUM(M67+N67)</f>
        <v>2987</v>
      </c>
    </row>
    <row r="68" spans="1:16" s="702" customFormat="1" x14ac:dyDescent="0.25">
      <c r="A68" s="693"/>
      <c r="B68" s="694" t="s">
        <v>132</v>
      </c>
      <c r="C68" s="695"/>
      <c r="D68" s="696"/>
      <c r="E68" s="696"/>
      <c r="F68" s="697"/>
      <c r="G68" s="696"/>
      <c r="H68" s="698"/>
      <c r="I68" s="704"/>
      <c r="J68" s="697"/>
      <c r="K68" s="697"/>
      <c r="L68" s="698"/>
      <c r="M68" s="701"/>
      <c r="N68" s="701"/>
      <c r="O68" s="701"/>
    </row>
    <row r="69" spans="1:16" s="702" customFormat="1" x14ac:dyDescent="0.25">
      <c r="A69" s="693"/>
      <c r="B69" s="774" t="s">
        <v>1218</v>
      </c>
      <c r="C69" s="712">
        <v>39</v>
      </c>
      <c r="D69" s="713">
        <v>7</v>
      </c>
      <c r="E69" s="713"/>
      <c r="F69" s="714"/>
      <c r="G69" s="713"/>
      <c r="H69" s="705">
        <f t="shared" ref="H69:H73" si="31">SUM(C69:G69)</f>
        <v>46</v>
      </c>
      <c r="I69" s="717"/>
      <c r="J69" s="714"/>
      <c r="K69" s="714"/>
      <c r="L69" s="705">
        <f t="shared" ref="L69:L73" si="32">SUM(I69:K69)</f>
        <v>0</v>
      </c>
      <c r="M69" s="706">
        <f t="shared" ref="M69:M73" si="33">SUM(H69+L69)</f>
        <v>46</v>
      </c>
      <c r="N69" s="706"/>
      <c r="O69" s="706">
        <f t="shared" ref="O69:O73" si="34">SUM(M69+N69)</f>
        <v>46</v>
      </c>
    </row>
    <row r="70" spans="1:16" s="702" customFormat="1" x14ac:dyDescent="0.25">
      <c r="A70" s="693"/>
      <c r="B70" s="774" t="s">
        <v>1220</v>
      </c>
      <c r="C70" s="712">
        <v>141</v>
      </c>
      <c r="D70" s="713">
        <v>25</v>
      </c>
      <c r="E70" s="713"/>
      <c r="F70" s="714"/>
      <c r="G70" s="713"/>
      <c r="H70" s="705">
        <f t="shared" si="31"/>
        <v>166</v>
      </c>
      <c r="I70" s="717"/>
      <c r="J70" s="714"/>
      <c r="K70" s="714"/>
      <c r="L70" s="705">
        <f t="shared" si="32"/>
        <v>0</v>
      </c>
      <c r="M70" s="706">
        <f t="shared" si="33"/>
        <v>166</v>
      </c>
      <c r="N70" s="706"/>
      <c r="O70" s="706">
        <f t="shared" si="34"/>
        <v>166</v>
      </c>
    </row>
    <row r="71" spans="1:16" s="702" customFormat="1" ht="31.5" x14ac:dyDescent="0.25">
      <c r="A71" s="693"/>
      <c r="B71" s="774" t="s">
        <v>935</v>
      </c>
      <c r="C71" s="712"/>
      <c r="D71" s="713"/>
      <c r="E71" s="713">
        <v>227</v>
      </c>
      <c r="F71" s="714"/>
      <c r="G71" s="713"/>
      <c r="H71" s="705">
        <f t="shared" si="31"/>
        <v>227</v>
      </c>
      <c r="I71" s="717">
        <v>159</v>
      </c>
      <c r="J71" s="714"/>
      <c r="K71" s="714"/>
      <c r="L71" s="705">
        <f t="shared" si="32"/>
        <v>159</v>
      </c>
      <c r="M71" s="706">
        <f t="shared" si="33"/>
        <v>386</v>
      </c>
      <c r="N71" s="706"/>
      <c r="O71" s="706">
        <f t="shared" si="34"/>
        <v>386</v>
      </c>
    </row>
    <row r="72" spans="1:16" s="702" customFormat="1" x14ac:dyDescent="0.25">
      <c r="A72" s="693"/>
      <c r="B72" s="694" t="s">
        <v>133</v>
      </c>
      <c r="C72" s="695"/>
      <c r="D72" s="696"/>
      <c r="E72" s="696"/>
      <c r="F72" s="697"/>
      <c r="G72" s="696"/>
      <c r="H72" s="698"/>
      <c r="I72" s="704"/>
      <c r="J72" s="697"/>
      <c r="K72" s="697"/>
      <c r="L72" s="698"/>
      <c r="M72" s="701"/>
      <c r="N72" s="701"/>
      <c r="O72" s="701"/>
    </row>
    <row r="73" spans="1:16" s="702" customFormat="1" ht="16.5" thickBot="1" x14ac:dyDescent="0.3">
      <c r="A73" s="693"/>
      <c r="B73" s="774" t="s">
        <v>1219</v>
      </c>
      <c r="C73" s="712">
        <v>439</v>
      </c>
      <c r="D73" s="713">
        <v>143</v>
      </c>
      <c r="E73" s="713"/>
      <c r="F73" s="714"/>
      <c r="G73" s="713"/>
      <c r="H73" s="705">
        <f t="shared" si="31"/>
        <v>582</v>
      </c>
      <c r="I73" s="717"/>
      <c r="J73" s="714"/>
      <c r="K73" s="714"/>
      <c r="L73" s="705">
        <f t="shared" si="32"/>
        <v>0</v>
      </c>
      <c r="M73" s="706">
        <f t="shared" si="33"/>
        <v>582</v>
      </c>
      <c r="N73" s="706"/>
      <c r="O73" s="706">
        <f t="shared" si="34"/>
        <v>582</v>
      </c>
    </row>
    <row r="74" spans="1:16" ht="17.25" thickTop="1" thickBot="1" x14ac:dyDescent="0.3">
      <c r="A74" s="703"/>
      <c r="B74" s="802" t="s">
        <v>400</v>
      </c>
      <c r="C74" s="803">
        <f>+C65+C69+C73+C70+C71</f>
        <v>81880</v>
      </c>
      <c r="D74" s="803">
        <f t="shared" ref="D74:O74" si="35">+D65+D69+D73+D70+D71</f>
        <v>16067</v>
      </c>
      <c r="E74" s="803">
        <f t="shared" si="35"/>
        <v>14966</v>
      </c>
      <c r="F74" s="803">
        <f t="shared" si="35"/>
        <v>0</v>
      </c>
      <c r="G74" s="803">
        <f t="shared" si="35"/>
        <v>0</v>
      </c>
      <c r="H74" s="803">
        <f t="shared" si="35"/>
        <v>112913</v>
      </c>
      <c r="I74" s="803">
        <f t="shared" si="35"/>
        <v>210</v>
      </c>
      <c r="J74" s="803">
        <f t="shared" si="35"/>
        <v>0</v>
      </c>
      <c r="K74" s="803">
        <f t="shared" si="35"/>
        <v>0</v>
      </c>
      <c r="L74" s="803">
        <f t="shared" si="35"/>
        <v>210</v>
      </c>
      <c r="M74" s="803">
        <f t="shared" si="35"/>
        <v>113123</v>
      </c>
      <c r="N74" s="803">
        <f t="shared" si="35"/>
        <v>0</v>
      </c>
      <c r="O74" s="803">
        <f t="shared" si="35"/>
        <v>113123</v>
      </c>
      <c r="P74" s="683">
        <f>O75+O76</f>
        <v>113123</v>
      </c>
    </row>
    <row r="75" spans="1:16" ht="17.25" thickTop="1" thickBot="1" x14ac:dyDescent="0.3">
      <c r="A75" s="703"/>
      <c r="B75" s="802" t="s">
        <v>399</v>
      </c>
      <c r="C75" s="803">
        <f>+C66+C69+C70+C71</f>
        <v>79342</v>
      </c>
      <c r="D75" s="803">
        <f t="shared" ref="D75:O75" si="36">+D66+D69+D70+D71</f>
        <v>15221</v>
      </c>
      <c r="E75" s="803">
        <f t="shared" si="36"/>
        <v>14781</v>
      </c>
      <c r="F75" s="803">
        <f t="shared" si="36"/>
        <v>0</v>
      </c>
      <c r="G75" s="803">
        <f t="shared" si="36"/>
        <v>0</v>
      </c>
      <c r="H75" s="803">
        <f t="shared" si="36"/>
        <v>109344</v>
      </c>
      <c r="I75" s="803">
        <f t="shared" si="36"/>
        <v>210</v>
      </c>
      <c r="J75" s="803">
        <f t="shared" si="36"/>
        <v>0</v>
      </c>
      <c r="K75" s="803">
        <f t="shared" si="36"/>
        <v>0</v>
      </c>
      <c r="L75" s="803">
        <f t="shared" si="36"/>
        <v>210</v>
      </c>
      <c r="M75" s="803">
        <f t="shared" si="36"/>
        <v>109554</v>
      </c>
      <c r="N75" s="803">
        <f t="shared" si="36"/>
        <v>0</v>
      </c>
      <c r="O75" s="803">
        <f t="shared" si="36"/>
        <v>109554</v>
      </c>
    </row>
    <row r="76" spans="1:16" ht="17.25" thickTop="1" thickBot="1" x14ac:dyDescent="0.3">
      <c r="A76" s="703"/>
      <c r="B76" s="802" t="s">
        <v>398</v>
      </c>
      <c r="C76" s="803">
        <f>+C67+C73</f>
        <v>2538</v>
      </c>
      <c r="D76" s="803">
        <f t="shared" ref="D76:O76" si="37">+D67+D73</f>
        <v>846</v>
      </c>
      <c r="E76" s="803">
        <f t="shared" si="37"/>
        <v>185</v>
      </c>
      <c r="F76" s="803">
        <f t="shared" si="37"/>
        <v>0</v>
      </c>
      <c r="G76" s="803">
        <f t="shared" si="37"/>
        <v>0</v>
      </c>
      <c r="H76" s="803">
        <f t="shared" si="37"/>
        <v>3569</v>
      </c>
      <c r="I76" s="803">
        <f t="shared" si="37"/>
        <v>0</v>
      </c>
      <c r="J76" s="803">
        <f t="shared" si="37"/>
        <v>0</v>
      </c>
      <c r="K76" s="803">
        <f t="shared" si="37"/>
        <v>0</v>
      </c>
      <c r="L76" s="803">
        <f t="shared" si="37"/>
        <v>0</v>
      </c>
      <c r="M76" s="803">
        <f t="shared" si="37"/>
        <v>3569</v>
      </c>
      <c r="N76" s="803">
        <f t="shared" si="37"/>
        <v>0</v>
      </c>
      <c r="O76" s="803">
        <f t="shared" si="37"/>
        <v>3569</v>
      </c>
    </row>
    <row r="77" spans="1:16" ht="16.5" thickTop="1" x14ac:dyDescent="0.25">
      <c r="A77" s="718" t="s">
        <v>150</v>
      </c>
      <c r="B77" s="805" t="s">
        <v>427</v>
      </c>
      <c r="C77" s="806"/>
      <c r="D77" s="807"/>
      <c r="E77" s="807"/>
      <c r="F77" s="808"/>
      <c r="G77" s="807"/>
      <c r="H77" s="809"/>
      <c r="I77" s="810"/>
      <c r="J77" s="808"/>
      <c r="K77" s="808"/>
      <c r="L77" s="809"/>
      <c r="M77" s="809"/>
      <c r="N77" s="809"/>
      <c r="O77" s="809"/>
    </row>
    <row r="78" spans="1:16" x14ac:dyDescent="0.25">
      <c r="A78" s="692"/>
      <c r="B78" s="774" t="s">
        <v>363</v>
      </c>
      <c r="C78" s="712">
        <v>45851</v>
      </c>
      <c r="D78" s="713">
        <v>8998</v>
      </c>
      <c r="E78" s="713">
        <v>7160</v>
      </c>
      <c r="F78" s="714"/>
      <c r="G78" s="713"/>
      <c r="H78" s="705">
        <f>SUM(C78:G78)</f>
        <v>62009</v>
      </c>
      <c r="I78" s="717">
        <v>45</v>
      </c>
      <c r="J78" s="714"/>
      <c r="K78" s="714"/>
      <c r="L78" s="705">
        <f>SUM(I78:K78)</f>
        <v>45</v>
      </c>
      <c r="M78" s="706">
        <f>SUM(H78+L78)</f>
        <v>62054</v>
      </c>
      <c r="N78" s="706"/>
      <c r="O78" s="706">
        <f>SUM(M78+N78)</f>
        <v>62054</v>
      </c>
    </row>
    <row r="79" spans="1:16" s="702" customFormat="1" ht="16.5" thickBot="1" x14ac:dyDescent="0.3">
      <c r="A79" s="719"/>
      <c r="B79" s="720" t="s">
        <v>402</v>
      </c>
      <c r="C79" s="721">
        <v>44635</v>
      </c>
      <c r="D79" s="722">
        <v>8595</v>
      </c>
      <c r="E79" s="722">
        <v>7025</v>
      </c>
      <c r="F79" s="723"/>
      <c r="G79" s="722"/>
      <c r="H79" s="724">
        <f>SUM(C79:G79)</f>
        <v>60255</v>
      </c>
      <c r="I79" s="725">
        <v>45</v>
      </c>
      <c r="J79" s="723"/>
      <c r="K79" s="723"/>
      <c r="L79" s="724">
        <f>SUM(I79:K79)</f>
        <v>45</v>
      </c>
      <c r="M79" s="724">
        <f>SUM(H79+L79)</f>
        <v>60300</v>
      </c>
      <c r="N79" s="724"/>
      <c r="O79" s="724">
        <f>SUM(M79+N79)</f>
        <v>60300</v>
      </c>
    </row>
    <row r="80" spans="1:16" s="702" customFormat="1" x14ac:dyDescent="0.25">
      <c r="A80" s="726"/>
      <c r="B80" s="727" t="s">
        <v>401</v>
      </c>
      <c r="C80" s="728">
        <v>1216</v>
      </c>
      <c r="D80" s="729">
        <v>403</v>
      </c>
      <c r="E80" s="729">
        <v>135</v>
      </c>
      <c r="F80" s="730"/>
      <c r="G80" s="729"/>
      <c r="H80" s="731">
        <f>SUM(C80:G80)</f>
        <v>1754</v>
      </c>
      <c r="I80" s="732"/>
      <c r="J80" s="730"/>
      <c r="K80" s="730"/>
      <c r="L80" s="731">
        <f>SUM(I80:K80)</f>
        <v>0</v>
      </c>
      <c r="M80" s="731">
        <f>SUM(H80+L80)</f>
        <v>1754</v>
      </c>
      <c r="N80" s="731"/>
      <c r="O80" s="731">
        <f>SUM(M80+N80)</f>
        <v>1754</v>
      </c>
    </row>
    <row r="81" spans="1:16" s="702" customFormat="1" x14ac:dyDescent="0.25">
      <c r="A81" s="693"/>
      <c r="B81" s="694" t="s">
        <v>132</v>
      </c>
      <c r="C81" s="695"/>
      <c r="D81" s="696"/>
      <c r="E81" s="696"/>
      <c r="F81" s="697"/>
      <c r="G81" s="696"/>
      <c r="H81" s="698"/>
      <c r="I81" s="704"/>
      <c r="J81" s="697"/>
      <c r="K81" s="697"/>
      <c r="L81" s="698"/>
      <c r="M81" s="701"/>
      <c r="N81" s="701"/>
      <c r="O81" s="701"/>
    </row>
    <row r="82" spans="1:16" s="702" customFormat="1" x14ac:dyDescent="0.25">
      <c r="A82" s="693"/>
      <c r="B82" s="774" t="s">
        <v>1218</v>
      </c>
      <c r="C82" s="712">
        <v>21</v>
      </c>
      <c r="D82" s="713">
        <v>4</v>
      </c>
      <c r="E82" s="713"/>
      <c r="F82" s="714"/>
      <c r="G82" s="713"/>
      <c r="H82" s="705">
        <f t="shared" ref="H82:H86" si="38">SUM(C82:G82)</f>
        <v>25</v>
      </c>
      <c r="I82" s="717"/>
      <c r="J82" s="714"/>
      <c r="K82" s="714"/>
      <c r="L82" s="705">
        <f t="shared" ref="L82:L86" si="39">SUM(I82:K82)</f>
        <v>0</v>
      </c>
      <c r="M82" s="706">
        <f t="shared" ref="M82:M86" si="40">SUM(H82+L82)</f>
        <v>25</v>
      </c>
      <c r="N82" s="706"/>
      <c r="O82" s="706">
        <f t="shared" ref="O82:O86" si="41">SUM(M82+N82)</f>
        <v>25</v>
      </c>
    </row>
    <row r="83" spans="1:16" s="702" customFormat="1" ht="16.5" thickBot="1" x14ac:dyDescent="0.3">
      <c r="A83" s="693"/>
      <c r="B83" s="952" t="s">
        <v>1220</v>
      </c>
      <c r="C83" s="751">
        <v>66</v>
      </c>
      <c r="D83" s="752">
        <v>12</v>
      </c>
      <c r="E83" s="752"/>
      <c r="F83" s="753"/>
      <c r="G83" s="752"/>
      <c r="H83" s="754">
        <f t="shared" si="38"/>
        <v>78</v>
      </c>
      <c r="I83" s="820"/>
      <c r="J83" s="753"/>
      <c r="K83" s="753"/>
      <c r="L83" s="754">
        <f t="shared" si="39"/>
        <v>0</v>
      </c>
      <c r="M83" s="754">
        <f t="shared" si="40"/>
        <v>78</v>
      </c>
      <c r="N83" s="754"/>
      <c r="O83" s="754">
        <f t="shared" si="41"/>
        <v>78</v>
      </c>
    </row>
    <row r="84" spans="1:16" s="702" customFormat="1" ht="31.5" x14ac:dyDescent="0.25">
      <c r="A84" s="693"/>
      <c r="B84" s="953" t="s">
        <v>935</v>
      </c>
      <c r="C84" s="755"/>
      <c r="D84" s="756"/>
      <c r="E84" s="756">
        <v>434</v>
      </c>
      <c r="F84" s="757"/>
      <c r="G84" s="756"/>
      <c r="H84" s="758">
        <f t="shared" si="38"/>
        <v>434</v>
      </c>
      <c r="I84" s="759">
        <v>11</v>
      </c>
      <c r="J84" s="757"/>
      <c r="K84" s="757"/>
      <c r="L84" s="758">
        <f t="shared" si="39"/>
        <v>11</v>
      </c>
      <c r="M84" s="758">
        <f t="shared" si="40"/>
        <v>445</v>
      </c>
      <c r="N84" s="758"/>
      <c r="O84" s="758">
        <f t="shared" si="41"/>
        <v>445</v>
      </c>
    </row>
    <row r="85" spans="1:16" s="702" customFormat="1" x14ac:dyDescent="0.25">
      <c r="A85" s="693"/>
      <c r="B85" s="694" t="s">
        <v>133</v>
      </c>
      <c r="C85" s="695"/>
      <c r="D85" s="696"/>
      <c r="E85" s="696"/>
      <c r="F85" s="697"/>
      <c r="G85" s="696"/>
      <c r="H85" s="698"/>
      <c r="I85" s="704"/>
      <c r="J85" s="697"/>
      <c r="K85" s="697"/>
      <c r="L85" s="698"/>
      <c r="M85" s="701"/>
      <c r="N85" s="701"/>
      <c r="O85" s="701"/>
    </row>
    <row r="86" spans="1:16" s="702" customFormat="1" ht="16.5" thickBot="1" x14ac:dyDescent="0.3">
      <c r="A86" s="693"/>
      <c r="B86" s="774" t="s">
        <v>1219</v>
      </c>
      <c r="C86" s="712">
        <v>236</v>
      </c>
      <c r="D86" s="713">
        <v>77</v>
      </c>
      <c r="E86" s="713"/>
      <c r="F86" s="714"/>
      <c r="G86" s="713"/>
      <c r="H86" s="705">
        <f t="shared" si="38"/>
        <v>313</v>
      </c>
      <c r="I86" s="717"/>
      <c r="J86" s="714"/>
      <c r="K86" s="714"/>
      <c r="L86" s="705">
        <f t="shared" si="39"/>
        <v>0</v>
      </c>
      <c r="M86" s="706">
        <f t="shared" si="40"/>
        <v>313</v>
      </c>
      <c r="N86" s="706"/>
      <c r="O86" s="706">
        <f t="shared" si="41"/>
        <v>313</v>
      </c>
    </row>
    <row r="87" spans="1:16" ht="17.25" thickTop="1" thickBot="1" x14ac:dyDescent="0.3">
      <c r="A87" s="703"/>
      <c r="B87" s="802" t="s">
        <v>400</v>
      </c>
      <c r="C87" s="803">
        <f>+C78+C82+C86+C83+C84</f>
        <v>46174</v>
      </c>
      <c r="D87" s="803">
        <f t="shared" ref="D87:O87" si="42">+D78+D82+D86+D83+D84</f>
        <v>9091</v>
      </c>
      <c r="E87" s="803">
        <f t="shared" si="42"/>
        <v>7594</v>
      </c>
      <c r="F87" s="803">
        <f t="shared" si="42"/>
        <v>0</v>
      </c>
      <c r="G87" s="803">
        <f t="shared" si="42"/>
        <v>0</v>
      </c>
      <c r="H87" s="803">
        <f t="shared" si="42"/>
        <v>62859</v>
      </c>
      <c r="I87" s="803">
        <f t="shared" si="42"/>
        <v>56</v>
      </c>
      <c r="J87" s="803">
        <f t="shared" si="42"/>
        <v>0</v>
      </c>
      <c r="K87" s="803">
        <f t="shared" si="42"/>
        <v>0</v>
      </c>
      <c r="L87" s="803">
        <f t="shared" si="42"/>
        <v>56</v>
      </c>
      <c r="M87" s="803">
        <f t="shared" si="42"/>
        <v>62915</v>
      </c>
      <c r="N87" s="803">
        <f t="shared" si="42"/>
        <v>0</v>
      </c>
      <c r="O87" s="803">
        <f t="shared" si="42"/>
        <v>62915</v>
      </c>
      <c r="P87" s="683">
        <f>O88+O89</f>
        <v>62915</v>
      </c>
    </row>
    <row r="88" spans="1:16" ht="17.25" thickTop="1" thickBot="1" x14ac:dyDescent="0.3">
      <c r="A88" s="703"/>
      <c r="B88" s="802" t="s">
        <v>399</v>
      </c>
      <c r="C88" s="803">
        <f t="shared" ref="C88:O88" si="43">+C79+C82+C83+C84</f>
        <v>44722</v>
      </c>
      <c r="D88" s="803">
        <f t="shared" si="43"/>
        <v>8611</v>
      </c>
      <c r="E88" s="803">
        <f t="shared" si="43"/>
        <v>7459</v>
      </c>
      <c r="F88" s="803">
        <f t="shared" si="43"/>
        <v>0</v>
      </c>
      <c r="G88" s="803">
        <f t="shared" si="43"/>
        <v>0</v>
      </c>
      <c r="H88" s="803">
        <f t="shared" si="43"/>
        <v>60792</v>
      </c>
      <c r="I88" s="803">
        <f t="shared" si="43"/>
        <v>56</v>
      </c>
      <c r="J88" s="803">
        <f t="shared" si="43"/>
        <v>0</v>
      </c>
      <c r="K88" s="803">
        <f t="shared" si="43"/>
        <v>0</v>
      </c>
      <c r="L88" s="803">
        <f t="shared" si="43"/>
        <v>56</v>
      </c>
      <c r="M88" s="803">
        <f t="shared" si="43"/>
        <v>60848</v>
      </c>
      <c r="N88" s="803">
        <f t="shared" si="43"/>
        <v>0</v>
      </c>
      <c r="O88" s="803">
        <f t="shared" si="43"/>
        <v>60848</v>
      </c>
    </row>
    <row r="89" spans="1:16" ht="17.25" thickTop="1" thickBot="1" x14ac:dyDescent="0.3">
      <c r="A89" s="703"/>
      <c r="B89" s="802" t="s">
        <v>398</v>
      </c>
      <c r="C89" s="803">
        <f>+C80+C86</f>
        <v>1452</v>
      </c>
      <c r="D89" s="803">
        <f t="shared" ref="D89:O89" si="44">+D80+D86</f>
        <v>480</v>
      </c>
      <c r="E89" s="803">
        <f t="shared" si="44"/>
        <v>135</v>
      </c>
      <c r="F89" s="803">
        <f t="shared" si="44"/>
        <v>0</v>
      </c>
      <c r="G89" s="803">
        <f t="shared" si="44"/>
        <v>0</v>
      </c>
      <c r="H89" s="803">
        <f t="shared" si="44"/>
        <v>2067</v>
      </c>
      <c r="I89" s="803">
        <f t="shared" si="44"/>
        <v>0</v>
      </c>
      <c r="J89" s="803">
        <f t="shared" si="44"/>
        <v>0</v>
      </c>
      <c r="K89" s="803">
        <f t="shared" si="44"/>
        <v>0</v>
      </c>
      <c r="L89" s="803">
        <f t="shared" si="44"/>
        <v>0</v>
      </c>
      <c r="M89" s="803">
        <f t="shared" si="44"/>
        <v>2067</v>
      </c>
      <c r="N89" s="803">
        <f t="shared" si="44"/>
        <v>0</v>
      </c>
      <c r="O89" s="803">
        <f t="shared" si="44"/>
        <v>2067</v>
      </c>
    </row>
    <row r="90" spans="1:16" ht="31.5" customHeight="1" thickTop="1" x14ac:dyDescent="0.25">
      <c r="A90" s="692" t="s">
        <v>151</v>
      </c>
      <c r="B90" s="801" t="s">
        <v>1224</v>
      </c>
      <c r="C90" s="712"/>
      <c r="D90" s="713"/>
      <c r="E90" s="713"/>
      <c r="F90" s="716"/>
      <c r="G90" s="713"/>
      <c r="H90" s="705"/>
      <c r="I90" s="717"/>
      <c r="J90" s="714"/>
      <c r="K90" s="714"/>
      <c r="L90" s="705"/>
      <c r="M90" s="705"/>
      <c r="N90" s="705"/>
      <c r="O90" s="705"/>
    </row>
    <row r="91" spans="1:16" x14ac:dyDescent="0.25">
      <c r="A91" s="692"/>
      <c r="B91" s="774" t="s">
        <v>363</v>
      </c>
      <c r="C91" s="712">
        <v>96104</v>
      </c>
      <c r="D91" s="713">
        <v>20692</v>
      </c>
      <c r="E91" s="713">
        <v>20973</v>
      </c>
      <c r="F91" s="714"/>
      <c r="G91" s="713"/>
      <c r="H91" s="705">
        <f>SUM(C91:G91)</f>
        <v>137769</v>
      </c>
      <c r="I91" s="717"/>
      <c r="J91" s="714"/>
      <c r="K91" s="714"/>
      <c r="L91" s="705">
        <f>SUM(I91:K91)</f>
        <v>0</v>
      </c>
      <c r="M91" s="706">
        <f>SUM(H91+L91)</f>
        <v>137769</v>
      </c>
      <c r="N91" s="706"/>
      <c r="O91" s="706">
        <f>SUM(M91+N91)</f>
        <v>137769</v>
      </c>
    </row>
    <row r="92" spans="1:16" s="702" customFormat="1" x14ac:dyDescent="0.25">
      <c r="A92" s="693"/>
      <c r="B92" s="694" t="s">
        <v>402</v>
      </c>
      <c r="C92" s="695">
        <v>93437</v>
      </c>
      <c r="D92" s="696">
        <v>19812</v>
      </c>
      <c r="E92" s="696">
        <v>20843</v>
      </c>
      <c r="F92" s="697"/>
      <c r="G92" s="696"/>
      <c r="H92" s="698">
        <f>SUM(C92:G92)</f>
        <v>134092</v>
      </c>
      <c r="I92" s="704"/>
      <c r="J92" s="697"/>
      <c r="K92" s="697"/>
      <c r="L92" s="698">
        <f>SUM(I92:K92)</f>
        <v>0</v>
      </c>
      <c r="M92" s="701">
        <f>SUM(H92+L92)</f>
        <v>134092</v>
      </c>
      <c r="N92" s="701"/>
      <c r="O92" s="701">
        <f>SUM(M92+N92)</f>
        <v>134092</v>
      </c>
    </row>
    <row r="93" spans="1:16" s="702" customFormat="1" x14ac:dyDescent="0.25">
      <c r="A93" s="693"/>
      <c r="B93" s="694" t="s">
        <v>401</v>
      </c>
      <c r="C93" s="695">
        <v>2667</v>
      </c>
      <c r="D93" s="696">
        <v>880</v>
      </c>
      <c r="E93" s="696">
        <v>130</v>
      </c>
      <c r="F93" s="697"/>
      <c r="G93" s="696"/>
      <c r="H93" s="698">
        <f>SUM(C93:G93)</f>
        <v>3677</v>
      </c>
      <c r="I93" s="704"/>
      <c r="J93" s="697"/>
      <c r="K93" s="697"/>
      <c r="L93" s="698">
        <f>SUM(I93:K93)</f>
        <v>0</v>
      </c>
      <c r="M93" s="701">
        <f>SUM(H93+L93)</f>
        <v>3677</v>
      </c>
      <c r="N93" s="701"/>
      <c r="O93" s="701">
        <f>SUM(M93+N93)</f>
        <v>3677</v>
      </c>
    </row>
    <row r="94" spans="1:16" s="702" customFormat="1" x14ac:dyDescent="0.25">
      <c r="A94" s="693"/>
      <c r="B94" s="694" t="s">
        <v>132</v>
      </c>
      <c r="C94" s="695"/>
      <c r="D94" s="696"/>
      <c r="E94" s="696"/>
      <c r="F94" s="697"/>
      <c r="G94" s="696"/>
      <c r="H94" s="698"/>
      <c r="I94" s="704"/>
      <c r="J94" s="697"/>
      <c r="K94" s="697"/>
      <c r="L94" s="698"/>
      <c r="M94" s="701"/>
      <c r="N94" s="701"/>
      <c r="O94" s="701"/>
    </row>
    <row r="95" spans="1:16" x14ac:dyDescent="0.25">
      <c r="A95" s="711"/>
      <c r="B95" s="774" t="s">
        <v>1218</v>
      </c>
      <c r="C95" s="712">
        <v>174</v>
      </c>
      <c r="D95" s="713">
        <v>30</v>
      </c>
      <c r="E95" s="713"/>
      <c r="F95" s="714"/>
      <c r="G95" s="713"/>
      <c r="H95" s="705">
        <f t="shared" ref="H95:H99" si="45">SUM(C95:G95)</f>
        <v>204</v>
      </c>
      <c r="I95" s="717"/>
      <c r="J95" s="714"/>
      <c r="K95" s="714"/>
      <c r="L95" s="705">
        <f t="shared" ref="L95:L99" si="46">SUM(I95:K95)</f>
        <v>0</v>
      </c>
      <c r="M95" s="706">
        <f t="shared" ref="M95:M99" si="47">SUM(H95+L95)</f>
        <v>204</v>
      </c>
      <c r="N95" s="706"/>
      <c r="O95" s="706">
        <f t="shared" ref="O95:O99" si="48">SUM(M95+N95)</f>
        <v>204</v>
      </c>
    </row>
    <row r="96" spans="1:16" x14ac:dyDescent="0.25">
      <c r="A96" s="711"/>
      <c r="B96" s="774" t="s">
        <v>1220</v>
      </c>
      <c r="C96" s="712">
        <v>135</v>
      </c>
      <c r="D96" s="713">
        <v>24</v>
      </c>
      <c r="E96" s="713"/>
      <c r="F96" s="714"/>
      <c r="G96" s="713"/>
      <c r="H96" s="705">
        <f t="shared" si="45"/>
        <v>159</v>
      </c>
      <c r="I96" s="717"/>
      <c r="J96" s="714"/>
      <c r="K96" s="714"/>
      <c r="L96" s="705">
        <f t="shared" si="46"/>
        <v>0</v>
      </c>
      <c r="M96" s="706">
        <f t="shared" si="47"/>
        <v>159</v>
      </c>
      <c r="N96" s="706"/>
      <c r="O96" s="706">
        <f t="shared" si="48"/>
        <v>159</v>
      </c>
    </row>
    <row r="97" spans="1:16" ht="31.5" x14ac:dyDescent="0.25">
      <c r="A97" s="711"/>
      <c r="B97" s="774" t="s">
        <v>935</v>
      </c>
      <c r="C97" s="712"/>
      <c r="D97" s="713"/>
      <c r="E97" s="713">
        <v>1374</v>
      </c>
      <c r="F97" s="714"/>
      <c r="G97" s="713"/>
      <c r="H97" s="705">
        <f t="shared" si="45"/>
        <v>1374</v>
      </c>
      <c r="I97" s="717"/>
      <c r="J97" s="714"/>
      <c r="K97" s="714"/>
      <c r="L97" s="705">
        <f t="shared" si="46"/>
        <v>0</v>
      </c>
      <c r="M97" s="706">
        <f t="shared" si="47"/>
        <v>1374</v>
      </c>
      <c r="N97" s="706"/>
      <c r="O97" s="706">
        <f t="shared" si="48"/>
        <v>1374</v>
      </c>
    </row>
    <row r="98" spans="1:16" s="702" customFormat="1" x14ac:dyDescent="0.25">
      <c r="A98" s="693"/>
      <c r="B98" s="694" t="s">
        <v>133</v>
      </c>
      <c r="C98" s="695"/>
      <c r="D98" s="696"/>
      <c r="E98" s="696"/>
      <c r="F98" s="697"/>
      <c r="G98" s="696"/>
      <c r="H98" s="698"/>
      <c r="I98" s="704"/>
      <c r="J98" s="697"/>
      <c r="K98" s="697"/>
      <c r="L98" s="698"/>
      <c r="M98" s="701"/>
      <c r="N98" s="701"/>
      <c r="O98" s="701"/>
    </row>
    <row r="99" spans="1:16" ht="16.5" thickBot="1" x14ac:dyDescent="0.3">
      <c r="A99" s="711"/>
      <c r="B99" s="774" t="s">
        <v>1219</v>
      </c>
      <c r="C99" s="712">
        <v>525</v>
      </c>
      <c r="D99" s="713">
        <v>170</v>
      </c>
      <c r="E99" s="713"/>
      <c r="F99" s="714"/>
      <c r="G99" s="713"/>
      <c r="H99" s="705">
        <f t="shared" si="45"/>
        <v>695</v>
      </c>
      <c r="I99" s="717"/>
      <c r="J99" s="714"/>
      <c r="K99" s="714"/>
      <c r="L99" s="705">
        <f t="shared" si="46"/>
        <v>0</v>
      </c>
      <c r="M99" s="706">
        <f t="shared" si="47"/>
        <v>695</v>
      </c>
      <c r="N99" s="706"/>
      <c r="O99" s="706">
        <f t="shared" si="48"/>
        <v>695</v>
      </c>
    </row>
    <row r="100" spans="1:16" ht="17.25" thickTop="1" thickBot="1" x14ac:dyDescent="0.3">
      <c r="A100" s="703"/>
      <c r="B100" s="802" t="s">
        <v>400</v>
      </c>
      <c r="C100" s="803">
        <f>+C91+C95+C99+C96+C97</f>
        <v>96938</v>
      </c>
      <c r="D100" s="803">
        <f t="shared" ref="D100:O100" si="49">+D91+D95+D99+D96+D97</f>
        <v>20916</v>
      </c>
      <c r="E100" s="803">
        <f t="shared" si="49"/>
        <v>22347</v>
      </c>
      <c r="F100" s="803">
        <f t="shared" si="49"/>
        <v>0</v>
      </c>
      <c r="G100" s="803">
        <f t="shared" si="49"/>
        <v>0</v>
      </c>
      <c r="H100" s="803">
        <f t="shared" si="49"/>
        <v>140201</v>
      </c>
      <c r="I100" s="803">
        <f t="shared" si="49"/>
        <v>0</v>
      </c>
      <c r="J100" s="803">
        <f t="shared" si="49"/>
        <v>0</v>
      </c>
      <c r="K100" s="803">
        <f t="shared" si="49"/>
        <v>0</v>
      </c>
      <c r="L100" s="803">
        <f t="shared" si="49"/>
        <v>0</v>
      </c>
      <c r="M100" s="803">
        <f t="shared" si="49"/>
        <v>140201</v>
      </c>
      <c r="N100" s="803">
        <f t="shared" si="49"/>
        <v>0</v>
      </c>
      <c r="O100" s="803">
        <f t="shared" si="49"/>
        <v>140201</v>
      </c>
      <c r="P100" s="683">
        <f>O101+O102</f>
        <v>140201</v>
      </c>
    </row>
    <row r="101" spans="1:16" ht="17.25" thickTop="1" thickBot="1" x14ac:dyDescent="0.3">
      <c r="A101" s="703"/>
      <c r="B101" s="802" t="s">
        <v>399</v>
      </c>
      <c r="C101" s="803">
        <f t="shared" ref="C101:O101" si="50">+C92+C95+C96+C97</f>
        <v>93746</v>
      </c>
      <c r="D101" s="803">
        <f t="shared" si="50"/>
        <v>19866</v>
      </c>
      <c r="E101" s="803">
        <f t="shared" si="50"/>
        <v>22217</v>
      </c>
      <c r="F101" s="803">
        <f t="shared" si="50"/>
        <v>0</v>
      </c>
      <c r="G101" s="803">
        <f t="shared" si="50"/>
        <v>0</v>
      </c>
      <c r="H101" s="803">
        <f t="shared" si="50"/>
        <v>135829</v>
      </c>
      <c r="I101" s="803">
        <f t="shared" si="50"/>
        <v>0</v>
      </c>
      <c r="J101" s="803">
        <f t="shared" si="50"/>
        <v>0</v>
      </c>
      <c r="K101" s="803">
        <f t="shared" si="50"/>
        <v>0</v>
      </c>
      <c r="L101" s="803">
        <f t="shared" si="50"/>
        <v>0</v>
      </c>
      <c r="M101" s="803">
        <f t="shared" si="50"/>
        <v>135829</v>
      </c>
      <c r="N101" s="803">
        <f t="shared" si="50"/>
        <v>0</v>
      </c>
      <c r="O101" s="803">
        <f t="shared" si="50"/>
        <v>135829</v>
      </c>
    </row>
    <row r="102" spans="1:16" ht="17.25" thickTop="1" thickBot="1" x14ac:dyDescent="0.3">
      <c r="A102" s="703"/>
      <c r="B102" s="802" t="s">
        <v>398</v>
      </c>
      <c r="C102" s="803">
        <f>+C93+C99</f>
        <v>3192</v>
      </c>
      <c r="D102" s="803">
        <f t="shared" ref="D102:O102" si="51">+D93+D99</f>
        <v>1050</v>
      </c>
      <c r="E102" s="803">
        <f t="shared" si="51"/>
        <v>130</v>
      </c>
      <c r="F102" s="803">
        <f t="shared" si="51"/>
        <v>0</v>
      </c>
      <c r="G102" s="803">
        <f t="shared" si="51"/>
        <v>0</v>
      </c>
      <c r="H102" s="803">
        <f t="shared" si="51"/>
        <v>4372</v>
      </c>
      <c r="I102" s="803">
        <f t="shared" si="51"/>
        <v>0</v>
      </c>
      <c r="J102" s="803">
        <f t="shared" si="51"/>
        <v>0</v>
      </c>
      <c r="K102" s="803">
        <f t="shared" si="51"/>
        <v>0</v>
      </c>
      <c r="L102" s="803">
        <f t="shared" si="51"/>
        <v>0</v>
      </c>
      <c r="M102" s="803">
        <f t="shared" si="51"/>
        <v>4372</v>
      </c>
      <c r="N102" s="803">
        <f t="shared" si="51"/>
        <v>0</v>
      </c>
      <c r="O102" s="803">
        <f t="shared" si="51"/>
        <v>4372</v>
      </c>
    </row>
    <row r="103" spans="1:16" ht="32.25" thickTop="1" x14ac:dyDescent="0.25">
      <c r="A103" s="692" t="s">
        <v>152</v>
      </c>
      <c r="B103" s="801" t="s">
        <v>1225</v>
      </c>
      <c r="C103" s="712"/>
      <c r="D103" s="713"/>
      <c r="E103" s="713"/>
      <c r="F103" s="716"/>
      <c r="G103" s="713"/>
      <c r="H103" s="705"/>
      <c r="I103" s="717"/>
      <c r="J103" s="714"/>
      <c r="K103" s="714"/>
      <c r="L103" s="705"/>
      <c r="M103" s="705"/>
      <c r="N103" s="705"/>
      <c r="O103" s="705"/>
    </row>
    <row r="104" spans="1:16" x14ac:dyDescent="0.25">
      <c r="A104" s="692"/>
      <c r="B104" s="774" t="s">
        <v>363</v>
      </c>
      <c r="C104" s="712">
        <v>75556</v>
      </c>
      <c r="D104" s="713">
        <v>16724</v>
      </c>
      <c r="E104" s="713">
        <v>15917</v>
      </c>
      <c r="F104" s="714"/>
      <c r="G104" s="713"/>
      <c r="H104" s="705">
        <f>SUM(C104:G104)</f>
        <v>108197</v>
      </c>
      <c r="I104" s="717">
        <v>27</v>
      </c>
      <c r="J104" s="714"/>
      <c r="K104" s="714"/>
      <c r="L104" s="705">
        <f>SUM(I104:K104)</f>
        <v>27</v>
      </c>
      <c r="M104" s="706">
        <f>SUM(H104+L104)</f>
        <v>108224</v>
      </c>
      <c r="N104" s="706"/>
      <c r="O104" s="706">
        <f>SUM(M104+N104)</f>
        <v>108224</v>
      </c>
    </row>
    <row r="105" spans="1:16" s="702" customFormat="1" x14ac:dyDescent="0.25">
      <c r="A105" s="693"/>
      <c r="B105" s="694" t="s">
        <v>402</v>
      </c>
      <c r="C105" s="695">
        <v>73267</v>
      </c>
      <c r="D105" s="696">
        <v>15975</v>
      </c>
      <c r="E105" s="696">
        <v>15797</v>
      </c>
      <c r="F105" s="697"/>
      <c r="G105" s="696"/>
      <c r="H105" s="698">
        <f>SUM(C105:G105)</f>
        <v>105039</v>
      </c>
      <c r="I105" s="704">
        <v>27</v>
      </c>
      <c r="J105" s="697"/>
      <c r="K105" s="697"/>
      <c r="L105" s="698">
        <f>SUM(I105:K105)</f>
        <v>27</v>
      </c>
      <c r="M105" s="701">
        <f>SUM(H105+L105)</f>
        <v>105066</v>
      </c>
      <c r="N105" s="701"/>
      <c r="O105" s="701">
        <f>SUM(M105+N105)</f>
        <v>105066</v>
      </c>
    </row>
    <row r="106" spans="1:16" s="702" customFormat="1" x14ac:dyDescent="0.25">
      <c r="A106" s="693"/>
      <c r="B106" s="694" t="s">
        <v>401</v>
      </c>
      <c r="C106" s="695">
        <v>2289</v>
      </c>
      <c r="D106" s="696">
        <v>749</v>
      </c>
      <c r="E106" s="696">
        <v>120</v>
      </c>
      <c r="F106" s="697"/>
      <c r="G106" s="696"/>
      <c r="H106" s="698">
        <f>SUM(C106:G106)</f>
        <v>3158</v>
      </c>
      <c r="I106" s="704"/>
      <c r="J106" s="697"/>
      <c r="K106" s="697"/>
      <c r="L106" s="698">
        <f>SUM(I106:K106)</f>
        <v>0</v>
      </c>
      <c r="M106" s="701">
        <f>SUM(H106+L106)</f>
        <v>3158</v>
      </c>
      <c r="N106" s="701"/>
      <c r="O106" s="701">
        <f>SUM(M106+N106)</f>
        <v>3158</v>
      </c>
    </row>
    <row r="107" spans="1:16" s="702" customFormat="1" x14ac:dyDescent="0.25">
      <c r="A107" s="693"/>
      <c r="B107" s="694" t="s">
        <v>132</v>
      </c>
      <c r="C107" s="695"/>
      <c r="D107" s="696"/>
      <c r="E107" s="696"/>
      <c r="F107" s="697"/>
      <c r="G107" s="696"/>
      <c r="H107" s="698"/>
      <c r="I107" s="704"/>
      <c r="J107" s="697"/>
      <c r="K107" s="697"/>
      <c r="L107" s="698"/>
      <c r="M107" s="701"/>
      <c r="N107" s="701"/>
      <c r="O107" s="701"/>
    </row>
    <row r="108" spans="1:16" s="702" customFormat="1" x14ac:dyDescent="0.25">
      <c r="A108" s="693"/>
      <c r="B108" s="774" t="s">
        <v>1218</v>
      </c>
      <c r="C108" s="712">
        <v>26</v>
      </c>
      <c r="D108" s="713">
        <v>5</v>
      </c>
      <c r="E108" s="713"/>
      <c r="F108" s="697"/>
      <c r="G108" s="696"/>
      <c r="H108" s="705">
        <f t="shared" ref="H108:H112" si="52">SUM(C108:G108)</f>
        <v>31</v>
      </c>
      <c r="I108" s="704"/>
      <c r="J108" s="697"/>
      <c r="K108" s="697"/>
      <c r="L108" s="705">
        <f t="shared" ref="L108:L112" si="53">SUM(I108:K108)</f>
        <v>0</v>
      </c>
      <c r="M108" s="706">
        <f t="shared" ref="M108:M112" si="54">SUM(H108+L108)</f>
        <v>31</v>
      </c>
      <c r="N108" s="701"/>
      <c r="O108" s="706">
        <f t="shared" ref="O108:O112" si="55">SUM(M108+N108)</f>
        <v>31</v>
      </c>
    </row>
    <row r="109" spans="1:16" s="702" customFormat="1" x14ac:dyDescent="0.25">
      <c r="A109" s="693"/>
      <c r="B109" s="774" t="s">
        <v>1220</v>
      </c>
      <c r="C109" s="712">
        <v>96</v>
      </c>
      <c r="D109" s="713">
        <v>17</v>
      </c>
      <c r="E109" s="713"/>
      <c r="F109" s="697"/>
      <c r="G109" s="696"/>
      <c r="H109" s="705">
        <f t="shared" si="52"/>
        <v>113</v>
      </c>
      <c r="I109" s="704"/>
      <c r="J109" s="697"/>
      <c r="K109" s="697"/>
      <c r="L109" s="705">
        <f t="shared" si="53"/>
        <v>0</v>
      </c>
      <c r="M109" s="706">
        <f t="shared" si="54"/>
        <v>113</v>
      </c>
      <c r="N109" s="701"/>
      <c r="O109" s="706">
        <f t="shared" si="55"/>
        <v>113</v>
      </c>
    </row>
    <row r="110" spans="1:16" s="702" customFormat="1" ht="31.5" x14ac:dyDescent="0.25">
      <c r="A110" s="693"/>
      <c r="B110" s="774" t="s">
        <v>935</v>
      </c>
      <c r="C110" s="712"/>
      <c r="D110" s="713"/>
      <c r="E110" s="713">
        <v>572</v>
      </c>
      <c r="F110" s="697"/>
      <c r="G110" s="696"/>
      <c r="H110" s="705">
        <f t="shared" si="52"/>
        <v>572</v>
      </c>
      <c r="I110" s="704"/>
      <c r="J110" s="697"/>
      <c r="K110" s="697"/>
      <c r="L110" s="705">
        <f t="shared" si="53"/>
        <v>0</v>
      </c>
      <c r="M110" s="706">
        <f t="shared" si="54"/>
        <v>572</v>
      </c>
      <c r="N110" s="701"/>
      <c r="O110" s="706">
        <f t="shared" si="55"/>
        <v>572</v>
      </c>
    </row>
    <row r="111" spans="1:16" s="702" customFormat="1" x14ac:dyDescent="0.25">
      <c r="A111" s="693"/>
      <c r="B111" s="694" t="s">
        <v>133</v>
      </c>
      <c r="C111" s="712"/>
      <c r="D111" s="713"/>
      <c r="E111" s="713"/>
      <c r="F111" s="697"/>
      <c r="G111" s="696"/>
      <c r="H111" s="705"/>
      <c r="I111" s="704"/>
      <c r="J111" s="697"/>
      <c r="K111" s="697"/>
      <c r="L111" s="705"/>
      <c r="M111" s="706"/>
      <c r="N111" s="701"/>
      <c r="O111" s="706"/>
    </row>
    <row r="112" spans="1:16" s="702" customFormat="1" ht="16.5" thickBot="1" x14ac:dyDescent="0.3">
      <c r="A112" s="693"/>
      <c r="B112" s="774" t="s">
        <v>1219</v>
      </c>
      <c r="C112" s="712">
        <v>428</v>
      </c>
      <c r="D112" s="713">
        <v>139</v>
      </c>
      <c r="E112" s="713"/>
      <c r="F112" s="697"/>
      <c r="G112" s="696"/>
      <c r="H112" s="705">
        <f t="shared" si="52"/>
        <v>567</v>
      </c>
      <c r="I112" s="704"/>
      <c r="J112" s="697"/>
      <c r="K112" s="697"/>
      <c r="L112" s="705">
        <f t="shared" si="53"/>
        <v>0</v>
      </c>
      <c r="M112" s="706">
        <f t="shared" si="54"/>
        <v>567</v>
      </c>
      <c r="N112" s="701"/>
      <c r="O112" s="706">
        <f t="shared" si="55"/>
        <v>567</v>
      </c>
    </row>
    <row r="113" spans="1:16" ht="17.25" thickTop="1" thickBot="1" x14ac:dyDescent="0.3">
      <c r="A113" s="703"/>
      <c r="B113" s="802" t="s">
        <v>400</v>
      </c>
      <c r="C113" s="803">
        <f>+C104+C108+C112+C109+C110</f>
        <v>76106</v>
      </c>
      <c r="D113" s="803">
        <f t="shared" ref="D113:O113" si="56">+D104+D108+D112+D109+D110</f>
        <v>16885</v>
      </c>
      <c r="E113" s="803">
        <f t="shared" si="56"/>
        <v>16489</v>
      </c>
      <c r="F113" s="803">
        <f t="shared" si="56"/>
        <v>0</v>
      </c>
      <c r="G113" s="803">
        <f t="shared" si="56"/>
        <v>0</v>
      </c>
      <c r="H113" s="803">
        <f t="shared" si="56"/>
        <v>109480</v>
      </c>
      <c r="I113" s="803">
        <f t="shared" si="56"/>
        <v>27</v>
      </c>
      <c r="J113" s="803">
        <f t="shared" si="56"/>
        <v>0</v>
      </c>
      <c r="K113" s="803">
        <f t="shared" si="56"/>
        <v>0</v>
      </c>
      <c r="L113" s="803">
        <f t="shared" si="56"/>
        <v>27</v>
      </c>
      <c r="M113" s="803">
        <f t="shared" si="56"/>
        <v>109507</v>
      </c>
      <c r="N113" s="803">
        <f t="shared" si="56"/>
        <v>0</v>
      </c>
      <c r="O113" s="803">
        <f t="shared" si="56"/>
        <v>109507</v>
      </c>
      <c r="P113" s="683">
        <f>O114+O115</f>
        <v>109507</v>
      </c>
    </row>
    <row r="114" spans="1:16" ht="17.25" thickTop="1" thickBot="1" x14ac:dyDescent="0.3">
      <c r="A114" s="703"/>
      <c r="B114" s="802" t="s">
        <v>399</v>
      </c>
      <c r="C114" s="803">
        <f t="shared" ref="C114:O114" si="57">+C105+C108+C109+C110</f>
        <v>73389</v>
      </c>
      <c r="D114" s="803">
        <f t="shared" si="57"/>
        <v>15997</v>
      </c>
      <c r="E114" s="803">
        <f t="shared" si="57"/>
        <v>16369</v>
      </c>
      <c r="F114" s="803">
        <f t="shared" si="57"/>
        <v>0</v>
      </c>
      <c r="G114" s="803">
        <f t="shared" si="57"/>
        <v>0</v>
      </c>
      <c r="H114" s="803">
        <f t="shared" si="57"/>
        <v>105755</v>
      </c>
      <c r="I114" s="803">
        <f t="shared" si="57"/>
        <v>27</v>
      </c>
      <c r="J114" s="803">
        <f t="shared" si="57"/>
        <v>0</v>
      </c>
      <c r="K114" s="803">
        <f t="shared" si="57"/>
        <v>0</v>
      </c>
      <c r="L114" s="803">
        <f t="shared" si="57"/>
        <v>27</v>
      </c>
      <c r="M114" s="803">
        <f t="shared" si="57"/>
        <v>105782</v>
      </c>
      <c r="N114" s="803">
        <f t="shared" si="57"/>
        <v>0</v>
      </c>
      <c r="O114" s="803">
        <f t="shared" si="57"/>
        <v>105782</v>
      </c>
    </row>
    <row r="115" spans="1:16" ht="17.25" thickTop="1" thickBot="1" x14ac:dyDescent="0.3">
      <c r="A115" s="703"/>
      <c r="B115" s="802" t="s">
        <v>398</v>
      </c>
      <c r="C115" s="803">
        <f>+C106+C112</f>
        <v>2717</v>
      </c>
      <c r="D115" s="803">
        <f t="shared" ref="D115:O115" si="58">+D106+D112</f>
        <v>888</v>
      </c>
      <c r="E115" s="803">
        <f t="shared" si="58"/>
        <v>120</v>
      </c>
      <c r="F115" s="803">
        <f t="shared" si="58"/>
        <v>0</v>
      </c>
      <c r="G115" s="803">
        <f t="shared" si="58"/>
        <v>0</v>
      </c>
      <c r="H115" s="803">
        <f t="shared" si="58"/>
        <v>3725</v>
      </c>
      <c r="I115" s="803">
        <f t="shared" si="58"/>
        <v>0</v>
      </c>
      <c r="J115" s="803">
        <f t="shared" si="58"/>
        <v>0</v>
      </c>
      <c r="K115" s="803">
        <f t="shared" si="58"/>
        <v>0</v>
      </c>
      <c r="L115" s="803">
        <f t="shared" si="58"/>
        <v>0</v>
      </c>
      <c r="M115" s="803">
        <f t="shared" si="58"/>
        <v>3725</v>
      </c>
      <c r="N115" s="803">
        <f t="shared" si="58"/>
        <v>0</v>
      </c>
      <c r="O115" s="803">
        <f t="shared" si="58"/>
        <v>3725</v>
      </c>
    </row>
    <row r="116" spans="1:16" ht="17.25" thickTop="1" thickBot="1" x14ac:dyDescent="0.3">
      <c r="A116" s="703"/>
      <c r="B116" s="802" t="s">
        <v>426</v>
      </c>
      <c r="C116" s="803">
        <f t="shared" ref="C116:O116" si="59">SUM(C48+C61+C74+C87+C100+C113)</f>
        <v>459093</v>
      </c>
      <c r="D116" s="803">
        <f t="shared" si="59"/>
        <v>93846</v>
      </c>
      <c r="E116" s="803">
        <f t="shared" si="59"/>
        <v>96457</v>
      </c>
      <c r="F116" s="803">
        <f t="shared" si="59"/>
        <v>0</v>
      </c>
      <c r="G116" s="803">
        <f t="shared" si="59"/>
        <v>0</v>
      </c>
      <c r="H116" s="803">
        <f t="shared" si="59"/>
        <v>649396</v>
      </c>
      <c r="I116" s="803">
        <f t="shared" si="59"/>
        <v>1266</v>
      </c>
      <c r="J116" s="803">
        <f t="shared" si="59"/>
        <v>0</v>
      </c>
      <c r="K116" s="803">
        <f t="shared" si="59"/>
        <v>0</v>
      </c>
      <c r="L116" s="803">
        <f t="shared" si="59"/>
        <v>1266</v>
      </c>
      <c r="M116" s="803">
        <f t="shared" si="59"/>
        <v>650662</v>
      </c>
      <c r="N116" s="803">
        <f t="shared" si="59"/>
        <v>0</v>
      </c>
      <c r="O116" s="803">
        <f t="shared" si="59"/>
        <v>650662</v>
      </c>
    </row>
    <row r="117" spans="1:16" ht="16.5" thickTop="1" x14ac:dyDescent="0.25">
      <c r="A117" s="692" t="s">
        <v>153</v>
      </c>
      <c r="B117" s="801" t="s">
        <v>425</v>
      </c>
      <c r="C117" s="712"/>
      <c r="D117" s="713"/>
      <c r="E117" s="713"/>
      <c r="F117" s="716"/>
      <c r="G117" s="713"/>
      <c r="H117" s="705"/>
      <c r="I117" s="717"/>
      <c r="J117" s="714"/>
      <c r="K117" s="714"/>
      <c r="L117" s="705"/>
      <c r="M117" s="705"/>
      <c r="N117" s="705"/>
      <c r="O117" s="705"/>
    </row>
    <row r="118" spans="1:16" x14ac:dyDescent="0.25">
      <c r="A118" s="692"/>
      <c r="B118" s="774" t="s">
        <v>363</v>
      </c>
      <c r="C118" s="712">
        <v>181265</v>
      </c>
      <c r="D118" s="713">
        <v>38959</v>
      </c>
      <c r="E118" s="713">
        <v>75646</v>
      </c>
      <c r="F118" s="714"/>
      <c r="G118" s="713"/>
      <c r="H118" s="705">
        <f>SUM(C118:G118)</f>
        <v>295870</v>
      </c>
      <c r="I118" s="717">
        <v>26</v>
      </c>
      <c r="J118" s="714"/>
      <c r="K118" s="714"/>
      <c r="L118" s="705">
        <f>SUM(I118:K118)</f>
        <v>26</v>
      </c>
      <c r="M118" s="706">
        <f>SUM(H118+L118)</f>
        <v>295896</v>
      </c>
      <c r="N118" s="706"/>
      <c r="O118" s="706">
        <f>SUM(M118+N118)</f>
        <v>295896</v>
      </c>
    </row>
    <row r="119" spans="1:16" x14ac:dyDescent="0.25">
      <c r="A119" s="692"/>
      <c r="B119" s="694" t="s">
        <v>402</v>
      </c>
      <c r="C119" s="695">
        <v>176804</v>
      </c>
      <c r="D119" s="696">
        <v>37470</v>
      </c>
      <c r="E119" s="696">
        <v>75461</v>
      </c>
      <c r="F119" s="697"/>
      <c r="G119" s="696"/>
      <c r="H119" s="698">
        <f>SUM(C119:G119)</f>
        <v>289735</v>
      </c>
      <c r="I119" s="704">
        <v>26</v>
      </c>
      <c r="J119" s="697"/>
      <c r="K119" s="697"/>
      <c r="L119" s="698">
        <f>SUM(I119:K119)</f>
        <v>26</v>
      </c>
      <c r="M119" s="701">
        <f>SUM(H119+L119)</f>
        <v>289761</v>
      </c>
      <c r="N119" s="701"/>
      <c r="O119" s="701">
        <f>SUM(M119+N119)</f>
        <v>289761</v>
      </c>
    </row>
    <row r="120" spans="1:16" ht="16.5" thickBot="1" x14ac:dyDescent="0.3">
      <c r="A120" s="733"/>
      <c r="B120" s="720" t="s">
        <v>401</v>
      </c>
      <c r="C120" s="721">
        <v>4461</v>
      </c>
      <c r="D120" s="722">
        <v>1489</v>
      </c>
      <c r="E120" s="722">
        <v>185</v>
      </c>
      <c r="F120" s="723"/>
      <c r="G120" s="722"/>
      <c r="H120" s="724">
        <f>SUM(C120:G120)</f>
        <v>6135</v>
      </c>
      <c r="I120" s="725"/>
      <c r="J120" s="723"/>
      <c r="K120" s="723"/>
      <c r="L120" s="724">
        <f>SUM(I120:K120)</f>
        <v>0</v>
      </c>
      <c r="M120" s="724">
        <f>SUM(H120+L120)</f>
        <v>6135</v>
      </c>
      <c r="N120" s="724"/>
      <c r="O120" s="724">
        <f>SUM(M120+N120)</f>
        <v>6135</v>
      </c>
    </row>
    <row r="121" spans="1:16" x14ac:dyDescent="0.25">
      <c r="A121" s="734"/>
      <c r="B121" s="727" t="s">
        <v>132</v>
      </c>
      <c r="C121" s="728"/>
      <c r="D121" s="729"/>
      <c r="E121" s="729"/>
      <c r="F121" s="730"/>
      <c r="G121" s="729"/>
      <c r="H121" s="731"/>
      <c r="I121" s="732"/>
      <c r="J121" s="730"/>
      <c r="K121" s="730"/>
      <c r="L121" s="731"/>
      <c r="M121" s="731"/>
      <c r="N121" s="731"/>
      <c r="O121" s="731"/>
    </row>
    <row r="122" spans="1:16" x14ac:dyDescent="0.25">
      <c r="A122" s="692"/>
      <c r="B122" s="774" t="s">
        <v>1218</v>
      </c>
      <c r="C122" s="712">
        <v>11</v>
      </c>
      <c r="D122" s="713">
        <v>2</v>
      </c>
      <c r="E122" s="713"/>
      <c r="F122" s="714"/>
      <c r="G122" s="696"/>
      <c r="H122" s="705">
        <f t="shared" ref="H122:H126" si="60">SUM(C122:G122)</f>
        <v>13</v>
      </c>
      <c r="I122" s="704"/>
      <c r="J122" s="697"/>
      <c r="K122" s="697"/>
      <c r="L122" s="705">
        <f t="shared" ref="L122:L126" si="61">SUM(I122:K122)</f>
        <v>0</v>
      </c>
      <c r="M122" s="705">
        <f t="shared" ref="M122:M126" si="62">SUM(H122+L122)</f>
        <v>13</v>
      </c>
      <c r="N122" s="698"/>
      <c r="O122" s="705">
        <f t="shared" ref="O122:O126" si="63">SUM(M122+N122)</f>
        <v>13</v>
      </c>
    </row>
    <row r="123" spans="1:16" ht="47.25" x14ac:dyDescent="0.25">
      <c r="A123" s="735"/>
      <c r="B123" s="774" t="s">
        <v>1198</v>
      </c>
      <c r="C123" s="712">
        <v>1032</v>
      </c>
      <c r="D123" s="713">
        <v>181</v>
      </c>
      <c r="E123" s="713"/>
      <c r="F123" s="714"/>
      <c r="G123" s="696"/>
      <c r="H123" s="705">
        <f t="shared" si="60"/>
        <v>1213</v>
      </c>
      <c r="I123" s="704"/>
      <c r="J123" s="697"/>
      <c r="K123" s="697"/>
      <c r="L123" s="705">
        <f t="shared" si="61"/>
        <v>0</v>
      </c>
      <c r="M123" s="705">
        <f t="shared" si="62"/>
        <v>1213</v>
      </c>
      <c r="N123" s="698"/>
      <c r="O123" s="705">
        <f t="shared" si="63"/>
        <v>1213</v>
      </c>
    </row>
    <row r="124" spans="1:16" ht="31.5" x14ac:dyDescent="0.25">
      <c r="A124" s="692"/>
      <c r="B124" s="774" t="s">
        <v>935</v>
      </c>
      <c r="C124" s="712">
        <v>346</v>
      </c>
      <c r="D124" s="713">
        <v>54</v>
      </c>
      <c r="E124" s="713">
        <v>4095</v>
      </c>
      <c r="F124" s="714"/>
      <c r="G124" s="696"/>
      <c r="H124" s="705">
        <f t="shared" si="60"/>
        <v>4495</v>
      </c>
      <c r="I124" s="704">
        <v>40</v>
      </c>
      <c r="J124" s="697"/>
      <c r="K124" s="697"/>
      <c r="L124" s="705">
        <f t="shared" si="61"/>
        <v>40</v>
      </c>
      <c r="M124" s="705">
        <f t="shared" si="62"/>
        <v>4535</v>
      </c>
      <c r="N124" s="698"/>
      <c r="O124" s="705">
        <f t="shared" si="63"/>
        <v>4535</v>
      </c>
    </row>
    <row r="125" spans="1:16" ht="16.5" thickBot="1" x14ac:dyDescent="0.3">
      <c r="A125" s="733"/>
      <c r="B125" s="720" t="s">
        <v>133</v>
      </c>
      <c r="C125" s="751"/>
      <c r="D125" s="752"/>
      <c r="E125" s="752"/>
      <c r="F125" s="753"/>
      <c r="G125" s="722"/>
      <c r="H125" s="754"/>
      <c r="I125" s="725"/>
      <c r="J125" s="723"/>
      <c r="K125" s="723"/>
      <c r="L125" s="754"/>
      <c r="M125" s="754"/>
      <c r="N125" s="724"/>
      <c r="O125" s="754"/>
    </row>
    <row r="126" spans="1:16" ht="16.5" thickBot="1" x14ac:dyDescent="0.3">
      <c r="A126" s="954"/>
      <c r="B126" s="955" t="s">
        <v>1219</v>
      </c>
      <c r="C126" s="956">
        <v>875</v>
      </c>
      <c r="D126" s="957">
        <v>284</v>
      </c>
      <c r="E126" s="957"/>
      <c r="F126" s="958"/>
      <c r="G126" s="959"/>
      <c r="H126" s="960">
        <f t="shared" si="60"/>
        <v>1159</v>
      </c>
      <c r="I126" s="961"/>
      <c r="J126" s="962"/>
      <c r="K126" s="962"/>
      <c r="L126" s="960">
        <f t="shared" si="61"/>
        <v>0</v>
      </c>
      <c r="M126" s="960">
        <f t="shared" si="62"/>
        <v>1159</v>
      </c>
      <c r="N126" s="963"/>
      <c r="O126" s="960">
        <f t="shared" si="63"/>
        <v>1159</v>
      </c>
    </row>
    <row r="127" spans="1:16" ht="17.25" thickTop="1" thickBot="1" x14ac:dyDescent="0.3">
      <c r="A127" s="703"/>
      <c r="B127" s="802" t="s">
        <v>400</v>
      </c>
      <c r="C127" s="803">
        <f>+C118+C122+C126+C123+C124</f>
        <v>183529</v>
      </c>
      <c r="D127" s="803">
        <f t="shared" ref="D127:O127" si="64">+D118+D122+D126+D123+D124</f>
        <v>39480</v>
      </c>
      <c r="E127" s="803">
        <f t="shared" si="64"/>
        <v>79741</v>
      </c>
      <c r="F127" s="803">
        <f t="shared" si="64"/>
        <v>0</v>
      </c>
      <c r="G127" s="803">
        <f t="shared" si="64"/>
        <v>0</v>
      </c>
      <c r="H127" s="803">
        <f t="shared" si="64"/>
        <v>302750</v>
      </c>
      <c r="I127" s="803">
        <f t="shared" si="64"/>
        <v>66</v>
      </c>
      <c r="J127" s="803">
        <f t="shared" si="64"/>
        <v>0</v>
      </c>
      <c r="K127" s="803">
        <f t="shared" si="64"/>
        <v>0</v>
      </c>
      <c r="L127" s="803">
        <f t="shared" si="64"/>
        <v>66</v>
      </c>
      <c r="M127" s="803">
        <f t="shared" si="64"/>
        <v>302816</v>
      </c>
      <c r="N127" s="803">
        <f t="shared" si="64"/>
        <v>0</v>
      </c>
      <c r="O127" s="803">
        <f t="shared" si="64"/>
        <v>302816</v>
      </c>
      <c r="P127" s="683">
        <f>O128+O129</f>
        <v>302816</v>
      </c>
    </row>
    <row r="128" spans="1:16" ht="17.25" thickTop="1" thickBot="1" x14ac:dyDescent="0.3">
      <c r="A128" s="703"/>
      <c r="B128" s="802" t="s">
        <v>399</v>
      </c>
      <c r="C128" s="803">
        <f>+C119+C122+C123+C124</f>
        <v>178193</v>
      </c>
      <c r="D128" s="803">
        <f t="shared" ref="D128:O128" si="65">+D119+D122+D123+D124</f>
        <v>37707</v>
      </c>
      <c r="E128" s="803">
        <f t="shared" si="65"/>
        <v>79556</v>
      </c>
      <c r="F128" s="803">
        <f t="shared" si="65"/>
        <v>0</v>
      </c>
      <c r="G128" s="803">
        <f t="shared" si="65"/>
        <v>0</v>
      </c>
      <c r="H128" s="803">
        <f t="shared" si="65"/>
        <v>295456</v>
      </c>
      <c r="I128" s="803">
        <f t="shared" si="65"/>
        <v>66</v>
      </c>
      <c r="J128" s="803">
        <f t="shared" si="65"/>
        <v>0</v>
      </c>
      <c r="K128" s="803">
        <f t="shared" si="65"/>
        <v>0</v>
      </c>
      <c r="L128" s="803">
        <f t="shared" si="65"/>
        <v>66</v>
      </c>
      <c r="M128" s="803">
        <f t="shared" si="65"/>
        <v>295522</v>
      </c>
      <c r="N128" s="803">
        <f t="shared" si="65"/>
        <v>0</v>
      </c>
      <c r="O128" s="803">
        <f t="shared" si="65"/>
        <v>295522</v>
      </c>
    </row>
    <row r="129" spans="1:16" ht="17.25" thickTop="1" thickBot="1" x14ac:dyDescent="0.3">
      <c r="A129" s="703"/>
      <c r="B129" s="802" t="s">
        <v>398</v>
      </c>
      <c r="C129" s="803">
        <f>+C120+C126</f>
        <v>5336</v>
      </c>
      <c r="D129" s="803">
        <f t="shared" ref="D129:O129" si="66">+D120+D126</f>
        <v>1773</v>
      </c>
      <c r="E129" s="803">
        <f t="shared" si="66"/>
        <v>185</v>
      </c>
      <c r="F129" s="803">
        <f t="shared" si="66"/>
        <v>0</v>
      </c>
      <c r="G129" s="803">
        <f t="shared" si="66"/>
        <v>0</v>
      </c>
      <c r="H129" s="803">
        <f t="shared" si="66"/>
        <v>7294</v>
      </c>
      <c r="I129" s="803">
        <f t="shared" si="66"/>
        <v>0</v>
      </c>
      <c r="J129" s="803">
        <f t="shared" si="66"/>
        <v>0</v>
      </c>
      <c r="K129" s="803">
        <f t="shared" si="66"/>
        <v>0</v>
      </c>
      <c r="L129" s="803">
        <f t="shared" si="66"/>
        <v>0</v>
      </c>
      <c r="M129" s="803">
        <f t="shared" si="66"/>
        <v>7294</v>
      </c>
      <c r="N129" s="803">
        <f t="shared" si="66"/>
        <v>0</v>
      </c>
      <c r="O129" s="803">
        <f t="shared" si="66"/>
        <v>7294</v>
      </c>
    </row>
    <row r="130" spans="1:16" ht="16.5" thickTop="1" x14ac:dyDescent="0.25">
      <c r="A130" s="692" t="s">
        <v>0</v>
      </c>
      <c r="B130" s="801" t="s">
        <v>874</v>
      </c>
      <c r="C130" s="712"/>
      <c r="D130" s="713"/>
      <c r="E130" s="713"/>
      <c r="F130" s="716"/>
      <c r="G130" s="713"/>
      <c r="H130" s="705"/>
      <c r="I130" s="717"/>
      <c r="J130" s="714"/>
      <c r="K130" s="714"/>
      <c r="L130" s="705"/>
      <c r="M130" s="705"/>
      <c r="N130" s="705"/>
      <c r="O130" s="705"/>
    </row>
    <row r="131" spans="1:16" x14ac:dyDescent="0.25">
      <c r="A131" s="692"/>
      <c r="B131" s="774" t="s">
        <v>363</v>
      </c>
      <c r="C131" s="712">
        <v>189000</v>
      </c>
      <c r="D131" s="713">
        <v>40431</v>
      </c>
      <c r="E131" s="713">
        <v>62976</v>
      </c>
      <c r="F131" s="714"/>
      <c r="G131" s="713"/>
      <c r="H131" s="705">
        <f>SUM(C131:G131)</f>
        <v>292407</v>
      </c>
      <c r="I131" s="717">
        <v>272</v>
      </c>
      <c r="J131" s="714"/>
      <c r="K131" s="714"/>
      <c r="L131" s="705">
        <f>SUM(I131:K131)</f>
        <v>272</v>
      </c>
      <c r="M131" s="706">
        <f>SUM(H131+L131)</f>
        <v>292679</v>
      </c>
      <c r="N131" s="706"/>
      <c r="O131" s="706">
        <f>SUM(M131+N131)</f>
        <v>292679</v>
      </c>
    </row>
    <row r="132" spans="1:16" s="702" customFormat="1" x14ac:dyDescent="0.25">
      <c r="A132" s="693"/>
      <c r="B132" s="694" t="s">
        <v>402</v>
      </c>
      <c r="C132" s="695">
        <v>184249</v>
      </c>
      <c r="D132" s="696">
        <v>38864</v>
      </c>
      <c r="E132" s="696">
        <v>62746</v>
      </c>
      <c r="F132" s="697"/>
      <c r="G132" s="696"/>
      <c r="H132" s="698">
        <f>SUM(C132:G132)</f>
        <v>285859</v>
      </c>
      <c r="I132" s="704">
        <v>272</v>
      </c>
      <c r="J132" s="697"/>
      <c r="K132" s="697"/>
      <c r="L132" s="698">
        <f>SUM(I132:K132)</f>
        <v>272</v>
      </c>
      <c r="M132" s="701">
        <f>SUM(H132+L132)</f>
        <v>286131</v>
      </c>
      <c r="N132" s="701"/>
      <c r="O132" s="701">
        <f>SUM(M132+N132)</f>
        <v>286131</v>
      </c>
    </row>
    <row r="133" spans="1:16" s="702" customFormat="1" x14ac:dyDescent="0.25">
      <c r="A133" s="693"/>
      <c r="B133" s="694" t="s">
        <v>401</v>
      </c>
      <c r="C133" s="695">
        <v>4751</v>
      </c>
      <c r="D133" s="696">
        <v>1567</v>
      </c>
      <c r="E133" s="696">
        <v>230</v>
      </c>
      <c r="F133" s="697"/>
      <c r="G133" s="696"/>
      <c r="H133" s="698">
        <f>SUM(C133:G133)</f>
        <v>6548</v>
      </c>
      <c r="I133" s="704"/>
      <c r="J133" s="697"/>
      <c r="K133" s="697"/>
      <c r="L133" s="698">
        <f>SUM(I133:K133)</f>
        <v>0</v>
      </c>
      <c r="M133" s="701">
        <f>SUM(H133+L133)</f>
        <v>6548</v>
      </c>
      <c r="N133" s="701"/>
      <c r="O133" s="701">
        <f>SUM(M133+N133)</f>
        <v>6548</v>
      </c>
    </row>
    <row r="134" spans="1:16" s="702" customFormat="1" x14ac:dyDescent="0.25">
      <c r="A134" s="693"/>
      <c r="B134" s="694" t="s">
        <v>132</v>
      </c>
      <c r="C134" s="695"/>
      <c r="D134" s="696"/>
      <c r="E134" s="696"/>
      <c r="F134" s="697"/>
      <c r="G134" s="696"/>
      <c r="H134" s="698"/>
      <c r="I134" s="704"/>
      <c r="J134" s="697"/>
      <c r="K134" s="697"/>
      <c r="L134" s="698"/>
      <c r="M134" s="701"/>
      <c r="N134" s="701"/>
      <c r="O134" s="701"/>
    </row>
    <row r="135" spans="1:16" s="702" customFormat="1" x14ac:dyDescent="0.25">
      <c r="A135" s="693"/>
      <c r="B135" s="774" t="s">
        <v>1218</v>
      </c>
      <c r="C135" s="712">
        <v>36</v>
      </c>
      <c r="D135" s="713">
        <v>6</v>
      </c>
      <c r="E135" s="713"/>
      <c r="F135" s="697"/>
      <c r="G135" s="696"/>
      <c r="H135" s="705">
        <f t="shared" ref="H135:H139" si="67">SUM(C135:G135)</f>
        <v>42</v>
      </c>
      <c r="I135" s="704"/>
      <c r="J135" s="697"/>
      <c r="K135" s="697"/>
      <c r="L135" s="705">
        <f t="shared" ref="L135:L139" si="68">SUM(I135:K135)</f>
        <v>0</v>
      </c>
      <c r="M135" s="706">
        <f t="shared" ref="M135:M139" si="69">SUM(H135+L135)</f>
        <v>42</v>
      </c>
      <c r="N135" s="701"/>
      <c r="O135" s="706">
        <f t="shared" ref="O135:O139" si="70">SUM(M135+N135)</f>
        <v>42</v>
      </c>
    </row>
    <row r="136" spans="1:16" s="702" customFormat="1" ht="47.25" x14ac:dyDescent="0.25">
      <c r="A136" s="693"/>
      <c r="B136" s="774" t="s">
        <v>1198</v>
      </c>
      <c r="C136" s="712">
        <v>299</v>
      </c>
      <c r="D136" s="713">
        <v>52</v>
      </c>
      <c r="E136" s="713"/>
      <c r="F136" s="697"/>
      <c r="G136" s="696"/>
      <c r="H136" s="705">
        <f t="shared" si="67"/>
        <v>351</v>
      </c>
      <c r="I136" s="704"/>
      <c r="J136" s="697"/>
      <c r="K136" s="697"/>
      <c r="L136" s="705">
        <f t="shared" si="68"/>
        <v>0</v>
      </c>
      <c r="M136" s="706">
        <f t="shared" si="69"/>
        <v>351</v>
      </c>
      <c r="N136" s="701"/>
      <c r="O136" s="706">
        <f t="shared" si="70"/>
        <v>351</v>
      </c>
    </row>
    <row r="137" spans="1:16" s="702" customFormat="1" ht="31.5" x14ac:dyDescent="0.25">
      <c r="A137" s="693"/>
      <c r="B137" s="774" t="s">
        <v>935</v>
      </c>
      <c r="C137" s="712"/>
      <c r="D137" s="713"/>
      <c r="E137" s="713">
        <f>5716-2</f>
        <v>5714</v>
      </c>
      <c r="F137" s="697"/>
      <c r="G137" s="696"/>
      <c r="H137" s="705">
        <f t="shared" si="67"/>
        <v>5714</v>
      </c>
      <c r="I137" s="717"/>
      <c r="J137" s="697"/>
      <c r="K137" s="697"/>
      <c r="L137" s="705">
        <f t="shared" si="68"/>
        <v>0</v>
      </c>
      <c r="M137" s="706">
        <f t="shared" si="69"/>
        <v>5714</v>
      </c>
      <c r="N137" s="701"/>
      <c r="O137" s="706">
        <f t="shared" si="70"/>
        <v>5714</v>
      </c>
    </row>
    <row r="138" spans="1:16" s="702" customFormat="1" x14ac:dyDescent="0.25">
      <c r="A138" s="693"/>
      <c r="B138" s="694" t="s">
        <v>133</v>
      </c>
      <c r="C138" s="712"/>
      <c r="D138" s="713"/>
      <c r="E138" s="713"/>
      <c r="F138" s="697"/>
      <c r="G138" s="696"/>
      <c r="H138" s="705"/>
      <c r="I138" s="704"/>
      <c r="J138" s="697"/>
      <c r="K138" s="697"/>
      <c r="L138" s="705"/>
      <c r="M138" s="706"/>
      <c r="N138" s="701"/>
      <c r="O138" s="706"/>
    </row>
    <row r="139" spans="1:16" s="702" customFormat="1" ht="16.5" thickBot="1" x14ac:dyDescent="0.3">
      <c r="A139" s="693"/>
      <c r="B139" s="774" t="s">
        <v>1219</v>
      </c>
      <c r="C139" s="712">
        <v>936</v>
      </c>
      <c r="D139" s="713">
        <v>304</v>
      </c>
      <c r="E139" s="713"/>
      <c r="F139" s="697"/>
      <c r="G139" s="696"/>
      <c r="H139" s="705">
        <f t="shared" si="67"/>
        <v>1240</v>
      </c>
      <c r="I139" s="704"/>
      <c r="J139" s="697"/>
      <c r="K139" s="697"/>
      <c r="L139" s="705">
        <f t="shared" si="68"/>
        <v>0</v>
      </c>
      <c r="M139" s="706">
        <f t="shared" si="69"/>
        <v>1240</v>
      </c>
      <c r="N139" s="701"/>
      <c r="O139" s="706">
        <f t="shared" si="70"/>
        <v>1240</v>
      </c>
    </row>
    <row r="140" spans="1:16" ht="17.25" thickTop="1" thickBot="1" x14ac:dyDescent="0.3">
      <c r="A140" s="703"/>
      <c r="B140" s="802" t="s">
        <v>400</v>
      </c>
      <c r="C140" s="803">
        <f>+C131+C135+C139+C136+C137</f>
        <v>190271</v>
      </c>
      <c r="D140" s="803">
        <f t="shared" ref="D140:O140" si="71">+D131+D135+D139+D136+D137</f>
        <v>40793</v>
      </c>
      <c r="E140" s="803">
        <f t="shared" si="71"/>
        <v>68690</v>
      </c>
      <c r="F140" s="803">
        <f t="shared" si="71"/>
        <v>0</v>
      </c>
      <c r="G140" s="803">
        <f t="shared" si="71"/>
        <v>0</v>
      </c>
      <c r="H140" s="803">
        <f t="shared" si="71"/>
        <v>299754</v>
      </c>
      <c r="I140" s="803">
        <f t="shared" si="71"/>
        <v>272</v>
      </c>
      <c r="J140" s="803">
        <f t="shared" si="71"/>
        <v>0</v>
      </c>
      <c r="K140" s="803">
        <f t="shared" si="71"/>
        <v>0</v>
      </c>
      <c r="L140" s="803">
        <f t="shared" si="71"/>
        <v>272</v>
      </c>
      <c r="M140" s="803">
        <f t="shared" si="71"/>
        <v>300026</v>
      </c>
      <c r="N140" s="803">
        <f t="shared" si="71"/>
        <v>0</v>
      </c>
      <c r="O140" s="803">
        <f t="shared" si="71"/>
        <v>300026</v>
      </c>
      <c r="P140" s="683">
        <f>O141+O142</f>
        <v>300026</v>
      </c>
    </row>
    <row r="141" spans="1:16" ht="17.25" thickTop="1" thickBot="1" x14ac:dyDescent="0.3">
      <c r="A141" s="703"/>
      <c r="B141" s="802" t="s">
        <v>399</v>
      </c>
      <c r="C141" s="803">
        <f t="shared" ref="C141:O141" si="72">+C132+C135+C136+C137</f>
        <v>184584</v>
      </c>
      <c r="D141" s="803">
        <f t="shared" si="72"/>
        <v>38922</v>
      </c>
      <c r="E141" s="803">
        <f t="shared" si="72"/>
        <v>68460</v>
      </c>
      <c r="F141" s="803">
        <f t="shared" si="72"/>
        <v>0</v>
      </c>
      <c r="G141" s="803">
        <f t="shared" si="72"/>
        <v>0</v>
      </c>
      <c r="H141" s="803">
        <f t="shared" si="72"/>
        <v>291966</v>
      </c>
      <c r="I141" s="803">
        <f t="shared" si="72"/>
        <v>272</v>
      </c>
      <c r="J141" s="803">
        <f t="shared" si="72"/>
        <v>0</v>
      </c>
      <c r="K141" s="803">
        <f t="shared" si="72"/>
        <v>0</v>
      </c>
      <c r="L141" s="803">
        <f t="shared" si="72"/>
        <v>272</v>
      </c>
      <c r="M141" s="803">
        <f t="shared" si="72"/>
        <v>292238</v>
      </c>
      <c r="N141" s="803">
        <f t="shared" si="72"/>
        <v>0</v>
      </c>
      <c r="O141" s="803">
        <f t="shared" si="72"/>
        <v>292238</v>
      </c>
    </row>
    <row r="142" spans="1:16" ht="17.25" thickTop="1" thickBot="1" x14ac:dyDescent="0.3">
      <c r="A142" s="703"/>
      <c r="B142" s="802" t="s">
        <v>398</v>
      </c>
      <c r="C142" s="803">
        <f>+C133+C139</f>
        <v>5687</v>
      </c>
      <c r="D142" s="803">
        <f t="shared" ref="D142:O142" si="73">+D133+D139</f>
        <v>1871</v>
      </c>
      <c r="E142" s="803">
        <f t="shared" si="73"/>
        <v>230</v>
      </c>
      <c r="F142" s="803">
        <f t="shared" si="73"/>
        <v>0</v>
      </c>
      <c r="G142" s="803">
        <f t="shared" si="73"/>
        <v>0</v>
      </c>
      <c r="H142" s="803">
        <f t="shared" si="73"/>
        <v>7788</v>
      </c>
      <c r="I142" s="803">
        <f t="shared" si="73"/>
        <v>0</v>
      </c>
      <c r="J142" s="803">
        <f t="shared" si="73"/>
        <v>0</v>
      </c>
      <c r="K142" s="803">
        <f t="shared" si="73"/>
        <v>0</v>
      </c>
      <c r="L142" s="803">
        <f t="shared" si="73"/>
        <v>0</v>
      </c>
      <c r="M142" s="803">
        <f t="shared" si="73"/>
        <v>7788</v>
      </c>
      <c r="N142" s="803">
        <f t="shared" si="73"/>
        <v>0</v>
      </c>
      <c r="O142" s="803">
        <f t="shared" si="73"/>
        <v>7788</v>
      </c>
    </row>
    <row r="143" spans="1:16" ht="32.25" thickTop="1" x14ac:dyDescent="0.25">
      <c r="A143" s="718" t="s">
        <v>1</v>
      </c>
      <c r="B143" s="805" t="s">
        <v>875</v>
      </c>
      <c r="C143" s="806"/>
      <c r="D143" s="807"/>
      <c r="E143" s="807"/>
      <c r="F143" s="808"/>
      <c r="G143" s="807"/>
      <c r="H143" s="809"/>
      <c r="I143" s="810"/>
      <c r="J143" s="808"/>
      <c r="K143" s="808"/>
      <c r="L143" s="809"/>
      <c r="M143" s="809"/>
      <c r="N143" s="809"/>
      <c r="O143" s="809"/>
    </row>
    <row r="144" spans="1:16" x14ac:dyDescent="0.25">
      <c r="A144" s="692"/>
      <c r="B144" s="774" t="s">
        <v>363</v>
      </c>
      <c r="C144" s="712">
        <v>199416</v>
      </c>
      <c r="D144" s="713">
        <v>43037</v>
      </c>
      <c r="E144" s="713">
        <v>94955</v>
      </c>
      <c r="F144" s="714"/>
      <c r="G144" s="713"/>
      <c r="H144" s="705">
        <f>SUM(C144:G144)</f>
        <v>337408</v>
      </c>
      <c r="I144" s="717">
        <v>572</v>
      </c>
      <c r="J144" s="714"/>
      <c r="K144" s="714"/>
      <c r="L144" s="705">
        <f>SUM(I144:K144)</f>
        <v>572</v>
      </c>
      <c r="M144" s="706">
        <f>SUM(H144+L144)</f>
        <v>337980</v>
      </c>
      <c r="N144" s="706"/>
      <c r="O144" s="706">
        <f>SUM(M144+N144)</f>
        <v>337980</v>
      </c>
    </row>
    <row r="145" spans="1:16" s="702" customFormat="1" x14ac:dyDescent="0.25">
      <c r="A145" s="693"/>
      <c r="B145" s="694" t="s">
        <v>402</v>
      </c>
      <c r="C145" s="695">
        <v>194592</v>
      </c>
      <c r="D145" s="696">
        <v>41422</v>
      </c>
      <c r="E145" s="696">
        <v>94900</v>
      </c>
      <c r="F145" s="697"/>
      <c r="G145" s="696"/>
      <c r="H145" s="698">
        <f>SUM(C145:G145)</f>
        <v>330914</v>
      </c>
      <c r="I145" s="704">
        <v>572</v>
      </c>
      <c r="J145" s="697"/>
      <c r="K145" s="697"/>
      <c r="L145" s="698">
        <f>SUM(I145:K145)</f>
        <v>572</v>
      </c>
      <c r="M145" s="701">
        <f>SUM(H145+L145)</f>
        <v>331486</v>
      </c>
      <c r="N145" s="701"/>
      <c r="O145" s="701">
        <f>SUM(M145+N145)</f>
        <v>331486</v>
      </c>
    </row>
    <row r="146" spans="1:16" s="702" customFormat="1" x14ac:dyDescent="0.25">
      <c r="A146" s="693"/>
      <c r="B146" s="694" t="s">
        <v>401</v>
      </c>
      <c r="C146" s="695">
        <v>4824</v>
      </c>
      <c r="D146" s="696">
        <v>1615</v>
      </c>
      <c r="E146" s="696">
        <v>55</v>
      </c>
      <c r="F146" s="697"/>
      <c r="G146" s="696"/>
      <c r="H146" s="698">
        <f>SUM(C146:G146)</f>
        <v>6494</v>
      </c>
      <c r="I146" s="704"/>
      <c r="J146" s="697"/>
      <c r="K146" s="697"/>
      <c r="L146" s="698">
        <f>SUM(I146:K146)</f>
        <v>0</v>
      </c>
      <c r="M146" s="701">
        <f>SUM(H146+L146)</f>
        <v>6494</v>
      </c>
      <c r="N146" s="701"/>
      <c r="O146" s="701">
        <f>SUM(M146+N146)</f>
        <v>6494</v>
      </c>
    </row>
    <row r="147" spans="1:16" s="702" customFormat="1" x14ac:dyDescent="0.25">
      <c r="A147" s="693"/>
      <c r="B147" s="694" t="s">
        <v>132</v>
      </c>
      <c r="C147" s="695"/>
      <c r="D147" s="696"/>
      <c r="E147" s="696"/>
      <c r="F147" s="697"/>
      <c r="G147" s="696"/>
      <c r="H147" s="698"/>
      <c r="I147" s="704"/>
      <c r="J147" s="697"/>
      <c r="K147" s="697"/>
      <c r="L147" s="698"/>
      <c r="M147" s="701"/>
      <c r="N147" s="701"/>
      <c r="O147" s="701"/>
    </row>
    <row r="148" spans="1:16" s="702" customFormat="1" x14ac:dyDescent="0.25">
      <c r="A148" s="693"/>
      <c r="B148" s="774" t="s">
        <v>1218</v>
      </c>
      <c r="C148" s="712">
        <v>41</v>
      </c>
      <c r="D148" s="713">
        <v>7</v>
      </c>
      <c r="E148" s="713"/>
      <c r="F148" s="697"/>
      <c r="G148" s="696"/>
      <c r="H148" s="705">
        <f t="shared" ref="H148:H152" si="74">SUM(C148:G148)</f>
        <v>48</v>
      </c>
      <c r="I148" s="704"/>
      <c r="J148" s="697"/>
      <c r="K148" s="697"/>
      <c r="L148" s="705">
        <f t="shared" ref="L148:L152" si="75">SUM(I148:K148)</f>
        <v>0</v>
      </c>
      <c r="M148" s="706">
        <f t="shared" ref="M148:M152" si="76">SUM(H148+L148)</f>
        <v>48</v>
      </c>
      <c r="N148" s="701"/>
      <c r="O148" s="706">
        <f t="shared" ref="O148:O152" si="77">SUM(M148+N148)</f>
        <v>48</v>
      </c>
    </row>
    <row r="149" spans="1:16" s="702" customFormat="1" ht="47.25" x14ac:dyDescent="0.25">
      <c r="A149" s="693"/>
      <c r="B149" s="774" t="s">
        <v>1198</v>
      </c>
      <c r="C149" s="712">
        <v>417</v>
      </c>
      <c r="D149" s="713">
        <v>73</v>
      </c>
      <c r="E149" s="713"/>
      <c r="F149" s="697"/>
      <c r="G149" s="696"/>
      <c r="H149" s="705">
        <f t="shared" si="74"/>
        <v>490</v>
      </c>
      <c r="I149" s="704"/>
      <c r="J149" s="697"/>
      <c r="K149" s="697"/>
      <c r="L149" s="705">
        <f t="shared" si="75"/>
        <v>0</v>
      </c>
      <c r="M149" s="706">
        <f t="shared" si="76"/>
        <v>490</v>
      </c>
      <c r="N149" s="701"/>
      <c r="O149" s="706">
        <f t="shared" si="77"/>
        <v>490</v>
      </c>
    </row>
    <row r="150" spans="1:16" s="702" customFormat="1" ht="31.5" x14ac:dyDescent="0.25">
      <c r="A150" s="693"/>
      <c r="B150" s="774" t="s">
        <v>935</v>
      </c>
      <c r="C150" s="712"/>
      <c r="D150" s="713"/>
      <c r="E150" s="713">
        <v>6042</v>
      </c>
      <c r="F150" s="697"/>
      <c r="G150" s="696"/>
      <c r="H150" s="705">
        <f t="shared" si="74"/>
        <v>6042</v>
      </c>
      <c r="I150" s="717">
        <v>291</v>
      </c>
      <c r="J150" s="697"/>
      <c r="K150" s="697"/>
      <c r="L150" s="705">
        <f t="shared" si="75"/>
        <v>291</v>
      </c>
      <c r="M150" s="706">
        <f t="shared" si="76"/>
        <v>6333</v>
      </c>
      <c r="N150" s="701"/>
      <c r="O150" s="706">
        <f t="shared" si="77"/>
        <v>6333</v>
      </c>
    </row>
    <row r="151" spans="1:16" s="702" customFormat="1" x14ac:dyDescent="0.25">
      <c r="A151" s="693"/>
      <c r="B151" s="694" t="s">
        <v>133</v>
      </c>
      <c r="C151" s="712"/>
      <c r="D151" s="713"/>
      <c r="E151" s="713"/>
      <c r="F151" s="697"/>
      <c r="G151" s="696"/>
      <c r="H151" s="705"/>
      <c r="I151" s="704"/>
      <c r="J151" s="697"/>
      <c r="K151" s="697"/>
      <c r="L151" s="705"/>
      <c r="M151" s="706"/>
      <c r="N151" s="701"/>
      <c r="O151" s="706"/>
    </row>
    <row r="152" spans="1:16" s="702" customFormat="1" ht="16.5" thickBot="1" x14ac:dyDescent="0.3">
      <c r="A152" s="693"/>
      <c r="B152" s="774" t="s">
        <v>1219</v>
      </c>
      <c r="C152" s="712">
        <v>955</v>
      </c>
      <c r="D152" s="713">
        <v>310</v>
      </c>
      <c r="E152" s="713"/>
      <c r="F152" s="697"/>
      <c r="G152" s="696"/>
      <c r="H152" s="705">
        <f t="shared" si="74"/>
        <v>1265</v>
      </c>
      <c r="I152" s="704"/>
      <c r="J152" s="697"/>
      <c r="K152" s="697"/>
      <c r="L152" s="705">
        <f t="shared" si="75"/>
        <v>0</v>
      </c>
      <c r="M152" s="706">
        <f t="shared" si="76"/>
        <v>1265</v>
      </c>
      <c r="N152" s="701"/>
      <c r="O152" s="706">
        <f t="shared" si="77"/>
        <v>1265</v>
      </c>
    </row>
    <row r="153" spans="1:16" ht="17.25" thickTop="1" thickBot="1" x14ac:dyDescent="0.3">
      <c r="A153" s="703"/>
      <c r="B153" s="802" t="s">
        <v>400</v>
      </c>
      <c r="C153" s="803">
        <f>+C144+C148+C152+C149+C150</f>
        <v>200829</v>
      </c>
      <c r="D153" s="803">
        <f t="shared" ref="D153:O153" si="78">+D144+D148+D152+D149+D150</f>
        <v>43427</v>
      </c>
      <c r="E153" s="803">
        <f t="shared" si="78"/>
        <v>100997</v>
      </c>
      <c r="F153" s="803">
        <f t="shared" si="78"/>
        <v>0</v>
      </c>
      <c r="G153" s="803">
        <f t="shared" si="78"/>
        <v>0</v>
      </c>
      <c r="H153" s="803">
        <f t="shared" si="78"/>
        <v>345253</v>
      </c>
      <c r="I153" s="803">
        <f t="shared" si="78"/>
        <v>863</v>
      </c>
      <c r="J153" s="803">
        <f t="shared" si="78"/>
        <v>0</v>
      </c>
      <c r="K153" s="803">
        <f t="shared" si="78"/>
        <v>0</v>
      </c>
      <c r="L153" s="803">
        <f t="shared" si="78"/>
        <v>863</v>
      </c>
      <c r="M153" s="803">
        <f t="shared" si="78"/>
        <v>346116</v>
      </c>
      <c r="N153" s="803">
        <f t="shared" si="78"/>
        <v>0</v>
      </c>
      <c r="O153" s="803">
        <f t="shared" si="78"/>
        <v>346116</v>
      </c>
      <c r="P153" s="683">
        <f>O154+O155</f>
        <v>346116</v>
      </c>
    </row>
    <row r="154" spans="1:16" ht="17.25" thickTop="1" thickBot="1" x14ac:dyDescent="0.3">
      <c r="A154" s="703"/>
      <c r="B154" s="802" t="s">
        <v>399</v>
      </c>
      <c r="C154" s="803">
        <f t="shared" ref="C154:O154" si="79">+C145+C148+C149+C150</f>
        <v>195050</v>
      </c>
      <c r="D154" s="803">
        <f t="shared" si="79"/>
        <v>41502</v>
      </c>
      <c r="E154" s="803">
        <f t="shared" si="79"/>
        <v>100942</v>
      </c>
      <c r="F154" s="803">
        <f t="shared" si="79"/>
        <v>0</v>
      </c>
      <c r="G154" s="803">
        <f t="shared" si="79"/>
        <v>0</v>
      </c>
      <c r="H154" s="803">
        <f t="shared" si="79"/>
        <v>337494</v>
      </c>
      <c r="I154" s="803">
        <f t="shared" si="79"/>
        <v>863</v>
      </c>
      <c r="J154" s="803">
        <f t="shared" si="79"/>
        <v>0</v>
      </c>
      <c r="K154" s="803">
        <f t="shared" si="79"/>
        <v>0</v>
      </c>
      <c r="L154" s="803">
        <f t="shared" si="79"/>
        <v>863</v>
      </c>
      <c r="M154" s="803">
        <f t="shared" si="79"/>
        <v>338357</v>
      </c>
      <c r="N154" s="803">
        <f t="shared" si="79"/>
        <v>0</v>
      </c>
      <c r="O154" s="803">
        <f t="shared" si="79"/>
        <v>338357</v>
      </c>
    </row>
    <row r="155" spans="1:16" ht="17.25" thickTop="1" thickBot="1" x14ac:dyDescent="0.3">
      <c r="A155" s="703"/>
      <c r="B155" s="802" t="s">
        <v>398</v>
      </c>
      <c r="C155" s="803">
        <f>+C146+C152</f>
        <v>5779</v>
      </c>
      <c r="D155" s="803">
        <f t="shared" ref="D155:O155" si="80">+D146+D152</f>
        <v>1925</v>
      </c>
      <c r="E155" s="803">
        <f t="shared" si="80"/>
        <v>55</v>
      </c>
      <c r="F155" s="803">
        <f t="shared" si="80"/>
        <v>0</v>
      </c>
      <c r="G155" s="803">
        <f t="shared" si="80"/>
        <v>0</v>
      </c>
      <c r="H155" s="803">
        <f t="shared" si="80"/>
        <v>7759</v>
      </c>
      <c r="I155" s="803">
        <f t="shared" si="80"/>
        <v>0</v>
      </c>
      <c r="J155" s="803">
        <f t="shared" si="80"/>
        <v>0</v>
      </c>
      <c r="K155" s="803">
        <f t="shared" si="80"/>
        <v>0</v>
      </c>
      <c r="L155" s="803">
        <f t="shared" si="80"/>
        <v>0</v>
      </c>
      <c r="M155" s="803">
        <f t="shared" si="80"/>
        <v>7759</v>
      </c>
      <c r="N155" s="803">
        <f t="shared" si="80"/>
        <v>0</v>
      </c>
      <c r="O155" s="803">
        <f t="shared" si="80"/>
        <v>7759</v>
      </c>
    </row>
    <row r="156" spans="1:16" ht="16.5" thickTop="1" x14ac:dyDescent="0.25">
      <c r="A156" s="692" t="s">
        <v>2</v>
      </c>
      <c r="B156" s="801" t="s">
        <v>424</v>
      </c>
      <c r="C156" s="712"/>
      <c r="D156" s="713"/>
      <c r="E156" s="713"/>
      <c r="F156" s="716"/>
      <c r="G156" s="713"/>
      <c r="H156" s="705"/>
      <c r="I156" s="717"/>
      <c r="J156" s="714"/>
      <c r="K156" s="714"/>
      <c r="L156" s="705"/>
      <c r="M156" s="705"/>
      <c r="N156" s="705"/>
      <c r="O156" s="705"/>
    </row>
    <row r="157" spans="1:16" x14ac:dyDescent="0.25">
      <c r="A157" s="735"/>
      <c r="B157" s="801" t="s">
        <v>936</v>
      </c>
      <c r="C157" s="712">
        <v>134221</v>
      </c>
      <c r="D157" s="713">
        <v>28633</v>
      </c>
      <c r="E157" s="713">
        <v>55606</v>
      </c>
      <c r="F157" s="714"/>
      <c r="G157" s="713"/>
      <c r="H157" s="705">
        <f>SUM(C157:G157)</f>
        <v>218460</v>
      </c>
      <c r="I157" s="717">
        <v>507</v>
      </c>
      <c r="J157" s="714"/>
      <c r="K157" s="714"/>
      <c r="L157" s="705">
        <f>SUM(I157:K157)</f>
        <v>507</v>
      </c>
      <c r="M157" s="706">
        <f>SUM(H157+L157)</f>
        <v>218967</v>
      </c>
      <c r="N157" s="706"/>
      <c r="O157" s="706">
        <f>SUM(M157+N157)</f>
        <v>218967</v>
      </c>
    </row>
    <row r="158" spans="1:16" s="702" customFormat="1" x14ac:dyDescent="0.25">
      <c r="A158" s="736"/>
      <c r="B158" s="694" t="s">
        <v>402</v>
      </c>
      <c r="C158" s="695">
        <v>130943</v>
      </c>
      <c r="D158" s="696">
        <v>27561</v>
      </c>
      <c r="E158" s="696">
        <v>55171</v>
      </c>
      <c r="F158" s="697"/>
      <c r="G158" s="696"/>
      <c r="H158" s="698">
        <f>SUM(C158:G158)</f>
        <v>213675</v>
      </c>
      <c r="I158" s="704">
        <v>507</v>
      </c>
      <c r="J158" s="697"/>
      <c r="K158" s="697"/>
      <c r="L158" s="698">
        <f>SUM(I158:K158)</f>
        <v>507</v>
      </c>
      <c r="M158" s="701">
        <f>SUM(H158+L158)</f>
        <v>214182</v>
      </c>
      <c r="N158" s="701"/>
      <c r="O158" s="701">
        <f>SUM(M158+N158)</f>
        <v>214182</v>
      </c>
    </row>
    <row r="159" spans="1:16" s="702" customFormat="1" ht="16.5" thickBot="1" x14ac:dyDescent="0.3">
      <c r="A159" s="719"/>
      <c r="B159" s="720" t="s">
        <v>401</v>
      </c>
      <c r="C159" s="721">
        <v>3278</v>
      </c>
      <c r="D159" s="722">
        <v>1072</v>
      </c>
      <c r="E159" s="722">
        <v>435</v>
      </c>
      <c r="F159" s="723"/>
      <c r="G159" s="722"/>
      <c r="H159" s="724">
        <f>SUM(C159:G159)</f>
        <v>4785</v>
      </c>
      <c r="I159" s="725"/>
      <c r="J159" s="723"/>
      <c r="K159" s="723"/>
      <c r="L159" s="724">
        <f>SUM(I159:K159)</f>
        <v>0</v>
      </c>
      <c r="M159" s="724">
        <f>SUM(H159+L159)</f>
        <v>4785</v>
      </c>
      <c r="N159" s="724"/>
      <c r="O159" s="724">
        <f>SUM(M159+N159)</f>
        <v>4785</v>
      </c>
    </row>
    <row r="160" spans="1:16" x14ac:dyDescent="0.25">
      <c r="A160" s="734"/>
      <c r="B160" s="727" t="s">
        <v>132</v>
      </c>
      <c r="C160" s="755"/>
      <c r="D160" s="756"/>
      <c r="E160" s="756"/>
      <c r="F160" s="757"/>
      <c r="G160" s="756"/>
      <c r="H160" s="731"/>
      <c r="I160" s="759"/>
      <c r="J160" s="757"/>
      <c r="K160" s="757"/>
      <c r="L160" s="731"/>
      <c r="M160" s="731"/>
      <c r="N160" s="758"/>
      <c r="O160" s="731"/>
    </row>
    <row r="161" spans="1:16" x14ac:dyDescent="0.25">
      <c r="A161" s="735"/>
      <c r="B161" s="774" t="s">
        <v>1218</v>
      </c>
      <c r="C161" s="712">
        <v>79</v>
      </c>
      <c r="D161" s="713">
        <v>14</v>
      </c>
      <c r="E161" s="713"/>
      <c r="F161" s="714"/>
      <c r="G161" s="713"/>
      <c r="H161" s="705">
        <f t="shared" ref="H161:H164" si="81">SUM(C161:G161)</f>
        <v>93</v>
      </c>
      <c r="I161" s="717"/>
      <c r="J161" s="714"/>
      <c r="K161" s="714"/>
      <c r="L161" s="705">
        <f t="shared" ref="L161:L164" si="82">SUM(I161:K161)</f>
        <v>0</v>
      </c>
      <c r="M161" s="706">
        <f t="shared" ref="M161:M164" si="83">SUM(H161+L161)</f>
        <v>93</v>
      </c>
      <c r="N161" s="706"/>
      <c r="O161" s="706">
        <f t="shared" ref="O161:O166" si="84">SUM(M161+N161)</f>
        <v>93</v>
      </c>
    </row>
    <row r="162" spans="1:16" ht="47.25" x14ac:dyDescent="0.25">
      <c r="A162" s="692"/>
      <c r="B162" s="774" t="s">
        <v>1198</v>
      </c>
      <c r="C162" s="737">
        <v>5856</v>
      </c>
      <c r="D162" s="738">
        <v>1026</v>
      </c>
      <c r="E162" s="738"/>
      <c r="F162" s="739"/>
      <c r="G162" s="738"/>
      <c r="H162" s="710">
        <f t="shared" si="81"/>
        <v>6882</v>
      </c>
      <c r="I162" s="740"/>
      <c r="J162" s="739"/>
      <c r="K162" s="739"/>
      <c r="L162" s="710">
        <f t="shared" si="82"/>
        <v>0</v>
      </c>
      <c r="M162" s="710">
        <f t="shared" si="83"/>
        <v>6882</v>
      </c>
      <c r="N162" s="710"/>
      <c r="O162" s="710">
        <f t="shared" si="84"/>
        <v>6882</v>
      </c>
    </row>
    <row r="163" spans="1:16" ht="31.5" x14ac:dyDescent="0.25">
      <c r="A163" s="735"/>
      <c r="B163" s="774" t="s">
        <v>935</v>
      </c>
      <c r="C163" s="712">
        <v>3</v>
      </c>
      <c r="D163" s="713"/>
      <c r="E163" s="713">
        <f>4969+255+6</f>
        <v>5230</v>
      </c>
      <c r="F163" s="714"/>
      <c r="G163" s="713"/>
      <c r="H163" s="705">
        <f t="shared" si="81"/>
        <v>5233</v>
      </c>
      <c r="I163" s="717">
        <v>150</v>
      </c>
      <c r="J163" s="714"/>
      <c r="K163" s="714"/>
      <c r="L163" s="705">
        <f t="shared" si="82"/>
        <v>150</v>
      </c>
      <c r="M163" s="706">
        <f t="shared" si="83"/>
        <v>5383</v>
      </c>
      <c r="N163" s="706"/>
      <c r="O163" s="706">
        <f t="shared" si="84"/>
        <v>5383</v>
      </c>
    </row>
    <row r="164" spans="1:16" ht="32.25" thickBot="1" x14ac:dyDescent="0.3">
      <c r="A164" s="733"/>
      <c r="B164" s="812" t="s">
        <v>675</v>
      </c>
      <c r="C164" s="751">
        <v>135</v>
      </c>
      <c r="D164" s="752">
        <v>-135</v>
      </c>
      <c r="E164" s="752"/>
      <c r="F164" s="753"/>
      <c r="G164" s="752"/>
      <c r="H164" s="754">
        <f t="shared" si="81"/>
        <v>0</v>
      </c>
      <c r="I164" s="820"/>
      <c r="J164" s="753"/>
      <c r="K164" s="753"/>
      <c r="L164" s="754">
        <f t="shared" si="82"/>
        <v>0</v>
      </c>
      <c r="M164" s="754">
        <f t="shared" si="83"/>
        <v>0</v>
      </c>
      <c r="N164" s="754"/>
      <c r="O164" s="754">
        <f t="shared" si="84"/>
        <v>0</v>
      </c>
    </row>
    <row r="165" spans="1:16" x14ac:dyDescent="0.25">
      <c r="A165" s="734"/>
      <c r="B165" s="642" t="s">
        <v>133</v>
      </c>
      <c r="C165" s="755"/>
      <c r="D165" s="756"/>
      <c r="E165" s="756"/>
      <c r="F165" s="757"/>
      <c r="G165" s="756"/>
      <c r="H165" s="758"/>
      <c r="I165" s="759"/>
      <c r="J165" s="757"/>
      <c r="K165" s="757"/>
      <c r="L165" s="758"/>
      <c r="M165" s="758"/>
      <c r="N165" s="758"/>
      <c r="O165" s="758"/>
    </row>
    <row r="166" spans="1:16" ht="16.5" thickBot="1" x14ac:dyDescent="0.3">
      <c r="A166" s="735"/>
      <c r="B166" s="774" t="s">
        <v>1219</v>
      </c>
      <c r="C166" s="712">
        <v>596</v>
      </c>
      <c r="D166" s="713">
        <v>194</v>
      </c>
      <c r="E166" s="713"/>
      <c r="F166" s="714"/>
      <c r="G166" s="713"/>
      <c r="H166" s="705">
        <f t="shared" ref="H166" si="85">SUM(C166:G166)</f>
        <v>790</v>
      </c>
      <c r="I166" s="717"/>
      <c r="J166" s="714"/>
      <c r="K166" s="714"/>
      <c r="L166" s="705">
        <f t="shared" ref="L166" si="86">SUM(I166:K166)</f>
        <v>0</v>
      </c>
      <c r="M166" s="705">
        <f t="shared" ref="M166" si="87">SUM(H166+L166)</f>
        <v>790</v>
      </c>
      <c r="N166" s="705"/>
      <c r="O166" s="705">
        <f t="shared" si="84"/>
        <v>790</v>
      </c>
    </row>
    <row r="167" spans="1:16" ht="17.25" thickTop="1" thickBot="1" x14ac:dyDescent="0.3">
      <c r="A167" s="703"/>
      <c r="B167" s="802" t="s">
        <v>400</v>
      </c>
      <c r="C167" s="803">
        <f>+C157+C161+C162+C166+C163+C164</f>
        <v>140890</v>
      </c>
      <c r="D167" s="803">
        <f t="shared" ref="D167:O167" si="88">+D157+D161+D162+D166+D163+D164</f>
        <v>29732</v>
      </c>
      <c r="E167" s="803">
        <f t="shared" si="88"/>
        <v>60836</v>
      </c>
      <c r="F167" s="803">
        <f t="shared" si="88"/>
        <v>0</v>
      </c>
      <c r="G167" s="803">
        <f t="shared" si="88"/>
        <v>0</v>
      </c>
      <c r="H167" s="803">
        <f t="shared" si="88"/>
        <v>231458</v>
      </c>
      <c r="I167" s="803">
        <f t="shared" si="88"/>
        <v>657</v>
      </c>
      <c r="J167" s="803">
        <f t="shared" si="88"/>
        <v>0</v>
      </c>
      <c r="K167" s="803">
        <f t="shared" si="88"/>
        <v>0</v>
      </c>
      <c r="L167" s="803">
        <f t="shared" si="88"/>
        <v>657</v>
      </c>
      <c r="M167" s="803">
        <f t="shared" si="88"/>
        <v>232115</v>
      </c>
      <c r="N167" s="803">
        <f t="shared" si="88"/>
        <v>0</v>
      </c>
      <c r="O167" s="803">
        <f t="shared" si="88"/>
        <v>232115</v>
      </c>
      <c r="P167" s="683">
        <f>O168+O169</f>
        <v>232115</v>
      </c>
    </row>
    <row r="168" spans="1:16" ht="17.25" thickTop="1" thickBot="1" x14ac:dyDescent="0.3">
      <c r="A168" s="703"/>
      <c r="B168" s="802" t="s">
        <v>399</v>
      </c>
      <c r="C168" s="803">
        <f t="shared" ref="C168:O168" si="89">+C158+C161+C162+C163+C164</f>
        <v>137016</v>
      </c>
      <c r="D168" s="803">
        <f t="shared" si="89"/>
        <v>28466</v>
      </c>
      <c r="E168" s="803">
        <f t="shared" si="89"/>
        <v>60401</v>
      </c>
      <c r="F168" s="803">
        <f t="shared" si="89"/>
        <v>0</v>
      </c>
      <c r="G168" s="803">
        <f t="shared" si="89"/>
        <v>0</v>
      </c>
      <c r="H168" s="803">
        <f t="shared" si="89"/>
        <v>225883</v>
      </c>
      <c r="I168" s="803">
        <f t="shared" si="89"/>
        <v>657</v>
      </c>
      <c r="J168" s="803">
        <f t="shared" si="89"/>
        <v>0</v>
      </c>
      <c r="K168" s="803">
        <f t="shared" si="89"/>
        <v>0</v>
      </c>
      <c r="L168" s="803">
        <f t="shared" si="89"/>
        <v>657</v>
      </c>
      <c r="M168" s="803">
        <f t="shared" si="89"/>
        <v>226540</v>
      </c>
      <c r="N168" s="803">
        <f t="shared" si="89"/>
        <v>0</v>
      </c>
      <c r="O168" s="803">
        <f t="shared" si="89"/>
        <v>226540</v>
      </c>
    </row>
    <row r="169" spans="1:16" ht="17.25" thickTop="1" thickBot="1" x14ac:dyDescent="0.3">
      <c r="A169" s="703"/>
      <c r="B169" s="802" t="s">
        <v>398</v>
      </c>
      <c r="C169" s="803">
        <f>+C159+C166</f>
        <v>3874</v>
      </c>
      <c r="D169" s="803">
        <f t="shared" ref="D169:O169" si="90">+D159+D166</f>
        <v>1266</v>
      </c>
      <c r="E169" s="803">
        <f t="shared" si="90"/>
        <v>435</v>
      </c>
      <c r="F169" s="803">
        <f t="shared" si="90"/>
        <v>0</v>
      </c>
      <c r="G169" s="803">
        <f t="shared" si="90"/>
        <v>0</v>
      </c>
      <c r="H169" s="803">
        <f t="shared" si="90"/>
        <v>5575</v>
      </c>
      <c r="I169" s="803">
        <f t="shared" si="90"/>
        <v>0</v>
      </c>
      <c r="J169" s="803">
        <f t="shared" si="90"/>
        <v>0</v>
      </c>
      <c r="K169" s="803">
        <f t="shared" si="90"/>
        <v>0</v>
      </c>
      <c r="L169" s="803">
        <f t="shared" si="90"/>
        <v>0</v>
      </c>
      <c r="M169" s="803">
        <f t="shared" si="90"/>
        <v>5575</v>
      </c>
      <c r="N169" s="803">
        <f t="shared" si="90"/>
        <v>0</v>
      </c>
      <c r="O169" s="803">
        <f t="shared" si="90"/>
        <v>5575</v>
      </c>
    </row>
    <row r="170" spans="1:16" ht="16.5" thickTop="1" x14ac:dyDescent="0.25">
      <c r="A170" s="692" t="s">
        <v>3</v>
      </c>
      <c r="B170" s="801" t="s">
        <v>423</v>
      </c>
      <c r="C170" s="712"/>
      <c r="D170" s="713"/>
      <c r="E170" s="713"/>
      <c r="F170" s="716"/>
      <c r="G170" s="713"/>
      <c r="H170" s="705"/>
      <c r="I170" s="717"/>
      <c r="J170" s="714"/>
      <c r="K170" s="714"/>
      <c r="L170" s="705"/>
      <c r="M170" s="705"/>
      <c r="N170" s="705"/>
      <c r="O170" s="705"/>
    </row>
    <row r="171" spans="1:16" x14ac:dyDescent="0.25">
      <c r="A171" s="692"/>
      <c r="B171" s="774" t="s">
        <v>363</v>
      </c>
      <c r="C171" s="712">
        <v>155045</v>
      </c>
      <c r="D171" s="713">
        <v>33433</v>
      </c>
      <c r="E171" s="713">
        <v>61344</v>
      </c>
      <c r="F171" s="714"/>
      <c r="G171" s="713"/>
      <c r="H171" s="705">
        <f>SUM(C171:G171)</f>
        <v>249822</v>
      </c>
      <c r="I171" s="717">
        <v>2229</v>
      </c>
      <c r="J171" s="714"/>
      <c r="K171" s="714"/>
      <c r="L171" s="705">
        <f>SUM(I171:K171)</f>
        <v>2229</v>
      </c>
      <c r="M171" s="706">
        <f>SUM(H171+L171)</f>
        <v>252051</v>
      </c>
      <c r="N171" s="706"/>
      <c r="O171" s="706">
        <f>SUM(M171+N171)</f>
        <v>252051</v>
      </c>
    </row>
    <row r="172" spans="1:16" s="702" customFormat="1" x14ac:dyDescent="0.25">
      <c r="A172" s="693"/>
      <c r="B172" s="694" t="s">
        <v>402</v>
      </c>
      <c r="C172" s="695">
        <v>150948</v>
      </c>
      <c r="D172" s="696">
        <v>32081</v>
      </c>
      <c r="E172" s="696">
        <v>61259</v>
      </c>
      <c r="F172" s="697"/>
      <c r="G172" s="696"/>
      <c r="H172" s="698">
        <f>SUM(C172:G172)</f>
        <v>244288</v>
      </c>
      <c r="I172" s="704">
        <v>2229</v>
      </c>
      <c r="J172" s="697"/>
      <c r="K172" s="697"/>
      <c r="L172" s="698">
        <f>SUM(I172:K172)</f>
        <v>2229</v>
      </c>
      <c r="M172" s="701">
        <f>SUM(H172+L172)</f>
        <v>246517</v>
      </c>
      <c r="N172" s="701"/>
      <c r="O172" s="701">
        <f>SUM(M172+N172)</f>
        <v>246517</v>
      </c>
    </row>
    <row r="173" spans="1:16" s="702" customFormat="1" x14ac:dyDescent="0.25">
      <c r="A173" s="693"/>
      <c r="B173" s="694" t="s">
        <v>401</v>
      </c>
      <c r="C173" s="695">
        <v>4097</v>
      </c>
      <c r="D173" s="696">
        <v>1352</v>
      </c>
      <c r="E173" s="696">
        <v>85</v>
      </c>
      <c r="F173" s="697"/>
      <c r="G173" s="696"/>
      <c r="H173" s="698">
        <f>SUM(C173:G173)</f>
        <v>5534</v>
      </c>
      <c r="I173" s="704"/>
      <c r="J173" s="697"/>
      <c r="K173" s="697"/>
      <c r="L173" s="698">
        <f>SUM(I173:K173)</f>
        <v>0</v>
      </c>
      <c r="M173" s="701">
        <f>SUM(H173+L173)</f>
        <v>5534</v>
      </c>
      <c r="N173" s="701"/>
      <c r="O173" s="701">
        <f>SUM(M173+N173)</f>
        <v>5534</v>
      </c>
    </row>
    <row r="174" spans="1:16" s="702" customFormat="1" x14ac:dyDescent="0.25">
      <c r="A174" s="693"/>
      <c r="B174" s="694" t="s">
        <v>132</v>
      </c>
      <c r="C174" s="695"/>
      <c r="D174" s="696"/>
      <c r="E174" s="696"/>
      <c r="F174" s="697"/>
      <c r="G174" s="696"/>
      <c r="H174" s="698"/>
      <c r="I174" s="704"/>
      <c r="J174" s="697"/>
      <c r="K174" s="697"/>
      <c r="L174" s="698"/>
      <c r="M174" s="701"/>
      <c r="N174" s="701"/>
      <c r="O174" s="701"/>
    </row>
    <row r="175" spans="1:16" s="702" customFormat="1" x14ac:dyDescent="0.25">
      <c r="A175" s="693"/>
      <c r="B175" s="774" t="s">
        <v>1218</v>
      </c>
      <c r="C175" s="712">
        <v>10</v>
      </c>
      <c r="D175" s="713">
        <v>2</v>
      </c>
      <c r="E175" s="713"/>
      <c r="F175" s="714"/>
      <c r="G175" s="696"/>
      <c r="H175" s="705">
        <f t="shared" ref="H175:H179" si="91">SUM(C175:G175)</f>
        <v>12</v>
      </c>
      <c r="I175" s="704"/>
      <c r="J175" s="697"/>
      <c r="K175" s="697"/>
      <c r="L175" s="705">
        <f t="shared" ref="L175:L179" si="92">SUM(I175:K175)</f>
        <v>0</v>
      </c>
      <c r="M175" s="706">
        <f t="shared" ref="M175:M179" si="93">SUM(H175+L175)</f>
        <v>12</v>
      </c>
      <c r="N175" s="701"/>
      <c r="O175" s="706">
        <f t="shared" ref="O175:O179" si="94">SUM(M175+N175)</f>
        <v>12</v>
      </c>
    </row>
    <row r="176" spans="1:16" s="702" customFormat="1" ht="31.5" x14ac:dyDescent="0.25">
      <c r="A176" s="693"/>
      <c r="B176" s="774" t="s">
        <v>935</v>
      </c>
      <c r="C176" s="712"/>
      <c r="D176" s="713"/>
      <c r="E176" s="713">
        <v>730</v>
      </c>
      <c r="F176" s="714"/>
      <c r="G176" s="696"/>
      <c r="H176" s="705">
        <f t="shared" si="91"/>
        <v>730</v>
      </c>
      <c r="I176" s="704">
        <v>338</v>
      </c>
      <c r="J176" s="697"/>
      <c r="K176" s="697"/>
      <c r="L176" s="705">
        <f t="shared" si="92"/>
        <v>338</v>
      </c>
      <c r="M176" s="706">
        <f t="shared" si="93"/>
        <v>1068</v>
      </c>
      <c r="N176" s="701"/>
      <c r="O176" s="706">
        <f t="shared" si="94"/>
        <v>1068</v>
      </c>
    </row>
    <row r="177" spans="1:16" s="702" customFormat="1" x14ac:dyDescent="0.25">
      <c r="A177" s="693"/>
      <c r="B177" s="694" t="s">
        <v>133</v>
      </c>
      <c r="C177" s="712"/>
      <c r="D177" s="713"/>
      <c r="E177" s="713"/>
      <c r="F177" s="714"/>
      <c r="G177" s="696"/>
      <c r="H177" s="705"/>
      <c r="I177" s="704"/>
      <c r="J177" s="697"/>
      <c r="K177" s="697"/>
      <c r="L177" s="705"/>
      <c r="M177" s="706"/>
      <c r="N177" s="701"/>
      <c r="O177" s="706"/>
    </row>
    <row r="178" spans="1:16" s="702" customFormat="1" ht="78.75" x14ac:dyDescent="0.25">
      <c r="A178" s="693"/>
      <c r="B178" s="774" t="s">
        <v>1222</v>
      </c>
      <c r="C178" s="712"/>
      <c r="D178" s="713"/>
      <c r="E178" s="713">
        <v>60</v>
      </c>
      <c r="F178" s="714"/>
      <c r="G178" s="696"/>
      <c r="H178" s="705">
        <f t="shared" si="91"/>
        <v>60</v>
      </c>
      <c r="I178" s="717"/>
      <c r="J178" s="697"/>
      <c r="K178" s="697"/>
      <c r="L178" s="705">
        <f t="shared" si="92"/>
        <v>0</v>
      </c>
      <c r="M178" s="706">
        <f t="shared" si="93"/>
        <v>60</v>
      </c>
      <c r="N178" s="701"/>
      <c r="O178" s="706">
        <f t="shared" si="94"/>
        <v>60</v>
      </c>
    </row>
    <row r="179" spans="1:16" s="702" customFormat="1" ht="16.5" thickBot="1" x14ac:dyDescent="0.3">
      <c r="A179" s="693"/>
      <c r="B179" s="774" t="s">
        <v>1219</v>
      </c>
      <c r="C179" s="712">
        <v>836</v>
      </c>
      <c r="D179" s="713">
        <v>272</v>
      </c>
      <c r="E179" s="713"/>
      <c r="F179" s="714"/>
      <c r="G179" s="696"/>
      <c r="H179" s="705">
        <f t="shared" si="91"/>
        <v>1108</v>
      </c>
      <c r="I179" s="717"/>
      <c r="J179" s="697"/>
      <c r="K179" s="697"/>
      <c r="L179" s="705">
        <f t="shared" si="92"/>
        <v>0</v>
      </c>
      <c r="M179" s="706">
        <f t="shared" si="93"/>
        <v>1108</v>
      </c>
      <c r="N179" s="701"/>
      <c r="O179" s="706">
        <f t="shared" si="94"/>
        <v>1108</v>
      </c>
    </row>
    <row r="180" spans="1:16" ht="17.25" thickTop="1" thickBot="1" x14ac:dyDescent="0.3">
      <c r="A180" s="703"/>
      <c r="B180" s="802" t="s">
        <v>400</v>
      </c>
      <c r="C180" s="803">
        <f>+C171+C175+C178+C176+C179</f>
        <v>155891</v>
      </c>
      <c r="D180" s="803">
        <f t="shared" ref="D180:O180" si="95">+D171+D175+D178+D176+D179</f>
        <v>33707</v>
      </c>
      <c r="E180" s="803">
        <f t="shared" si="95"/>
        <v>62134</v>
      </c>
      <c r="F180" s="803">
        <f t="shared" si="95"/>
        <v>0</v>
      </c>
      <c r="G180" s="803">
        <f t="shared" si="95"/>
        <v>0</v>
      </c>
      <c r="H180" s="803">
        <f t="shared" si="95"/>
        <v>251732</v>
      </c>
      <c r="I180" s="803">
        <f t="shared" si="95"/>
        <v>2567</v>
      </c>
      <c r="J180" s="803">
        <f t="shared" si="95"/>
        <v>0</v>
      </c>
      <c r="K180" s="803">
        <f t="shared" si="95"/>
        <v>0</v>
      </c>
      <c r="L180" s="803">
        <f t="shared" si="95"/>
        <v>2567</v>
      </c>
      <c r="M180" s="803">
        <f t="shared" si="95"/>
        <v>254299</v>
      </c>
      <c r="N180" s="803">
        <f t="shared" si="95"/>
        <v>0</v>
      </c>
      <c r="O180" s="803">
        <f t="shared" si="95"/>
        <v>254299</v>
      </c>
      <c r="P180" s="683">
        <f>O181+O182</f>
        <v>254299</v>
      </c>
    </row>
    <row r="181" spans="1:16" ht="17.25" thickTop="1" thickBot="1" x14ac:dyDescent="0.3">
      <c r="A181" s="703"/>
      <c r="B181" s="802" t="s">
        <v>399</v>
      </c>
      <c r="C181" s="803">
        <f>+C172+C175+C176</f>
        <v>150958</v>
      </c>
      <c r="D181" s="803">
        <f t="shared" ref="D181:O181" si="96">+D172+D175+D176</f>
        <v>32083</v>
      </c>
      <c r="E181" s="803">
        <f t="shared" si="96"/>
        <v>61989</v>
      </c>
      <c r="F181" s="803">
        <f t="shared" si="96"/>
        <v>0</v>
      </c>
      <c r="G181" s="803">
        <f t="shared" si="96"/>
        <v>0</v>
      </c>
      <c r="H181" s="803">
        <f t="shared" si="96"/>
        <v>245030</v>
      </c>
      <c r="I181" s="803">
        <f t="shared" si="96"/>
        <v>2567</v>
      </c>
      <c r="J181" s="803">
        <f t="shared" si="96"/>
        <v>0</v>
      </c>
      <c r="K181" s="803">
        <f t="shared" si="96"/>
        <v>0</v>
      </c>
      <c r="L181" s="803">
        <f t="shared" si="96"/>
        <v>2567</v>
      </c>
      <c r="M181" s="803">
        <f t="shared" si="96"/>
        <v>247597</v>
      </c>
      <c r="N181" s="803">
        <f t="shared" si="96"/>
        <v>0</v>
      </c>
      <c r="O181" s="803">
        <f t="shared" si="96"/>
        <v>247597</v>
      </c>
    </row>
    <row r="182" spans="1:16" ht="17.25" thickTop="1" thickBot="1" x14ac:dyDescent="0.3">
      <c r="A182" s="703"/>
      <c r="B182" s="802" t="s">
        <v>398</v>
      </c>
      <c r="C182" s="803">
        <f>+C173+C178+C179</f>
        <v>4933</v>
      </c>
      <c r="D182" s="803">
        <f t="shared" ref="D182:O182" si="97">+D173+D178+D179</f>
        <v>1624</v>
      </c>
      <c r="E182" s="803">
        <f t="shared" si="97"/>
        <v>145</v>
      </c>
      <c r="F182" s="803">
        <f t="shared" si="97"/>
        <v>0</v>
      </c>
      <c r="G182" s="803">
        <f t="shared" si="97"/>
        <v>0</v>
      </c>
      <c r="H182" s="803">
        <f t="shared" si="97"/>
        <v>6702</v>
      </c>
      <c r="I182" s="803">
        <f t="shared" si="97"/>
        <v>0</v>
      </c>
      <c r="J182" s="803">
        <f t="shared" si="97"/>
        <v>0</v>
      </c>
      <c r="K182" s="803">
        <f t="shared" si="97"/>
        <v>0</v>
      </c>
      <c r="L182" s="803">
        <f t="shared" si="97"/>
        <v>0</v>
      </c>
      <c r="M182" s="803">
        <f t="shared" si="97"/>
        <v>6702</v>
      </c>
      <c r="N182" s="803">
        <f t="shared" si="97"/>
        <v>0</v>
      </c>
      <c r="O182" s="803">
        <f t="shared" si="97"/>
        <v>6702</v>
      </c>
    </row>
    <row r="183" spans="1:16" ht="16.5" thickTop="1" x14ac:dyDescent="0.25">
      <c r="A183" s="692" t="s">
        <v>4</v>
      </c>
      <c r="B183" s="801" t="s">
        <v>422</v>
      </c>
      <c r="C183" s="712"/>
      <c r="D183" s="713"/>
      <c r="E183" s="713"/>
      <c r="F183" s="716"/>
      <c r="G183" s="713"/>
      <c r="H183" s="705"/>
      <c r="I183" s="717"/>
      <c r="J183" s="714"/>
      <c r="K183" s="714"/>
      <c r="L183" s="705"/>
      <c r="M183" s="705"/>
      <c r="N183" s="705"/>
      <c r="O183" s="705"/>
    </row>
    <row r="184" spans="1:16" x14ac:dyDescent="0.25">
      <c r="A184" s="735"/>
      <c r="B184" s="801" t="s">
        <v>363</v>
      </c>
      <c r="C184" s="712">
        <v>142748</v>
      </c>
      <c r="D184" s="713">
        <v>30605</v>
      </c>
      <c r="E184" s="713">
        <v>50684</v>
      </c>
      <c r="F184" s="714"/>
      <c r="G184" s="713"/>
      <c r="H184" s="705">
        <f>SUM(C184:G184)</f>
        <v>224037</v>
      </c>
      <c r="I184" s="717">
        <v>473</v>
      </c>
      <c r="J184" s="714"/>
      <c r="K184" s="714"/>
      <c r="L184" s="705">
        <f>SUM(I184:K184)</f>
        <v>473</v>
      </c>
      <c r="M184" s="706">
        <f>SUM(H184+L184)</f>
        <v>224510</v>
      </c>
      <c r="N184" s="706"/>
      <c r="O184" s="706">
        <f>SUM(M184+N184)</f>
        <v>224510</v>
      </c>
    </row>
    <row r="185" spans="1:16" s="702" customFormat="1" x14ac:dyDescent="0.25">
      <c r="A185" s="736"/>
      <c r="B185" s="694" t="s">
        <v>402</v>
      </c>
      <c r="C185" s="695">
        <v>139168</v>
      </c>
      <c r="D185" s="696">
        <v>29424</v>
      </c>
      <c r="E185" s="696">
        <v>50629</v>
      </c>
      <c r="F185" s="697"/>
      <c r="G185" s="696"/>
      <c r="H185" s="698">
        <f>SUM(C185:G185)</f>
        <v>219221</v>
      </c>
      <c r="I185" s="704">
        <v>473</v>
      </c>
      <c r="J185" s="697"/>
      <c r="K185" s="697"/>
      <c r="L185" s="698">
        <f>SUM(I185:K185)</f>
        <v>473</v>
      </c>
      <c r="M185" s="701">
        <f>SUM(H185+L185)</f>
        <v>219694</v>
      </c>
      <c r="N185" s="701"/>
      <c r="O185" s="701">
        <f>SUM(M185+N185)</f>
        <v>219694</v>
      </c>
    </row>
    <row r="186" spans="1:16" s="702" customFormat="1" x14ac:dyDescent="0.25">
      <c r="A186" s="736"/>
      <c r="B186" s="694" t="s">
        <v>401</v>
      </c>
      <c r="C186" s="695">
        <v>3580</v>
      </c>
      <c r="D186" s="696">
        <v>1181</v>
      </c>
      <c r="E186" s="696">
        <v>55</v>
      </c>
      <c r="F186" s="697"/>
      <c r="G186" s="696"/>
      <c r="H186" s="698">
        <f>SUM(C186:G186)</f>
        <v>4816</v>
      </c>
      <c r="I186" s="704"/>
      <c r="J186" s="697"/>
      <c r="K186" s="697"/>
      <c r="L186" s="698">
        <f>SUM(I186:K186)</f>
        <v>0</v>
      </c>
      <c r="M186" s="701">
        <f>SUM(H186+L186)</f>
        <v>4816</v>
      </c>
      <c r="N186" s="701"/>
      <c r="O186" s="701">
        <f>SUM(M186+N186)</f>
        <v>4816</v>
      </c>
    </row>
    <row r="187" spans="1:16" s="702" customFormat="1" x14ac:dyDescent="0.25">
      <c r="A187" s="736"/>
      <c r="B187" s="694" t="s">
        <v>132</v>
      </c>
      <c r="C187" s="695"/>
      <c r="D187" s="696"/>
      <c r="E187" s="696"/>
      <c r="F187" s="697"/>
      <c r="G187" s="696"/>
      <c r="H187" s="698"/>
      <c r="I187" s="704"/>
      <c r="J187" s="697"/>
      <c r="K187" s="697"/>
      <c r="L187" s="698"/>
      <c r="M187" s="701"/>
      <c r="N187" s="701"/>
      <c r="O187" s="701"/>
    </row>
    <row r="188" spans="1:16" s="702" customFormat="1" x14ac:dyDescent="0.25">
      <c r="A188" s="736"/>
      <c r="B188" s="774" t="s">
        <v>1218</v>
      </c>
      <c r="C188" s="712">
        <v>1</v>
      </c>
      <c r="D188" s="713">
        <v>1</v>
      </c>
      <c r="E188" s="713"/>
      <c r="F188" s="714"/>
      <c r="G188" s="696"/>
      <c r="H188" s="705">
        <f t="shared" ref="H188:H191" si="98">SUM(C188:G188)</f>
        <v>2</v>
      </c>
      <c r="I188" s="704"/>
      <c r="J188" s="697"/>
      <c r="K188" s="697"/>
      <c r="L188" s="705">
        <f t="shared" ref="L188:L191" si="99">SUM(I188:K188)</f>
        <v>0</v>
      </c>
      <c r="M188" s="705">
        <f t="shared" ref="M188:M191" si="100">SUM(H188+L188)</f>
        <v>2</v>
      </c>
      <c r="N188" s="698"/>
      <c r="O188" s="705">
        <f t="shared" ref="O188:O191" si="101">SUM(M188+N188)</f>
        <v>2</v>
      </c>
    </row>
    <row r="189" spans="1:16" s="702" customFormat="1" ht="31.5" x14ac:dyDescent="0.25">
      <c r="A189" s="693"/>
      <c r="B189" s="774" t="s">
        <v>935</v>
      </c>
      <c r="C189" s="737"/>
      <c r="D189" s="738"/>
      <c r="E189" s="738">
        <v>1505</v>
      </c>
      <c r="F189" s="739"/>
      <c r="G189" s="708"/>
      <c r="H189" s="710">
        <f t="shared" si="98"/>
        <v>1505</v>
      </c>
      <c r="I189" s="741">
        <v>212</v>
      </c>
      <c r="J189" s="742"/>
      <c r="K189" s="742"/>
      <c r="L189" s="710">
        <f t="shared" si="99"/>
        <v>212</v>
      </c>
      <c r="M189" s="710">
        <f t="shared" si="100"/>
        <v>1717</v>
      </c>
      <c r="N189" s="709"/>
      <c r="O189" s="710">
        <f t="shared" si="101"/>
        <v>1717</v>
      </c>
    </row>
    <row r="190" spans="1:16" s="702" customFormat="1" x14ac:dyDescent="0.25">
      <c r="A190" s="736"/>
      <c r="B190" s="694" t="s">
        <v>133</v>
      </c>
      <c r="C190" s="712"/>
      <c r="D190" s="713"/>
      <c r="E190" s="713"/>
      <c r="F190" s="714"/>
      <c r="G190" s="696"/>
      <c r="H190" s="705"/>
      <c r="I190" s="704"/>
      <c r="J190" s="697"/>
      <c r="K190" s="697"/>
      <c r="L190" s="705"/>
      <c r="M190" s="706"/>
      <c r="N190" s="701"/>
      <c r="O190" s="706"/>
    </row>
    <row r="191" spans="1:16" s="702" customFormat="1" ht="16.5" thickBot="1" x14ac:dyDescent="0.3">
      <c r="A191" s="693"/>
      <c r="B191" s="774" t="s">
        <v>1219</v>
      </c>
      <c r="C191" s="712">
        <v>700</v>
      </c>
      <c r="D191" s="713">
        <v>227</v>
      </c>
      <c r="E191" s="713"/>
      <c r="F191" s="714"/>
      <c r="G191" s="696"/>
      <c r="H191" s="705">
        <f t="shared" si="98"/>
        <v>927</v>
      </c>
      <c r="I191" s="717"/>
      <c r="J191" s="697"/>
      <c r="K191" s="697"/>
      <c r="L191" s="705">
        <f t="shared" si="99"/>
        <v>0</v>
      </c>
      <c r="M191" s="706">
        <f t="shared" si="100"/>
        <v>927</v>
      </c>
      <c r="N191" s="701"/>
      <c r="O191" s="706">
        <f t="shared" si="101"/>
        <v>927</v>
      </c>
    </row>
    <row r="192" spans="1:16" ht="17.25" thickTop="1" thickBot="1" x14ac:dyDescent="0.3">
      <c r="A192" s="703"/>
      <c r="B192" s="802" t="s">
        <v>400</v>
      </c>
      <c r="C192" s="803">
        <f>+C184+C188+C191+C189</f>
        <v>143449</v>
      </c>
      <c r="D192" s="803">
        <f t="shared" ref="D192:O192" si="102">+D184+D188+D191+D189</f>
        <v>30833</v>
      </c>
      <c r="E192" s="803">
        <f t="shared" si="102"/>
        <v>52189</v>
      </c>
      <c r="F192" s="803">
        <f t="shared" si="102"/>
        <v>0</v>
      </c>
      <c r="G192" s="803">
        <f t="shared" si="102"/>
        <v>0</v>
      </c>
      <c r="H192" s="803">
        <f t="shared" si="102"/>
        <v>226471</v>
      </c>
      <c r="I192" s="803">
        <f t="shared" si="102"/>
        <v>685</v>
      </c>
      <c r="J192" s="803">
        <f t="shared" si="102"/>
        <v>0</v>
      </c>
      <c r="K192" s="803">
        <f t="shared" si="102"/>
        <v>0</v>
      </c>
      <c r="L192" s="803">
        <f t="shared" si="102"/>
        <v>685</v>
      </c>
      <c r="M192" s="803">
        <f t="shared" si="102"/>
        <v>227156</v>
      </c>
      <c r="N192" s="803">
        <f t="shared" si="102"/>
        <v>0</v>
      </c>
      <c r="O192" s="803">
        <f t="shared" si="102"/>
        <v>227156</v>
      </c>
      <c r="P192" s="683">
        <f>O193+O194</f>
        <v>227156</v>
      </c>
    </row>
    <row r="193" spans="1:16" ht="17.25" thickTop="1" thickBot="1" x14ac:dyDescent="0.3">
      <c r="A193" s="703"/>
      <c r="B193" s="802" t="s">
        <v>399</v>
      </c>
      <c r="C193" s="803">
        <f t="shared" ref="C193:O193" si="103">+C185+C188+C189</f>
        <v>139169</v>
      </c>
      <c r="D193" s="803">
        <f t="shared" si="103"/>
        <v>29425</v>
      </c>
      <c r="E193" s="803">
        <f t="shared" si="103"/>
        <v>52134</v>
      </c>
      <c r="F193" s="803">
        <f t="shared" si="103"/>
        <v>0</v>
      </c>
      <c r="G193" s="803">
        <f t="shared" si="103"/>
        <v>0</v>
      </c>
      <c r="H193" s="803">
        <f t="shared" si="103"/>
        <v>220728</v>
      </c>
      <c r="I193" s="803">
        <f t="shared" si="103"/>
        <v>685</v>
      </c>
      <c r="J193" s="803">
        <f t="shared" si="103"/>
        <v>0</v>
      </c>
      <c r="K193" s="803">
        <f t="shared" si="103"/>
        <v>0</v>
      </c>
      <c r="L193" s="803">
        <f t="shared" si="103"/>
        <v>685</v>
      </c>
      <c r="M193" s="803">
        <f t="shared" si="103"/>
        <v>221413</v>
      </c>
      <c r="N193" s="803">
        <f t="shared" si="103"/>
        <v>0</v>
      </c>
      <c r="O193" s="803">
        <f t="shared" si="103"/>
        <v>221413</v>
      </c>
    </row>
    <row r="194" spans="1:16" ht="17.25" thickTop="1" thickBot="1" x14ac:dyDescent="0.3">
      <c r="A194" s="703"/>
      <c r="B194" s="802" t="s">
        <v>398</v>
      </c>
      <c r="C194" s="803">
        <f>+C186+C191</f>
        <v>4280</v>
      </c>
      <c r="D194" s="803">
        <f t="shared" ref="D194:O194" si="104">+D186+D191</f>
        <v>1408</v>
      </c>
      <c r="E194" s="803">
        <f t="shared" si="104"/>
        <v>55</v>
      </c>
      <c r="F194" s="803">
        <f t="shared" si="104"/>
        <v>0</v>
      </c>
      <c r="G194" s="803">
        <f t="shared" si="104"/>
        <v>0</v>
      </c>
      <c r="H194" s="803">
        <f t="shared" si="104"/>
        <v>5743</v>
      </c>
      <c r="I194" s="803">
        <f t="shared" si="104"/>
        <v>0</v>
      </c>
      <c r="J194" s="803">
        <f t="shared" si="104"/>
        <v>0</v>
      </c>
      <c r="K194" s="803">
        <f t="shared" si="104"/>
        <v>0</v>
      </c>
      <c r="L194" s="803">
        <f t="shared" si="104"/>
        <v>0</v>
      </c>
      <c r="M194" s="803">
        <f t="shared" si="104"/>
        <v>5743</v>
      </c>
      <c r="N194" s="803">
        <f t="shared" si="104"/>
        <v>0</v>
      </c>
      <c r="O194" s="803">
        <f t="shared" si="104"/>
        <v>5743</v>
      </c>
    </row>
    <row r="195" spans="1:16" ht="16.5" thickTop="1" x14ac:dyDescent="0.25">
      <c r="A195" s="692" t="s">
        <v>5</v>
      </c>
      <c r="B195" s="801" t="s">
        <v>421</v>
      </c>
      <c r="C195" s="712"/>
      <c r="D195" s="713"/>
      <c r="E195" s="713"/>
      <c r="F195" s="716"/>
      <c r="G195" s="713"/>
      <c r="H195" s="705"/>
      <c r="I195" s="717"/>
      <c r="J195" s="714"/>
      <c r="K195" s="714"/>
      <c r="L195" s="705"/>
      <c r="M195" s="705"/>
      <c r="N195" s="705"/>
      <c r="O195" s="705"/>
    </row>
    <row r="196" spans="1:16" x14ac:dyDescent="0.25">
      <c r="A196" s="692"/>
      <c r="B196" s="774" t="s">
        <v>363</v>
      </c>
      <c r="C196" s="712">
        <v>161757</v>
      </c>
      <c r="D196" s="713">
        <v>34644</v>
      </c>
      <c r="E196" s="713">
        <v>74350</v>
      </c>
      <c r="F196" s="716"/>
      <c r="G196" s="713"/>
      <c r="H196" s="705">
        <f>SUM(C196:G196)</f>
        <v>270751</v>
      </c>
      <c r="I196" s="717"/>
      <c r="J196" s="714"/>
      <c r="K196" s="714"/>
      <c r="L196" s="705">
        <f>SUM(I196:K196)</f>
        <v>0</v>
      </c>
      <c r="M196" s="706">
        <f>SUM(H196+L196)</f>
        <v>270751</v>
      </c>
      <c r="N196" s="706"/>
      <c r="O196" s="706">
        <f>SUM(M196+N196)</f>
        <v>270751</v>
      </c>
    </row>
    <row r="197" spans="1:16" s="702" customFormat="1" x14ac:dyDescent="0.25">
      <c r="A197" s="693"/>
      <c r="B197" s="694" t="s">
        <v>402</v>
      </c>
      <c r="C197" s="695">
        <v>157664</v>
      </c>
      <c r="D197" s="696">
        <v>33294</v>
      </c>
      <c r="E197" s="696">
        <v>74265</v>
      </c>
      <c r="F197" s="700"/>
      <c r="G197" s="696"/>
      <c r="H197" s="698">
        <f>SUM(C197:G197)</f>
        <v>265223</v>
      </c>
      <c r="I197" s="704"/>
      <c r="J197" s="697"/>
      <c r="K197" s="697"/>
      <c r="L197" s="698">
        <f>SUM(I197:K197)</f>
        <v>0</v>
      </c>
      <c r="M197" s="701">
        <f>SUM(H197+L197)</f>
        <v>265223</v>
      </c>
      <c r="N197" s="701"/>
      <c r="O197" s="701">
        <f>SUM(M197+N197)</f>
        <v>265223</v>
      </c>
    </row>
    <row r="198" spans="1:16" s="702" customFormat="1" ht="16.5" thickBot="1" x14ac:dyDescent="0.3">
      <c r="A198" s="719"/>
      <c r="B198" s="720" t="s">
        <v>401</v>
      </c>
      <c r="C198" s="721">
        <v>4093</v>
      </c>
      <c r="D198" s="722">
        <v>1350</v>
      </c>
      <c r="E198" s="722">
        <v>85</v>
      </c>
      <c r="F198" s="723"/>
      <c r="G198" s="722"/>
      <c r="H198" s="724">
        <f>SUM(C198:G198)</f>
        <v>5528</v>
      </c>
      <c r="I198" s="725"/>
      <c r="J198" s="723"/>
      <c r="K198" s="723"/>
      <c r="L198" s="724">
        <f>SUM(I198:K198)</f>
        <v>0</v>
      </c>
      <c r="M198" s="724">
        <f>SUM(H198+L198)</f>
        <v>5528</v>
      </c>
      <c r="N198" s="724"/>
      <c r="O198" s="724">
        <f>SUM(M198+N198)</f>
        <v>5528</v>
      </c>
    </row>
    <row r="199" spans="1:16" s="702" customFormat="1" x14ac:dyDescent="0.25">
      <c r="A199" s="726"/>
      <c r="B199" s="727" t="s">
        <v>132</v>
      </c>
      <c r="C199" s="728"/>
      <c r="D199" s="729"/>
      <c r="E199" s="729"/>
      <c r="F199" s="730"/>
      <c r="G199" s="729"/>
      <c r="H199" s="731"/>
      <c r="I199" s="732"/>
      <c r="J199" s="730"/>
      <c r="K199" s="730"/>
      <c r="L199" s="731"/>
      <c r="M199" s="731"/>
      <c r="N199" s="731"/>
      <c r="O199" s="731"/>
    </row>
    <row r="200" spans="1:16" s="702" customFormat="1" x14ac:dyDescent="0.25">
      <c r="A200" s="693"/>
      <c r="B200" s="774" t="s">
        <v>1218</v>
      </c>
      <c r="C200" s="712">
        <v>10</v>
      </c>
      <c r="D200" s="713">
        <v>2</v>
      </c>
      <c r="E200" s="713"/>
      <c r="F200" s="716"/>
      <c r="G200" s="696"/>
      <c r="H200" s="705">
        <f t="shared" ref="H200:H204" si="105">SUM(C200:G200)</f>
        <v>12</v>
      </c>
      <c r="I200" s="704"/>
      <c r="J200" s="697"/>
      <c r="K200" s="697"/>
      <c r="L200" s="705">
        <f t="shared" ref="L200:L204" si="106">SUM(I200:K200)</f>
        <v>0</v>
      </c>
      <c r="M200" s="706">
        <f t="shared" ref="M200:M204" si="107">SUM(H200+L200)</f>
        <v>12</v>
      </c>
      <c r="N200" s="701"/>
      <c r="O200" s="706">
        <f t="shared" ref="O200:O204" si="108">SUM(M200+N200)</f>
        <v>12</v>
      </c>
    </row>
    <row r="201" spans="1:16" s="702" customFormat="1" ht="47.25" x14ac:dyDescent="0.25">
      <c r="A201" s="693"/>
      <c r="B201" s="774" t="s">
        <v>1198</v>
      </c>
      <c r="C201" s="712">
        <v>422</v>
      </c>
      <c r="D201" s="713">
        <v>73</v>
      </c>
      <c r="E201" s="713"/>
      <c r="F201" s="716"/>
      <c r="G201" s="696"/>
      <c r="H201" s="705">
        <f t="shared" si="105"/>
        <v>495</v>
      </c>
      <c r="I201" s="704"/>
      <c r="J201" s="697"/>
      <c r="K201" s="697"/>
      <c r="L201" s="705">
        <f t="shared" si="106"/>
        <v>0</v>
      </c>
      <c r="M201" s="706">
        <f t="shared" si="107"/>
        <v>495</v>
      </c>
      <c r="N201" s="701"/>
      <c r="O201" s="706">
        <f t="shared" si="108"/>
        <v>495</v>
      </c>
    </row>
    <row r="202" spans="1:16" s="702" customFormat="1" ht="31.5" x14ac:dyDescent="0.25">
      <c r="A202" s="693"/>
      <c r="B202" s="774" t="s">
        <v>935</v>
      </c>
      <c r="C202" s="712"/>
      <c r="D202" s="713"/>
      <c r="E202" s="713">
        <v>7442</v>
      </c>
      <c r="F202" s="716"/>
      <c r="G202" s="696"/>
      <c r="H202" s="705">
        <f t="shared" si="105"/>
        <v>7442</v>
      </c>
      <c r="I202" s="704">
        <v>267</v>
      </c>
      <c r="J202" s="697"/>
      <c r="K202" s="697"/>
      <c r="L202" s="705">
        <f t="shared" si="106"/>
        <v>267</v>
      </c>
      <c r="M202" s="706">
        <f t="shared" si="107"/>
        <v>7709</v>
      </c>
      <c r="N202" s="701"/>
      <c r="O202" s="706">
        <f t="shared" si="108"/>
        <v>7709</v>
      </c>
    </row>
    <row r="203" spans="1:16" s="702" customFormat="1" x14ac:dyDescent="0.25">
      <c r="A203" s="693"/>
      <c r="B203" s="694" t="s">
        <v>133</v>
      </c>
      <c r="C203" s="712"/>
      <c r="D203" s="713"/>
      <c r="E203" s="713"/>
      <c r="F203" s="716"/>
      <c r="G203" s="696"/>
      <c r="H203" s="705"/>
      <c r="I203" s="704"/>
      <c r="J203" s="697"/>
      <c r="K203" s="697"/>
      <c r="L203" s="705"/>
      <c r="M203" s="706"/>
      <c r="N203" s="701"/>
      <c r="O203" s="706"/>
    </row>
    <row r="204" spans="1:16" s="702" customFormat="1" ht="16.5" thickBot="1" x14ac:dyDescent="0.3">
      <c r="A204" s="745"/>
      <c r="B204" s="811" t="s">
        <v>1219</v>
      </c>
      <c r="C204" s="746">
        <v>818</v>
      </c>
      <c r="D204" s="747">
        <v>266</v>
      </c>
      <c r="E204" s="747"/>
      <c r="F204" s="748"/>
      <c r="G204" s="964"/>
      <c r="H204" s="749">
        <f t="shared" si="105"/>
        <v>1084</v>
      </c>
      <c r="I204" s="750"/>
      <c r="J204" s="965"/>
      <c r="K204" s="965"/>
      <c r="L204" s="749">
        <f t="shared" si="106"/>
        <v>0</v>
      </c>
      <c r="M204" s="749">
        <f t="shared" si="107"/>
        <v>1084</v>
      </c>
      <c r="N204" s="966"/>
      <c r="O204" s="749">
        <f t="shared" si="108"/>
        <v>1084</v>
      </c>
    </row>
    <row r="205" spans="1:16" ht="17.25" thickTop="1" thickBot="1" x14ac:dyDescent="0.3">
      <c r="A205" s="703"/>
      <c r="B205" s="802" t="s">
        <v>400</v>
      </c>
      <c r="C205" s="803">
        <f>+C196+C200+C201+C204+C202</f>
        <v>163007</v>
      </c>
      <c r="D205" s="803">
        <f t="shared" ref="D205:O205" si="109">+D196+D200+D201+D204+D202</f>
        <v>34985</v>
      </c>
      <c r="E205" s="803">
        <f t="shared" si="109"/>
        <v>81792</v>
      </c>
      <c r="F205" s="803">
        <f t="shared" si="109"/>
        <v>0</v>
      </c>
      <c r="G205" s="803">
        <f t="shared" si="109"/>
        <v>0</v>
      </c>
      <c r="H205" s="803">
        <f t="shared" si="109"/>
        <v>279784</v>
      </c>
      <c r="I205" s="803">
        <f t="shared" si="109"/>
        <v>267</v>
      </c>
      <c r="J205" s="803">
        <f t="shared" si="109"/>
        <v>0</v>
      </c>
      <c r="K205" s="803">
        <f t="shared" si="109"/>
        <v>0</v>
      </c>
      <c r="L205" s="803">
        <f t="shared" si="109"/>
        <v>267</v>
      </c>
      <c r="M205" s="803">
        <f t="shared" si="109"/>
        <v>280051</v>
      </c>
      <c r="N205" s="803">
        <f t="shared" si="109"/>
        <v>0</v>
      </c>
      <c r="O205" s="803">
        <f t="shared" si="109"/>
        <v>280051</v>
      </c>
      <c r="P205" s="683">
        <f>O206+O207</f>
        <v>280051</v>
      </c>
    </row>
    <row r="206" spans="1:16" ht="17.25" thickTop="1" thickBot="1" x14ac:dyDescent="0.3">
      <c r="A206" s="703"/>
      <c r="B206" s="802" t="s">
        <v>399</v>
      </c>
      <c r="C206" s="803">
        <f t="shared" ref="C206:O206" si="110">+C197+C200+C201+C202</f>
        <v>158096</v>
      </c>
      <c r="D206" s="803">
        <f t="shared" si="110"/>
        <v>33369</v>
      </c>
      <c r="E206" s="803">
        <f t="shared" si="110"/>
        <v>81707</v>
      </c>
      <c r="F206" s="803">
        <f t="shared" si="110"/>
        <v>0</v>
      </c>
      <c r="G206" s="803">
        <f t="shared" si="110"/>
        <v>0</v>
      </c>
      <c r="H206" s="803">
        <f t="shared" si="110"/>
        <v>273172</v>
      </c>
      <c r="I206" s="803">
        <f t="shared" si="110"/>
        <v>267</v>
      </c>
      <c r="J206" s="803">
        <f t="shared" si="110"/>
        <v>0</v>
      </c>
      <c r="K206" s="803">
        <f t="shared" si="110"/>
        <v>0</v>
      </c>
      <c r="L206" s="803">
        <f t="shared" si="110"/>
        <v>267</v>
      </c>
      <c r="M206" s="803">
        <f t="shared" si="110"/>
        <v>273439</v>
      </c>
      <c r="N206" s="803">
        <f t="shared" si="110"/>
        <v>0</v>
      </c>
      <c r="O206" s="803">
        <f t="shared" si="110"/>
        <v>273439</v>
      </c>
    </row>
    <row r="207" spans="1:16" ht="17.25" thickTop="1" thickBot="1" x14ac:dyDescent="0.3">
      <c r="A207" s="703"/>
      <c r="B207" s="802" t="s">
        <v>398</v>
      </c>
      <c r="C207" s="803">
        <f>+C198+C204</f>
        <v>4911</v>
      </c>
      <c r="D207" s="803">
        <f t="shared" ref="D207:O207" si="111">+D198+D204</f>
        <v>1616</v>
      </c>
      <c r="E207" s="803">
        <f t="shared" si="111"/>
        <v>85</v>
      </c>
      <c r="F207" s="803">
        <f t="shared" si="111"/>
        <v>0</v>
      </c>
      <c r="G207" s="803">
        <f t="shared" si="111"/>
        <v>0</v>
      </c>
      <c r="H207" s="803">
        <f t="shared" si="111"/>
        <v>6612</v>
      </c>
      <c r="I207" s="803">
        <f t="shared" si="111"/>
        <v>0</v>
      </c>
      <c r="J207" s="803">
        <f t="shared" si="111"/>
        <v>0</v>
      </c>
      <c r="K207" s="803">
        <f t="shared" si="111"/>
        <v>0</v>
      </c>
      <c r="L207" s="803">
        <f t="shared" si="111"/>
        <v>0</v>
      </c>
      <c r="M207" s="803">
        <f t="shared" si="111"/>
        <v>6612</v>
      </c>
      <c r="N207" s="803">
        <f t="shared" si="111"/>
        <v>0</v>
      </c>
      <c r="O207" s="803">
        <f t="shared" si="111"/>
        <v>6612</v>
      </c>
    </row>
    <row r="208" spans="1:16" ht="16.5" thickTop="1" x14ac:dyDescent="0.25">
      <c r="A208" s="692" t="s">
        <v>6</v>
      </c>
      <c r="B208" s="801" t="s">
        <v>876</v>
      </c>
      <c r="C208" s="712"/>
      <c r="D208" s="713"/>
      <c r="E208" s="713"/>
      <c r="F208" s="716"/>
      <c r="G208" s="713"/>
      <c r="H208" s="705"/>
      <c r="I208" s="717"/>
      <c r="J208" s="714"/>
      <c r="K208" s="714"/>
      <c r="L208" s="705"/>
      <c r="M208" s="705"/>
      <c r="N208" s="705"/>
      <c r="O208" s="705"/>
    </row>
    <row r="209" spans="1:16" x14ac:dyDescent="0.25">
      <c r="A209" s="735"/>
      <c r="B209" s="801" t="s">
        <v>363</v>
      </c>
      <c r="C209" s="712">
        <v>127943</v>
      </c>
      <c r="D209" s="713">
        <v>28350</v>
      </c>
      <c r="E209" s="713">
        <v>60646</v>
      </c>
      <c r="F209" s="714"/>
      <c r="G209" s="713"/>
      <c r="H209" s="705">
        <f>SUM(C209:G209)</f>
        <v>216939</v>
      </c>
      <c r="I209" s="717">
        <v>995</v>
      </c>
      <c r="J209" s="714"/>
      <c r="K209" s="714"/>
      <c r="L209" s="705">
        <f>SUM(I209:K209)</f>
        <v>995</v>
      </c>
      <c r="M209" s="706">
        <f>SUM(H209+L209)</f>
        <v>217934</v>
      </c>
      <c r="N209" s="706"/>
      <c r="O209" s="706">
        <f>SUM(M209+N209)</f>
        <v>217934</v>
      </c>
    </row>
    <row r="210" spans="1:16" s="702" customFormat="1" x14ac:dyDescent="0.25">
      <c r="A210" s="736"/>
      <c r="B210" s="694" t="s">
        <v>402</v>
      </c>
      <c r="C210" s="695">
        <v>124764</v>
      </c>
      <c r="D210" s="696">
        <v>27297</v>
      </c>
      <c r="E210" s="696">
        <v>60441</v>
      </c>
      <c r="F210" s="697"/>
      <c r="G210" s="696"/>
      <c r="H210" s="698">
        <f>SUM(C210:G210)</f>
        <v>212502</v>
      </c>
      <c r="I210" s="704">
        <v>995</v>
      </c>
      <c r="J210" s="697"/>
      <c r="K210" s="697"/>
      <c r="L210" s="698">
        <f>SUM(I210:K210)</f>
        <v>995</v>
      </c>
      <c r="M210" s="701">
        <f>SUM(H210+L210)</f>
        <v>213497</v>
      </c>
      <c r="N210" s="701"/>
      <c r="O210" s="701">
        <f>SUM(M210+N210)</f>
        <v>213497</v>
      </c>
    </row>
    <row r="211" spans="1:16" s="702" customFormat="1" x14ac:dyDescent="0.25">
      <c r="A211" s="736"/>
      <c r="B211" s="694" t="s">
        <v>401</v>
      </c>
      <c r="C211" s="695">
        <v>3179</v>
      </c>
      <c r="D211" s="696">
        <v>1053</v>
      </c>
      <c r="E211" s="696">
        <v>205</v>
      </c>
      <c r="F211" s="697"/>
      <c r="G211" s="696"/>
      <c r="H211" s="698">
        <f>SUM(C211:G211)</f>
        <v>4437</v>
      </c>
      <c r="I211" s="704"/>
      <c r="J211" s="697"/>
      <c r="K211" s="697"/>
      <c r="L211" s="698">
        <f>SUM(I211:K211)</f>
        <v>0</v>
      </c>
      <c r="M211" s="701">
        <f>SUM(H211+L211)</f>
        <v>4437</v>
      </c>
      <c r="N211" s="701"/>
      <c r="O211" s="701">
        <f>SUM(M211+N211)</f>
        <v>4437</v>
      </c>
    </row>
    <row r="212" spans="1:16" s="702" customFormat="1" x14ac:dyDescent="0.25">
      <c r="A212" s="736"/>
      <c r="B212" s="694" t="s">
        <v>132</v>
      </c>
      <c r="C212" s="695"/>
      <c r="D212" s="696"/>
      <c r="E212" s="696"/>
      <c r="F212" s="697"/>
      <c r="G212" s="696"/>
      <c r="H212" s="698"/>
      <c r="I212" s="704"/>
      <c r="J212" s="697"/>
      <c r="K212" s="697"/>
      <c r="L212" s="698"/>
      <c r="M212" s="701"/>
      <c r="N212" s="701"/>
      <c r="O212" s="701"/>
    </row>
    <row r="213" spans="1:16" s="702" customFormat="1" x14ac:dyDescent="0.25">
      <c r="A213" s="736"/>
      <c r="B213" s="774" t="s">
        <v>1218</v>
      </c>
      <c r="C213" s="712">
        <v>18</v>
      </c>
      <c r="D213" s="713">
        <v>3</v>
      </c>
      <c r="E213" s="713"/>
      <c r="F213" s="714"/>
      <c r="G213" s="696"/>
      <c r="H213" s="705">
        <f t="shared" ref="H213:H217" si="112">SUM(C213:G213)</f>
        <v>21</v>
      </c>
      <c r="I213" s="704"/>
      <c r="J213" s="697"/>
      <c r="K213" s="697"/>
      <c r="L213" s="705">
        <f t="shared" ref="L213:L217" si="113">SUM(I213:K213)</f>
        <v>0</v>
      </c>
      <c r="M213" s="706">
        <f t="shared" ref="M213:M217" si="114">SUM(H213+L213)</f>
        <v>21</v>
      </c>
      <c r="N213" s="701"/>
      <c r="O213" s="706">
        <f t="shared" ref="O213:O217" si="115">SUM(M213+N213)</f>
        <v>21</v>
      </c>
    </row>
    <row r="214" spans="1:16" s="702" customFormat="1" ht="47.25" x14ac:dyDescent="0.25">
      <c r="A214" s="736"/>
      <c r="B214" s="774" t="s">
        <v>1198</v>
      </c>
      <c r="C214" s="712">
        <v>95</v>
      </c>
      <c r="D214" s="713">
        <v>16</v>
      </c>
      <c r="E214" s="713"/>
      <c r="F214" s="714"/>
      <c r="G214" s="696"/>
      <c r="H214" s="705">
        <f t="shared" si="112"/>
        <v>111</v>
      </c>
      <c r="I214" s="704"/>
      <c r="J214" s="697"/>
      <c r="K214" s="697"/>
      <c r="L214" s="705">
        <f t="shared" si="113"/>
        <v>0</v>
      </c>
      <c r="M214" s="706">
        <f t="shared" si="114"/>
        <v>111</v>
      </c>
      <c r="N214" s="701"/>
      <c r="O214" s="706">
        <f t="shared" si="115"/>
        <v>111</v>
      </c>
    </row>
    <row r="215" spans="1:16" s="702" customFormat="1" ht="31.5" x14ac:dyDescent="0.25">
      <c r="A215" s="736"/>
      <c r="B215" s="774" t="s">
        <v>935</v>
      </c>
      <c r="C215" s="712">
        <v>216</v>
      </c>
      <c r="D215" s="713">
        <v>34</v>
      </c>
      <c r="E215" s="713">
        <v>3269</v>
      </c>
      <c r="F215" s="714"/>
      <c r="G215" s="696"/>
      <c r="H215" s="705">
        <f t="shared" si="112"/>
        <v>3519</v>
      </c>
      <c r="I215" s="704">
        <v>704</v>
      </c>
      <c r="J215" s="697"/>
      <c r="K215" s="697"/>
      <c r="L215" s="705">
        <f t="shared" si="113"/>
        <v>704</v>
      </c>
      <c r="M215" s="706">
        <f t="shared" si="114"/>
        <v>4223</v>
      </c>
      <c r="N215" s="701"/>
      <c r="O215" s="706">
        <f t="shared" si="115"/>
        <v>4223</v>
      </c>
    </row>
    <row r="216" spans="1:16" s="702" customFormat="1" x14ac:dyDescent="0.25">
      <c r="A216" s="736"/>
      <c r="B216" s="743" t="s">
        <v>133</v>
      </c>
      <c r="C216" s="712"/>
      <c r="D216" s="713"/>
      <c r="E216" s="713"/>
      <c r="F216" s="714"/>
      <c r="G216" s="696"/>
      <c r="H216" s="705"/>
      <c r="I216" s="704"/>
      <c r="J216" s="697"/>
      <c r="K216" s="697"/>
      <c r="L216" s="705"/>
      <c r="M216" s="705"/>
      <c r="N216" s="698"/>
      <c r="O216" s="705"/>
    </row>
    <row r="217" spans="1:16" s="702" customFormat="1" ht="16.5" thickBot="1" x14ac:dyDescent="0.3">
      <c r="A217" s="693"/>
      <c r="B217" s="774" t="s">
        <v>1219</v>
      </c>
      <c r="C217" s="737">
        <v>615</v>
      </c>
      <c r="D217" s="738">
        <v>200</v>
      </c>
      <c r="E217" s="738"/>
      <c r="F217" s="739"/>
      <c r="G217" s="738"/>
      <c r="H217" s="710">
        <f t="shared" si="112"/>
        <v>815</v>
      </c>
      <c r="I217" s="740"/>
      <c r="J217" s="742"/>
      <c r="K217" s="742"/>
      <c r="L217" s="710">
        <f t="shared" si="113"/>
        <v>0</v>
      </c>
      <c r="M217" s="710">
        <f t="shared" si="114"/>
        <v>815</v>
      </c>
      <c r="N217" s="709"/>
      <c r="O217" s="710">
        <f t="shared" si="115"/>
        <v>815</v>
      </c>
    </row>
    <row r="218" spans="1:16" ht="17.25" thickTop="1" thickBot="1" x14ac:dyDescent="0.3">
      <c r="A218" s="703"/>
      <c r="B218" s="802" t="s">
        <v>400</v>
      </c>
      <c r="C218" s="803">
        <f>+C209+C213+C214+C217+C215</f>
        <v>128887</v>
      </c>
      <c r="D218" s="803">
        <f t="shared" ref="D218:O218" si="116">+D209+D213+D214+D217+D215</f>
        <v>28603</v>
      </c>
      <c r="E218" s="803">
        <f t="shared" si="116"/>
        <v>63915</v>
      </c>
      <c r="F218" s="803">
        <f t="shared" si="116"/>
        <v>0</v>
      </c>
      <c r="G218" s="803">
        <f t="shared" si="116"/>
        <v>0</v>
      </c>
      <c r="H218" s="803">
        <f t="shared" si="116"/>
        <v>221405</v>
      </c>
      <c r="I218" s="803">
        <f t="shared" si="116"/>
        <v>1699</v>
      </c>
      <c r="J218" s="803">
        <f t="shared" si="116"/>
        <v>0</v>
      </c>
      <c r="K218" s="803">
        <f t="shared" si="116"/>
        <v>0</v>
      </c>
      <c r="L218" s="803">
        <f t="shared" si="116"/>
        <v>1699</v>
      </c>
      <c r="M218" s="803">
        <f t="shared" si="116"/>
        <v>223104</v>
      </c>
      <c r="N218" s="803">
        <f t="shared" si="116"/>
        <v>0</v>
      </c>
      <c r="O218" s="803">
        <f t="shared" si="116"/>
        <v>223104</v>
      </c>
      <c r="P218" s="683">
        <f>O219+O220</f>
        <v>223104</v>
      </c>
    </row>
    <row r="219" spans="1:16" ht="17.25" thickTop="1" thickBot="1" x14ac:dyDescent="0.3">
      <c r="A219" s="703"/>
      <c r="B219" s="802" t="s">
        <v>399</v>
      </c>
      <c r="C219" s="803">
        <f t="shared" ref="C219:O219" si="117">+C210+C213+C214+C215</f>
        <v>125093</v>
      </c>
      <c r="D219" s="803">
        <f t="shared" si="117"/>
        <v>27350</v>
      </c>
      <c r="E219" s="803">
        <f t="shared" si="117"/>
        <v>63710</v>
      </c>
      <c r="F219" s="803">
        <f t="shared" si="117"/>
        <v>0</v>
      </c>
      <c r="G219" s="803">
        <f t="shared" si="117"/>
        <v>0</v>
      </c>
      <c r="H219" s="803">
        <f t="shared" si="117"/>
        <v>216153</v>
      </c>
      <c r="I219" s="803">
        <f t="shared" si="117"/>
        <v>1699</v>
      </c>
      <c r="J219" s="803">
        <f t="shared" si="117"/>
        <v>0</v>
      </c>
      <c r="K219" s="803">
        <f t="shared" si="117"/>
        <v>0</v>
      </c>
      <c r="L219" s="803">
        <f t="shared" si="117"/>
        <v>1699</v>
      </c>
      <c r="M219" s="803">
        <f t="shared" si="117"/>
        <v>217852</v>
      </c>
      <c r="N219" s="803">
        <f t="shared" si="117"/>
        <v>0</v>
      </c>
      <c r="O219" s="803">
        <f t="shared" si="117"/>
        <v>217852</v>
      </c>
    </row>
    <row r="220" spans="1:16" ht="17.25" thickTop="1" thickBot="1" x14ac:dyDescent="0.3">
      <c r="A220" s="703"/>
      <c r="B220" s="802" t="s">
        <v>398</v>
      </c>
      <c r="C220" s="803">
        <f>+C211+C217</f>
        <v>3794</v>
      </c>
      <c r="D220" s="803">
        <f t="shared" ref="D220:O220" si="118">+D211+D217</f>
        <v>1253</v>
      </c>
      <c r="E220" s="803">
        <f t="shared" si="118"/>
        <v>205</v>
      </c>
      <c r="F220" s="803">
        <f t="shared" si="118"/>
        <v>0</v>
      </c>
      <c r="G220" s="803">
        <f t="shared" si="118"/>
        <v>0</v>
      </c>
      <c r="H220" s="803">
        <f t="shared" si="118"/>
        <v>5252</v>
      </c>
      <c r="I220" s="803">
        <f t="shared" si="118"/>
        <v>0</v>
      </c>
      <c r="J220" s="803">
        <f t="shared" si="118"/>
        <v>0</v>
      </c>
      <c r="K220" s="803">
        <f t="shared" si="118"/>
        <v>0</v>
      </c>
      <c r="L220" s="803">
        <f t="shared" si="118"/>
        <v>0</v>
      </c>
      <c r="M220" s="803">
        <f t="shared" si="118"/>
        <v>5252</v>
      </c>
      <c r="N220" s="803">
        <f t="shared" si="118"/>
        <v>0</v>
      </c>
      <c r="O220" s="803">
        <f t="shared" si="118"/>
        <v>5252</v>
      </c>
    </row>
    <row r="221" spans="1:16" ht="16.5" thickTop="1" x14ac:dyDescent="0.25">
      <c r="A221" s="692" t="s">
        <v>7</v>
      </c>
      <c r="B221" s="801" t="s">
        <v>420</v>
      </c>
      <c r="C221" s="712"/>
      <c r="D221" s="713"/>
      <c r="E221" s="713"/>
      <c r="F221" s="716"/>
      <c r="G221" s="713"/>
      <c r="H221" s="705"/>
      <c r="I221" s="717"/>
      <c r="J221" s="714"/>
      <c r="K221" s="714"/>
      <c r="L221" s="705"/>
      <c r="M221" s="705"/>
      <c r="N221" s="705"/>
      <c r="O221" s="705"/>
    </row>
    <row r="222" spans="1:16" x14ac:dyDescent="0.25">
      <c r="A222" s="692"/>
      <c r="B222" s="774" t="s">
        <v>363</v>
      </c>
      <c r="C222" s="712">
        <v>58297</v>
      </c>
      <c r="D222" s="713">
        <v>11242</v>
      </c>
      <c r="E222" s="713">
        <v>19609</v>
      </c>
      <c r="F222" s="716"/>
      <c r="G222" s="713"/>
      <c r="H222" s="705">
        <f>SUM(C222:G222)</f>
        <v>89148</v>
      </c>
      <c r="I222" s="717">
        <v>318</v>
      </c>
      <c r="J222" s="714"/>
      <c r="K222" s="714"/>
      <c r="L222" s="705">
        <f>SUM(I222:K222)</f>
        <v>318</v>
      </c>
      <c r="M222" s="706">
        <f>SUM(H222+L222)</f>
        <v>89466</v>
      </c>
      <c r="N222" s="706"/>
      <c r="O222" s="706">
        <f>SUM(M222+N222)</f>
        <v>89466</v>
      </c>
    </row>
    <row r="223" spans="1:16" s="702" customFormat="1" x14ac:dyDescent="0.25">
      <c r="A223" s="693"/>
      <c r="B223" s="694" t="s">
        <v>402</v>
      </c>
      <c r="C223" s="695">
        <v>56957</v>
      </c>
      <c r="D223" s="696">
        <v>10801</v>
      </c>
      <c r="E223" s="696">
        <v>19399</v>
      </c>
      <c r="F223" s="700"/>
      <c r="G223" s="696"/>
      <c r="H223" s="698">
        <f>SUM(C223:G223)</f>
        <v>87157</v>
      </c>
      <c r="I223" s="704">
        <v>318</v>
      </c>
      <c r="J223" s="697"/>
      <c r="K223" s="697"/>
      <c r="L223" s="698">
        <f>SUM(I223:K223)</f>
        <v>318</v>
      </c>
      <c r="M223" s="701">
        <f>SUM(H223+L223)</f>
        <v>87475</v>
      </c>
      <c r="N223" s="701"/>
      <c r="O223" s="701">
        <f>SUM(M223+N223)</f>
        <v>87475</v>
      </c>
    </row>
    <row r="224" spans="1:16" s="702" customFormat="1" x14ac:dyDescent="0.25">
      <c r="A224" s="736"/>
      <c r="B224" s="743" t="s">
        <v>401</v>
      </c>
      <c r="C224" s="695">
        <v>1340</v>
      </c>
      <c r="D224" s="696">
        <v>441</v>
      </c>
      <c r="E224" s="696">
        <v>210</v>
      </c>
      <c r="F224" s="697"/>
      <c r="G224" s="696"/>
      <c r="H224" s="698">
        <f>SUM(C224:G224)</f>
        <v>1991</v>
      </c>
      <c r="I224" s="704"/>
      <c r="J224" s="697"/>
      <c r="K224" s="697"/>
      <c r="L224" s="698">
        <f>SUM(I224:K224)</f>
        <v>0</v>
      </c>
      <c r="M224" s="698">
        <f>SUM(H224+L224)</f>
        <v>1991</v>
      </c>
      <c r="N224" s="698"/>
      <c r="O224" s="698">
        <f>SUM(M224+N224)</f>
        <v>1991</v>
      </c>
    </row>
    <row r="225" spans="1:16" s="702" customFormat="1" x14ac:dyDescent="0.25">
      <c r="A225" s="736"/>
      <c r="B225" s="744" t="s">
        <v>132</v>
      </c>
      <c r="C225" s="695"/>
      <c r="D225" s="696"/>
      <c r="E225" s="696"/>
      <c r="F225" s="697"/>
      <c r="G225" s="696"/>
      <c r="H225" s="698"/>
      <c r="I225" s="704"/>
      <c r="J225" s="697"/>
      <c r="K225" s="697"/>
      <c r="L225" s="698"/>
      <c r="M225" s="698"/>
      <c r="N225" s="698"/>
      <c r="O225" s="698"/>
    </row>
    <row r="226" spans="1:16" s="702" customFormat="1" ht="31.5" x14ac:dyDescent="0.25">
      <c r="A226" s="693"/>
      <c r="B226" s="774" t="s">
        <v>935</v>
      </c>
      <c r="C226" s="712">
        <v>263</v>
      </c>
      <c r="D226" s="713">
        <v>41</v>
      </c>
      <c r="E226" s="713">
        <v>1281</v>
      </c>
      <c r="F226" s="714"/>
      <c r="G226" s="713"/>
      <c r="H226" s="705">
        <f t="shared" ref="H226:H228" si="119">SUM(C226:G226)</f>
        <v>1585</v>
      </c>
      <c r="I226" s="717">
        <v>151</v>
      </c>
      <c r="J226" s="714"/>
      <c r="K226" s="714"/>
      <c r="L226" s="705">
        <f t="shared" ref="L226:L228" si="120">SUM(I226:K226)</f>
        <v>151</v>
      </c>
      <c r="M226" s="705">
        <f t="shared" ref="M226:M228" si="121">SUM(H226+L226)</f>
        <v>1736</v>
      </c>
      <c r="N226" s="705"/>
      <c r="O226" s="705">
        <f t="shared" ref="O226:O228" si="122">SUM(M226+N226)</f>
        <v>1736</v>
      </c>
    </row>
    <row r="227" spans="1:16" s="702" customFormat="1" x14ac:dyDescent="0.25">
      <c r="A227" s="693"/>
      <c r="B227" s="694" t="s">
        <v>133</v>
      </c>
      <c r="C227" s="712"/>
      <c r="D227" s="713"/>
      <c r="E227" s="713"/>
      <c r="F227" s="716"/>
      <c r="G227" s="713"/>
      <c r="H227" s="705"/>
      <c r="I227" s="717"/>
      <c r="J227" s="714"/>
      <c r="K227" s="714"/>
      <c r="L227" s="705"/>
      <c r="M227" s="706"/>
      <c r="N227" s="706"/>
      <c r="O227" s="706"/>
    </row>
    <row r="228" spans="1:16" s="702" customFormat="1" ht="16.5" thickBot="1" x14ac:dyDescent="0.3">
      <c r="A228" s="693"/>
      <c r="B228" s="774" t="s">
        <v>1219</v>
      </c>
      <c r="C228" s="712">
        <v>249</v>
      </c>
      <c r="D228" s="713">
        <v>81</v>
      </c>
      <c r="E228" s="713"/>
      <c r="F228" s="716"/>
      <c r="G228" s="713"/>
      <c r="H228" s="705">
        <f t="shared" si="119"/>
        <v>330</v>
      </c>
      <c r="I228" s="717"/>
      <c r="J228" s="714"/>
      <c r="K228" s="714"/>
      <c r="L228" s="705">
        <f t="shared" si="120"/>
        <v>0</v>
      </c>
      <c r="M228" s="706">
        <f t="shared" si="121"/>
        <v>330</v>
      </c>
      <c r="N228" s="706"/>
      <c r="O228" s="706">
        <f t="shared" si="122"/>
        <v>330</v>
      </c>
    </row>
    <row r="229" spans="1:16" ht="17.25" thickTop="1" thickBot="1" x14ac:dyDescent="0.3">
      <c r="A229" s="703"/>
      <c r="B229" s="802" t="s">
        <v>400</v>
      </c>
      <c r="C229" s="803">
        <f>+C222+C226+C228</f>
        <v>58809</v>
      </c>
      <c r="D229" s="803">
        <f t="shared" ref="D229:O229" si="123">+D222+D226+D228</f>
        <v>11364</v>
      </c>
      <c r="E229" s="803">
        <f t="shared" si="123"/>
        <v>20890</v>
      </c>
      <c r="F229" s="803">
        <f t="shared" si="123"/>
        <v>0</v>
      </c>
      <c r="G229" s="803">
        <f t="shared" si="123"/>
        <v>0</v>
      </c>
      <c r="H229" s="803">
        <f t="shared" si="123"/>
        <v>91063</v>
      </c>
      <c r="I229" s="803">
        <f t="shared" si="123"/>
        <v>469</v>
      </c>
      <c r="J229" s="803">
        <f t="shared" si="123"/>
        <v>0</v>
      </c>
      <c r="K229" s="803">
        <f t="shared" si="123"/>
        <v>0</v>
      </c>
      <c r="L229" s="803">
        <f t="shared" si="123"/>
        <v>469</v>
      </c>
      <c r="M229" s="803">
        <f t="shared" si="123"/>
        <v>91532</v>
      </c>
      <c r="N229" s="803">
        <f t="shared" si="123"/>
        <v>0</v>
      </c>
      <c r="O229" s="803">
        <f t="shared" si="123"/>
        <v>91532</v>
      </c>
      <c r="P229" s="683">
        <f>O230+O231</f>
        <v>91532</v>
      </c>
    </row>
    <row r="230" spans="1:16" ht="17.25" thickTop="1" thickBot="1" x14ac:dyDescent="0.3">
      <c r="A230" s="703"/>
      <c r="B230" s="802" t="s">
        <v>399</v>
      </c>
      <c r="C230" s="803">
        <f>+C223+C226</f>
        <v>57220</v>
      </c>
      <c r="D230" s="803">
        <f t="shared" ref="D230:O230" si="124">+D223+D226</f>
        <v>10842</v>
      </c>
      <c r="E230" s="803">
        <f t="shared" si="124"/>
        <v>20680</v>
      </c>
      <c r="F230" s="803">
        <f t="shared" si="124"/>
        <v>0</v>
      </c>
      <c r="G230" s="803">
        <f t="shared" si="124"/>
        <v>0</v>
      </c>
      <c r="H230" s="803">
        <f t="shared" si="124"/>
        <v>88742</v>
      </c>
      <c r="I230" s="803">
        <f t="shared" si="124"/>
        <v>469</v>
      </c>
      <c r="J230" s="803">
        <f t="shared" si="124"/>
        <v>0</v>
      </c>
      <c r="K230" s="803">
        <f t="shared" si="124"/>
        <v>0</v>
      </c>
      <c r="L230" s="803">
        <f t="shared" si="124"/>
        <v>469</v>
      </c>
      <c r="M230" s="803">
        <f t="shared" si="124"/>
        <v>89211</v>
      </c>
      <c r="N230" s="803">
        <f t="shared" si="124"/>
        <v>0</v>
      </c>
      <c r="O230" s="803">
        <f t="shared" si="124"/>
        <v>89211</v>
      </c>
    </row>
    <row r="231" spans="1:16" ht="17.25" thickTop="1" thickBot="1" x14ac:dyDescent="0.3">
      <c r="A231" s="703"/>
      <c r="B231" s="802" t="s">
        <v>398</v>
      </c>
      <c r="C231" s="803">
        <f>+C224+C228</f>
        <v>1589</v>
      </c>
      <c r="D231" s="803">
        <f t="shared" ref="D231:O231" si="125">+D224+D228</f>
        <v>522</v>
      </c>
      <c r="E231" s="803">
        <f t="shared" si="125"/>
        <v>210</v>
      </c>
      <c r="F231" s="803">
        <f t="shared" si="125"/>
        <v>0</v>
      </c>
      <c r="G231" s="803">
        <f t="shared" si="125"/>
        <v>0</v>
      </c>
      <c r="H231" s="803">
        <f t="shared" si="125"/>
        <v>2321</v>
      </c>
      <c r="I231" s="803">
        <f t="shared" si="125"/>
        <v>0</v>
      </c>
      <c r="J231" s="803">
        <f t="shared" si="125"/>
        <v>0</v>
      </c>
      <c r="K231" s="803">
        <f t="shared" si="125"/>
        <v>0</v>
      </c>
      <c r="L231" s="803">
        <f t="shared" si="125"/>
        <v>0</v>
      </c>
      <c r="M231" s="803">
        <f t="shared" si="125"/>
        <v>2321</v>
      </c>
      <c r="N231" s="803">
        <f t="shared" si="125"/>
        <v>0</v>
      </c>
      <c r="O231" s="803">
        <f t="shared" si="125"/>
        <v>2321</v>
      </c>
    </row>
    <row r="232" spans="1:16" ht="16.5" thickTop="1" x14ac:dyDescent="0.25">
      <c r="A232" s="692" t="s">
        <v>8</v>
      </c>
      <c r="B232" s="801" t="s">
        <v>877</v>
      </c>
      <c r="C232" s="712"/>
      <c r="D232" s="713"/>
      <c r="E232" s="713"/>
      <c r="F232" s="716"/>
      <c r="G232" s="713"/>
      <c r="H232" s="705"/>
      <c r="I232" s="717"/>
      <c r="J232" s="714"/>
      <c r="K232" s="714"/>
      <c r="L232" s="705"/>
      <c r="M232" s="705"/>
      <c r="N232" s="705"/>
      <c r="O232" s="705"/>
    </row>
    <row r="233" spans="1:16" x14ac:dyDescent="0.25">
      <c r="A233" s="735"/>
      <c r="B233" s="801" t="s">
        <v>363</v>
      </c>
      <c r="C233" s="712">
        <v>199571</v>
      </c>
      <c r="D233" s="713">
        <v>43007</v>
      </c>
      <c r="E233" s="713">
        <v>78346</v>
      </c>
      <c r="F233" s="714"/>
      <c r="G233" s="713"/>
      <c r="H233" s="705">
        <f>SUM(C233:G233)</f>
        <v>320924</v>
      </c>
      <c r="I233" s="717">
        <v>823</v>
      </c>
      <c r="J233" s="714"/>
      <c r="K233" s="714"/>
      <c r="L233" s="705">
        <f>SUM(I233:K233)</f>
        <v>823</v>
      </c>
      <c r="M233" s="706">
        <f>SUM(H233+L233)</f>
        <v>321747</v>
      </c>
      <c r="N233" s="706"/>
      <c r="O233" s="706">
        <f>SUM(M233+N233)</f>
        <v>321747</v>
      </c>
    </row>
    <row r="234" spans="1:16" s="702" customFormat="1" x14ac:dyDescent="0.25">
      <c r="A234" s="736"/>
      <c r="B234" s="694" t="s">
        <v>402</v>
      </c>
      <c r="C234" s="695">
        <v>194385</v>
      </c>
      <c r="D234" s="696">
        <v>41289</v>
      </c>
      <c r="E234" s="696">
        <v>78246</v>
      </c>
      <c r="F234" s="697"/>
      <c r="G234" s="696"/>
      <c r="H234" s="698">
        <f>SUM(C234:G234)</f>
        <v>313920</v>
      </c>
      <c r="I234" s="704">
        <v>823</v>
      </c>
      <c r="J234" s="697"/>
      <c r="K234" s="697"/>
      <c r="L234" s="698">
        <f>SUM(I234:K234)</f>
        <v>823</v>
      </c>
      <c r="M234" s="701">
        <f>SUM(H234+L234)</f>
        <v>314743</v>
      </c>
      <c r="N234" s="701"/>
      <c r="O234" s="701">
        <f>SUM(M234+N234)</f>
        <v>314743</v>
      </c>
    </row>
    <row r="235" spans="1:16" s="702" customFormat="1" x14ac:dyDescent="0.25">
      <c r="A235" s="736"/>
      <c r="B235" s="694" t="s">
        <v>401</v>
      </c>
      <c r="C235" s="695">
        <v>5186</v>
      </c>
      <c r="D235" s="696">
        <v>1718</v>
      </c>
      <c r="E235" s="696">
        <v>100</v>
      </c>
      <c r="F235" s="697"/>
      <c r="G235" s="696"/>
      <c r="H235" s="698">
        <f>SUM(C235:G235)</f>
        <v>7004</v>
      </c>
      <c r="I235" s="704"/>
      <c r="J235" s="697"/>
      <c r="K235" s="697"/>
      <c r="L235" s="698">
        <f>SUM(I235:K235)</f>
        <v>0</v>
      </c>
      <c r="M235" s="701">
        <f>SUM(H235+L235)</f>
        <v>7004</v>
      </c>
      <c r="N235" s="701"/>
      <c r="O235" s="701">
        <f>SUM(M235+N235)</f>
        <v>7004</v>
      </c>
    </row>
    <row r="236" spans="1:16" s="702" customFormat="1" x14ac:dyDescent="0.25">
      <c r="A236" s="736"/>
      <c r="B236" s="694" t="s">
        <v>132</v>
      </c>
      <c r="C236" s="695"/>
      <c r="D236" s="696"/>
      <c r="E236" s="696"/>
      <c r="F236" s="697"/>
      <c r="G236" s="696"/>
      <c r="H236" s="698"/>
      <c r="I236" s="704"/>
      <c r="J236" s="697"/>
      <c r="K236" s="697"/>
      <c r="L236" s="698"/>
      <c r="M236" s="701"/>
      <c r="N236" s="701"/>
      <c r="O236" s="701"/>
    </row>
    <row r="237" spans="1:16" s="702" customFormat="1" ht="31.5" x14ac:dyDescent="0.25">
      <c r="A237" s="736"/>
      <c r="B237" s="774" t="s">
        <v>935</v>
      </c>
      <c r="C237" s="712"/>
      <c r="D237" s="713"/>
      <c r="E237" s="713">
        <v>5718</v>
      </c>
      <c r="F237" s="714"/>
      <c r="G237" s="713"/>
      <c r="H237" s="705">
        <f t="shared" ref="H237:H239" si="126">SUM(C237:G237)</f>
        <v>5718</v>
      </c>
      <c r="I237" s="717">
        <v>339</v>
      </c>
      <c r="J237" s="714"/>
      <c r="K237" s="714"/>
      <c r="L237" s="705">
        <f t="shared" ref="L237:L239" si="127">SUM(I237:K237)</f>
        <v>339</v>
      </c>
      <c r="M237" s="706">
        <f t="shared" ref="M237:M239" si="128">SUM(H237+L237)</f>
        <v>6057</v>
      </c>
      <c r="N237" s="701"/>
      <c r="O237" s="706">
        <f t="shared" ref="O237:O239" si="129">SUM(M237+N237)</f>
        <v>6057</v>
      </c>
    </row>
    <row r="238" spans="1:16" s="702" customFormat="1" x14ac:dyDescent="0.25">
      <c r="A238" s="736"/>
      <c r="B238" s="743" t="s">
        <v>133</v>
      </c>
      <c r="C238" s="712"/>
      <c r="D238" s="713"/>
      <c r="E238" s="713"/>
      <c r="F238" s="714"/>
      <c r="G238" s="713"/>
      <c r="H238" s="705"/>
      <c r="I238" s="717"/>
      <c r="J238" s="714"/>
      <c r="K238" s="714"/>
      <c r="L238" s="705"/>
      <c r="M238" s="705"/>
      <c r="N238" s="698"/>
      <c r="O238" s="705"/>
    </row>
    <row r="239" spans="1:16" s="702" customFormat="1" ht="16.5" thickBot="1" x14ac:dyDescent="0.3">
      <c r="A239" s="745"/>
      <c r="B239" s="811" t="s">
        <v>1219</v>
      </c>
      <c r="C239" s="746">
        <v>1026</v>
      </c>
      <c r="D239" s="747">
        <v>333</v>
      </c>
      <c r="E239" s="747"/>
      <c r="F239" s="748"/>
      <c r="G239" s="747"/>
      <c r="H239" s="749">
        <f t="shared" si="126"/>
        <v>1359</v>
      </c>
      <c r="I239" s="750"/>
      <c r="J239" s="748"/>
      <c r="K239" s="748"/>
      <c r="L239" s="749">
        <f t="shared" si="127"/>
        <v>0</v>
      </c>
      <c r="M239" s="749">
        <f t="shared" si="128"/>
        <v>1359</v>
      </c>
      <c r="N239" s="749"/>
      <c r="O239" s="749">
        <f t="shared" si="129"/>
        <v>1359</v>
      </c>
    </row>
    <row r="240" spans="1:16" ht="17.25" thickTop="1" thickBot="1" x14ac:dyDescent="0.3">
      <c r="A240" s="703"/>
      <c r="B240" s="802" t="s">
        <v>400</v>
      </c>
      <c r="C240" s="803">
        <f>+C233+C237+C239</f>
        <v>200597</v>
      </c>
      <c r="D240" s="803">
        <f t="shared" ref="D240:O240" si="130">+D233+D237+D239</f>
        <v>43340</v>
      </c>
      <c r="E240" s="803">
        <f t="shared" si="130"/>
        <v>84064</v>
      </c>
      <c r="F240" s="803">
        <f t="shared" si="130"/>
        <v>0</v>
      </c>
      <c r="G240" s="803">
        <f t="shared" si="130"/>
        <v>0</v>
      </c>
      <c r="H240" s="803">
        <f t="shared" si="130"/>
        <v>328001</v>
      </c>
      <c r="I240" s="803">
        <f t="shared" si="130"/>
        <v>1162</v>
      </c>
      <c r="J240" s="803">
        <f t="shared" si="130"/>
        <v>0</v>
      </c>
      <c r="K240" s="803">
        <f t="shared" si="130"/>
        <v>0</v>
      </c>
      <c r="L240" s="803">
        <f t="shared" si="130"/>
        <v>1162</v>
      </c>
      <c r="M240" s="803">
        <f t="shared" si="130"/>
        <v>329163</v>
      </c>
      <c r="N240" s="803">
        <f t="shared" si="130"/>
        <v>0</v>
      </c>
      <c r="O240" s="803">
        <f t="shared" si="130"/>
        <v>329163</v>
      </c>
      <c r="P240" s="683">
        <f>O241+O242</f>
        <v>329163</v>
      </c>
    </row>
    <row r="241" spans="1:16" ht="17.25" thickTop="1" thickBot="1" x14ac:dyDescent="0.3">
      <c r="A241" s="703"/>
      <c r="B241" s="802" t="s">
        <v>399</v>
      </c>
      <c r="C241" s="803">
        <f>+C234+C237</f>
        <v>194385</v>
      </c>
      <c r="D241" s="803">
        <f t="shared" ref="D241:O241" si="131">+D234+D237</f>
        <v>41289</v>
      </c>
      <c r="E241" s="803">
        <f t="shared" si="131"/>
        <v>83964</v>
      </c>
      <c r="F241" s="803">
        <f t="shared" si="131"/>
        <v>0</v>
      </c>
      <c r="G241" s="803">
        <f t="shared" si="131"/>
        <v>0</v>
      </c>
      <c r="H241" s="803">
        <f t="shared" si="131"/>
        <v>319638</v>
      </c>
      <c r="I241" s="803">
        <f t="shared" si="131"/>
        <v>1162</v>
      </c>
      <c r="J241" s="803">
        <f t="shared" si="131"/>
        <v>0</v>
      </c>
      <c r="K241" s="803">
        <f t="shared" si="131"/>
        <v>0</v>
      </c>
      <c r="L241" s="803">
        <f t="shared" si="131"/>
        <v>1162</v>
      </c>
      <c r="M241" s="803">
        <f t="shared" si="131"/>
        <v>320800</v>
      </c>
      <c r="N241" s="803">
        <f t="shared" si="131"/>
        <v>0</v>
      </c>
      <c r="O241" s="803">
        <f t="shared" si="131"/>
        <v>320800</v>
      </c>
    </row>
    <row r="242" spans="1:16" ht="17.25" thickTop="1" thickBot="1" x14ac:dyDescent="0.3">
      <c r="A242" s="703"/>
      <c r="B242" s="802" t="s">
        <v>398</v>
      </c>
      <c r="C242" s="803">
        <f>+C235+C239</f>
        <v>6212</v>
      </c>
      <c r="D242" s="803">
        <f t="shared" ref="D242:O242" si="132">+D235+D239</f>
        <v>2051</v>
      </c>
      <c r="E242" s="803">
        <f t="shared" si="132"/>
        <v>100</v>
      </c>
      <c r="F242" s="803">
        <f t="shared" si="132"/>
        <v>0</v>
      </c>
      <c r="G242" s="803">
        <f t="shared" si="132"/>
        <v>0</v>
      </c>
      <c r="H242" s="803">
        <f t="shared" si="132"/>
        <v>8363</v>
      </c>
      <c r="I242" s="803">
        <f t="shared" si="132"/>
        <v>0</v>
      </c>
      <c r="J242" s="803">
        <f t="shared" si="132"/>
        <v>0</v>
      </c>
      <c r="K242" s="803">
        <f t="shared" si="132"/>
        <v>0</v>
      </c>
      <c r="L242" s="803">
        <f t="shared" si="132"/>
        <v>0</v>
      </c>
      <c r="M242" s="803">
        <f t="shared" si="132"/>
        <v>8363</v>
      </c>
      <c r="N242" s="803">
        <f t="shared" si="132"/>
        <v>0</v>
      </c>
      <c r="O242" s="803">
        <f t="shared" si="132"/>
        <v>8363</v>
      </c>
    </row>
    <row r="243" spans="1:16" ht="16.5" thickTop="1" x14ac:dyDescent="0.25">
      <c r="A243" s="692" t="s">
        <v>9</v>
      </c>
      <c r="B243" s="801" t="s">
        <v>419</v>
      </c>
      <c r="C243" s="712"/>
      <c r="D243" s="713"/>
      <c r="E243" s="713"/>
      <c r="F243" s="716"/>
      <c r="G243" s="713"/>
      <c r="H243" s="705"/>
      <c r="I243" s="717"/>
      <c r="J243" s="714"/>
      <c r="K243" s="714"/>
      <c r="L243" s="705"/>
      <c r="M243" s="705"/>
      <c r="N243" s="705"/>
      <c r="O243" s="705"/>
    </row>
    <row r="244" spans="1:16" x14ac:dyDescent="0.25">
      <c r="A244" s="692"/>
      <c r="B244" s="774" t="s">
        <v>363</v>
      </c>
      <c r="C244" s="712">
        <v>127196</v>
      </c>
      <c r="D244" s="713">
        <v>27578</v>
      </c>
      <c r="E244" s="713">
        <v>76905</v>
      </c>
      <c r="F244" s="716"/>
      <c r="G244" s="713"/>
      <c r="H244" s="705">
        <f>SUM(C244:G244)</f>
        <v>231679</v>
      </c>
      <c r="I244" s="717">
        <v>73</v>
      </c>
      <c r="J244" s="714"/>
      <c r="K244" s="714"/>
      <c r="L244" s="705">
        <f>SUM(I244:K244)</f>
        <v>73</v>
      </c>
      <c r="M244" s="706">
        <f>SUM(H244+L244)</f>
        <v>231752</v>
      </c>
      <c r="N244" s="706"/>
      <c r="O244" s="706">
        <f>SUM(M244+N244)</f>
        <v>231752</v>
      </c>
    </row>
    <row r="245" spans="1:16" s="702" customFormat="1" x14ac:dyDescent="0.25">
      <c r="A245" s="693"/>
      <c r="B245" s="694" t="s">
        <v>402</v>
      </c>
      <c r="C245" s="695">
        <v>124094</v>
      </c>
      <c r="D245" s="696">
        <v>26551</v>
      </c>
      <c r="E245" s="696">
        <v>76770</v>
      </c>
      <c r="F245" s="700"/>
      <c r="G245" s="696"/>
      <c r="H245" s="698">
        <f>SUM(C245:G245)</f>
        <v>227415</v>
      </c>
      <c r="I245" s="704">
        <v>73</v>
      </c>
      <c r="J245" s="697"/>
      <c r="K245" s="697"/>
      <c r="L245" s="698">
        <f>SUM(I245:K245)</f>
        <v>73</v>
      </c>
      <c r="M245" s="701">
        <f>SUM(H245+L245)</f>
        <v>227488</v>
      </c>
      <c r="N245" s="701"/>
      <c r="O245" s="701">
        <f>SUM(M245+N245)</f>
        <v>227488</v>
      </c>
    </row>
    <row r="246" spans="1:16" s="702" customFormat="1" x14ac:dyDescent="0.25">
      <c r="A246" s="693"/>
      <c r="B246" s="694" t="s">
        <v>401</v>
      </c>
      <c r="C246" s="695">
        <v>3102</v>
      </c>
      <c r="D246" s="696">
        <v>1027</v>
      </c>
      <c r="E246" s="696">
        <v>135</v>
      </c>
      <c r="F246" s="700"/>
      <c r="G246" s="696"/>
      <c r="H246" s="698">
        <f>SUM(C246:G246)</f>
        <v>4264</v>
      </c>
      <c r="I246" s="704"/>
      <c r="J246" s="697"/>
      <c r="K246" s="697"/>
      <c r="L246" s="698">
        <f>SUM(I246:K246)</f>
        <v>0</v>
      </c>
      <c r="M246" s="701">
        <f>SUM(H246+L246)</f>
        <v>4264</v>
      </c>
      <c r="N246" s="701"/>
      <c r="O246" s="701">
        <f>SUM(M246+N246)</f>
        <v>4264</v>
      </c>
    </row>
    <row r="247" spans="1:16" s="702" customFormat="1" x14ac:dyDescent="0.25">
      <c r="A247" s="693"/>
      <c r="B247" s="694" t="s">
        <v>132</v>
      </c>
      <c r="C247" s="695"/>
      <c r="D247" s="696"/>
      <c r="E247" s="696"/>
      <c r="F247" s="700"/>
      <c r="G247" s="696"/>
      <c r="H247" s="698"/>
      <c r="I247" s="704"/>
      <c r="J247" s="697"/>
      <c r="K247" s="697"/>
      <c r="L247" s="698"/>
      <c r="M247" s="701"/>
      <c r="N247" s="701"/>
      <c r="O247" s="701"/>
    </row>
    <row r="248" spans="1:16" s="702" customFormat="1" x14ac:dyDescent="0.25">
      <c r="A248" s="693"/>
      <c r="B248" s="774" t="s">
        <v>1218</v>
      </c>
      <c r="C248" s="712">
        <v>20</v>
      </c>
      <c r="D248" s="713">
        <v>3</v>
      </c>
      <c r="E248" s="713"/>
      <c r="F248" s="716"/>
      <c r="G248" s="696"/>
      <c r="H248" s="705">
        <f t="shared" ref="H248:H252" si="133">SUM(C248:G248)</f>
        <v>23</v>
      </c>
      <c r="I248" s="704"/>
      <c r="J248" s="697"/>
      <c r="K248" s="697"/>
      <c r="L248" s="705">
        <f t="shared" ref="L248:L252" si="134">SUM(I248:K248)</f>
        <v>0</v>
      </c>
      <c r="M248" s="706">
        <f t="shared" ref="M248:M252" si="135">SUM(H248+L248)</f>
        <v>23</v>
      </c>
      <c r="N248" s="701"/>
      <c r="O248" s="706">
        <f t="shared" ref="O248:O252" si="136">SUM(M248+N248)</f>
        <v>23</v>
      </c>
    </row>
    <row r="249" spans="1:16" s="702" customFormat="1" ht="31.5" x14ac:dyDescent="0.25">
      <c r="A249" s="736"/>
      <c r="B249" s="774" t="s">
        <v>935</v>
      </c>
      <c r="C249" s="712"/>
      <c r="D249" s="713"/>
      <c r="E249" s="713">
        <f>3895+5567</f>
        <v>9462</v>
      </c>
      <c r="F249" s="714"/>
      <c r="G249" s="696"/>
      <c r="H249" s="705">
        <f t="shared" si="133"/>
        <v>9462</v>
      </c>
      <c r="I249" s="704">
        <v>45</v>
      </c>
      <c r="J249" s="697"/>
      <c r="K249" s="697"/>
      <c r="L249" s="705">
        <f t="shared" si="134"/>
        <v>45</v>
      </c>
      <c r="M249" s="705">
        <f t="shared" si="135"/>
        <v>9507</v>
      </c>
      <c r="N249" s="698"/>
      <c r="O249" s="705">
        <f t="shared" si="136"/>
        <v>9507</v>
      </c>
    </row>
    <row r="250" spans="1:16" s="702" customFormat="1" x14ac:dyDescent="0.25">
      <c r="A250" s="693"/>
      <c r="B250" s="694" t="s">
        <v>133</v>
      </c>
      <c r="C250" s="712"/>
      <c r="D250" s="713"/>
      <c r="E250" s="713"/>
      <c r="F250" s="716"/>
      <c r="G250" s="696"/>
      <c r="H250" s="705"/>
      <c r="I250" s="704"/>
      <c r="J250" s="697"/>
      <c r="K250" s="697"/>
      <c r="L250" s="705"/>
      <c r="M250" s="706"/>
      <c r="N250" s="701"/>
      <c r="O250" s="706"/>
    </row>
    <row r="251" spans="1:16" s="702" customFormat="1" ht="94.5" x14ac:dyDescent="0.25">
      <c r="A251" s="693"/>
      <c r="B251" s="774" t="s">
        <v>1226</v>
      </c>
      <c r="C251" s="712"/>
      <c r="D251" s="713"/>
      <c r="E251" s="713">
        <v>50</v>
      </c>
      <c r="F251" s="716"/>
      <c r="G251" s="696"/>
      <c r="H251" s="705">
        <f t="shared" si="133"/>
        <v>50</v>
      </c>
      <c r="I251" s="704"/>
      <c r="J251" s="697"/>
      <c r="K251" s="697"/>
      <c r="L251" s="705">
        <f t="shared" si="134"/>
        <v>0</v>
      </c>
      <c r="M251" s="706">
        <f t="shared" si="135"/>
        <v>50</v>
      </c>
      <c r="N251" s="701"/>
      <c r="O251" s="706">
        <f t="shared" si="136"/>
        <v>50</v>
      </c>
    </row>
    <row r="252" spans="1:16" s="702" customFormat="1" ht="16.5" thickBot="1" x14ac:dyDescent="0.3">
      <c r="A252" s="693"/>
      <c r="B252" s="774" t="s">
        <v>1219</v>
      </c>
      <c r="C252" s="712">
        <v>580</v>
      </c>
      <c r="D252" s="713">
        <v>189</v>
      </c>
      <c r="E252" s="713"/>
      <c r="F252" s="716"/>
      <c r="G252" s="696"/>
      <c r="H252" s="705">
        <f t="shared" si="133"/>
        <v>769</v>
      </c>
      <c r="I252" s="704"/>
      <c r="J252" s="697"/>
      <c r="K252" s="697"/>
      <c r="L252" s="705">
        <f t="shared" si="134"/>
        <v>0</v>
      </c>
      <c r="M252" s="706">
        <f t="shared" si="135"/>
        <v>769</v>
      </c>
      <c r="N252" s="701"/>
      <c r="O252" s="706">
        <f t="shared" si="136"/>
        <v>769</v>
      </c>
    </row>
    <row r="253" spans="1:16" ht="17.25" thickTop="1" thickBot="1" x14ac:dyDescent="0.3">
      <c r="A253" s="703"/>
      <c r="B253" s="802" t="s">
        <v>400</v>
      </c>
      <c r="C253" s="803">
        <f>+C244+C248+C249+C251+C252</f>
        <v>127796</v>
      </c>
      <c r="D253" s="803">
        <f t="shared" ref="D253:O253" si="137">+D244+D248+D249+D251+D252</f>
        <v>27770</v>
      </c>
      <c r="E253" s="803">
        <f t="shared" si="137"/>
        <v>86417</v>
      </c>
      <c r="F253" s="803">
        <f t="shared" si="137"/>
        <v>0</v>
      </c>
      <c r="G253" s="803">
        <f t="shared" si="137"/>
        <v>0</v>
      </c>
      <c r="H253" s="803">
        <f t="shared" si="137"/>
        <v>241983</v>
      </c>
      <c r="I253" s="803">
        <f t="shared" si="137"/>
        <v>118</v>
      </c>
      <c r="J253" s="803">
        <f t="shared" si="137"/>
        <v>0</v>
      </c>
      <c r="K253" s="803">
        <f t="shared" si="137"/>
        <v>0</v>
      </c>
      <c r="L253" s="803">
        <f t="shared" si="137"/>
        <v>118</v>
      </c>
      <c r="M253" s="803">
        <f t="shared" si="137"/>
        <v>242101</v>
      </c>
      <c r="N253" s="803">
        <f t="shared" si="137"/>
        <v>0</v>
      </c>
      <c r="O253" s="803">
        <f t="shared" si="137"/>
        <v>242101</v>
      </c>
      <c r="P253" s="683">
        <f>O254+O255</f>
        <v>242101</v>
      </c>
    </row>
    <row r="254" spans="1:16" ht="17.25" thickTop="1" thickBot="1" x14ac:dyDescent="0.3">
      <c r="A254" s="703"/>
      <c r="B254" s="802" t="s">
        <v>399</v>
      </c>
      <c r="C254" s="803">
        <f t="shared" ref="C254:O254" si="138">+C245+C248+C249</f>
        <v>124114</v>
      </c>
      <c r="D254" s="803">
        <f t="shared" si="138"/>
        <v>26554</v>
      </c>
      <c r="E254" s="803">
        <f t="shared" si="138"/>
        <v>86232</v>
      </c>
      <c r="F254" s="803">
        <f t="shared" si="138"/>
        <v>0</v>
      </c>
      <c r="G254" s="803">
        <f t="shared" si="138"/>
        <v>0</v>
      </c>
      <c r="H254" s="803">
        <f t="shared" si="138"/>
        <v>236900</v>
      </c>
      <c r="I254" s="803">
        <f t="shared" si="138"/>
        <v>118</v>
      </c>
      <c r="J254" s="803">
        <f t="shared" si="138"/>
        <v>0</v>
      </c>
      <c r="K254" s="803">
        <f t="shared" si="138"/>
        <v>0</v>
      </c>
      <c r="L254" s="803">
        <f t="shared" si="138"/>
        <v>118</v>
      </c>
      <c r="M254" s="803">
        <f t="shared" si="138"/>
        <v>237018</v>
      </c>
      <c r="N254" s="803">
        <f t="shared" si="138"/>
        <v>0</v>
      </c>
      <c r="O254" s="803">
        <f t="shared" si="138"/>
        <v>237018</v>
      </c>
    </row>
    <row r="255" spans="1:16" ht="17.25" thickTop="1" thickBot="1" x14ac:dyDescent="0.3">
      <c r="A255" s="703"/>
      <c r="B255" s="802" t="s">
        <v>398</v>
      </c>
      <c r="C255" s="803">
        <f>+C246+C251+C252</f>
        <v>3682</v>
      </c>
      <c r="D255" s="803">
        <f t="shared" ref="D255:O255" si="139">+D246+D251+D252</f>
        <v>1216</v>
      </c>
      <c r="E255" s="803">
        <f t="shared" si="139"/>
        <v>185</v>
      </c>
      <c r="F255" s="803">
        <f t="shared" si="139"/>
        <v>0</v>
      </c>
      <c r="G255" s="803">
        <f t="shared" si="139"/>
        <v>0</v>
      </c>
      <c r="H255" s="803">
        <f t="shared" si="139"/>
        <v>5083</v>
      </c>
      <c r="I255" s="803">
        <f t="shared" si="139"/>
        <v>0</v>
      </c>
      <c r="J255" s="803">
        <f t="shared" si="139"/>
        <v>0</v>
      </c>
      <c r="K255" s="803">
        <f t="shared" si="139"/>
        <v>0</v>
      </c>
      <c r="L255" s="803">
        <f t="shared" si="139"/>
        <v>0</v>
      </c>
      <c r="M255" s="803">
        <f t="shared" si="139"/>
        <v>5083</v>
      </c>
      <c r="N255" s="803">
        <f t="shared" si="139"/>
        <v>0</v>
      </c>
      <c r="O255" s="803">
        <f t="shared" si="139"/>
        <v>5083</v>
      </c>
    </row>
    <row r="256" spans="1:16" ht="16.5" thickTop="1" x14ac:dyDescent="0.25">
      <c r="A256" s="718" t="s">
        <v>10</v>
      </c>
      <c r="B256" s="805" t="s">
        <v>418</v>
      </c>
      <c r="C256" s="806"/>
      <c r="D256" s="807"/>
      <c r="E256" s="807"/>
      <c r="F256" s="808"/>
      <c r="G256" s="807"/>
      <c r="H256" s="809"/>
      <c r="I256" s="810"/>
      <c r="J256" s="808"/>
      <c r="K256" s="808"/>
      <c r="L256" s="809"/>
      <c r="M256" s="809"/>
      <c r="N256" s="809"/>
      <c r="O256" s="809"/>
    </row>
    <row r="257" spans="1:16" x14ac:dyDescent="0.25">
      <c r="A257" s="735"/>
      <c r="B257" s="801" t="s">
        <v>363</v>
      </c>
      <c r="C257" s="712">
        <v>161297</v>
      </c>
      <c r="D257" s="713">
        <v>34844</v>
      </c>
      <c r="E257" s="713">
        <v>63719</v>
      </c>
      <c r="F257" s="714"/>
      <c r="G257" s="713"/>
      <c r="H257" s="705">
        <f>SUM(C257:G257)</f>
        <v>259860</v>
      </c>
      <c r="I257" s="717">
        <v>1680</v>
      </c>
      <c r="J257" s="714"/>
      <c r="K257" s="714"/>
      <c r="L257" s="705">
        <f>SUM(I257:K257)</f>
        <v>1680</v>
      </c>
      <c r="M257" s="706">
        <f>SUM(H257+L257)</f>
        <v>261540</v>
      </c>
      <c r="N257" s="706"/>
      <c r="O257" s="706">
        <f>SUM(M257+N257)</f>
        <v>261540</v>
      </c>
    </row>
    <row r="258" spans="1:16" s="702" customFormat="1" x14ac:dyDescent="0.25">
      <c r="A258" s="693"/>
      <c r="B258" s="694" t="s">
        <v>402</v>
      </c>
      <c r="C258" s="695">
        <v>157271</v>
      </c>
      <c r="D258" s="696">
        <v>33517</v>
      </c>
      <c r="E258" s="696">
        <v>63634</v>
      </c>
      <c r="F258" s="697"/>
      <c r="G258" s="696"/>
      <c r="H258" s="698">
        <f>SUM(C258:G258)</f>
        <v>254422</v>
      </c>
      <c r="I258" s="704">
        <v>1680</v>
      </c>
      <c r="J258" s="697"/>
      <c r="K258" s="697"/>
      <c r="L258" s="698">
        <f>SUM(I258:K258)</f>
        <v>1680</v>
      </c>
      <c r="M258" s="701">
        <f>SUM(H258+L258)</f>
        <v>256102</v>
      </c>
      <c r="N258" s="701"/>
      <c r="O258" s="701">
        <f>SUM(M258+N258)</f>
        <v>256102</v>
      </c>
    </row>
    <row r="259" spans="1:16" s="702" customFormat="1" x14ac:dyDescent="0.25">
      <c r="A259" s="693"/>
      <c r="B259" s="694" t="s">
        <v>401</v>
      </c>
      <c r="C259" s="695">
        <v>4026</v>
      </c>
      <c r="D259" s="696">
        <v>1327</v>
      </c>
      <c r="E259" s="696">
        <v>85</v>
      </c>
      <c r="F259" s="697"/>
      <c r="G259" s="696"/>
      <c r="H259" s="698">
        <f>SUM(C259:G259)</f>
        <v>5438</v>
      </c>
      <c r="I259" s="704"/>
      <c r="J259" s="697"/>
      <c r="K259" s="697"/>
      <c r="L259" s="698">
        <f>SUM(I259:K259)</f>
        <v>0</v>
      </c>
      <c r="M259" s="701">
        <f>SUM(H259+L259)</f>
        <v>5438</v>
      </c>
      <c r="N259" s="701"/>
      <c r="O259" s="701">
        <f>SUM(M259+N259)</f>
        <v>5438</v>
      </c>
    </row>
    <row r="260" spans="1:16" s="702" customFormat="1" x14ac:dyDescent="0.25">
      <c r="A260" s="693"/>
      <c r="B260" s="694" t="s">
        <v>132</v>
      </c>
      <c r="C260" s="695"/>
      <c r="D260" s="696"/>
      <c r="E260" s="696"/>
      <c r="F260" s="697"/>
      <c r="G260" s="696"/>
      <c r="H260" s="698"/>
      <c r="I260" s="704"/>
      <c r="J260" s="697"/>
      <c r="K260" s="697"/>
      <c r="L260" s="698"/>
      <c r="M260" s="701"/>
      <c r="N260" s="701"/>
      <c r="O260" s="701"/>
    </row>
    <row r="261" spans="1:16" s="702" customFormat="1" x14ac:dyDescent="0.25">
      <c r="A261" s="736"/>
      <c r="B261" s="774" t="s">
        <v>1218</v>
      </c>
      <c r="C261" s="712">
        <v>22</v>
      </c>
      <c r="D261" s="713">
        <v>4</v>
      </c>
      <c r="E261" s="713"/>
      <c r="F261" s="714"/>
      <c r="G261" s="696"/>
      <c r="H261" s="705">
        <f t="shared" ref="H261:H264" si="140">SUM(C261:G261)</f>
        <v>26</v>
      </c>
      <c r="I261" s="704"/>
      <c r="J261" s="697"/>
      <c r="K261" s="697"/>
      <c r="L261" s="705">
        <f t="shared" ref="L261:L264" si="141">SUM(I261:K261)</f>
        <v>0</v>
      </c>
      <c r="M261" s="706">
        <f t="shared" ref="M261:M264" si="142">SUM(H261+L261)</f>
        <v>26</v>
      </c>
      <c r="N261" s="701"/>
      <c r="O261" s="706">
        <f t="shared" ref="O261:O264" si="143">SUM(M261+N261)</f>
        <v>26</v>
      </c>
    </row>
    <row r="262" spans="1:16" s="702" customFormat="1" ht="31.5" x14ac:dyDescent="0.25">
      <c r="A262" s="736"/>
      <c r="B262" s="774" t="s">
        <v>935</v>
      </c>
      <c r="C262" s="712"/>
      <c r="D262" s="713"/>
      <c r="E262" s="713">
        <v>4242</v>
      </c>
      <c r="F262" s="714"/>
      <c r="G262" s="696"/>
      <c r="H262" s="705">
        <f t="shared" si="140"/>
        <v>4242</v>
      </c>
      <c r="I262" s="717">
        <v>412</v>
      </c>
      <c r="J262" s="697"/>
      <c r="K262" s="697"/>
      <c r="L262" s="705">
        <f t="shared" si="141"/>
        <v>412</v>
      </c>
      <c r="M262" s="705">
        <f t="shared" si="142"/>
        <v>4654</v>
      </c>
      <c r="N262" s="698"/>
      <c r="O262" s="705">
        <f t="shared" si="143"/>
        <v>4654</v>
      </c>
    </row>
    <row r="263" spans="1:16" s="702" customFormat="1" x14ac:dyDescent="0.25">
      <c r="A263" s="693"/>
      <c r="B263" s="694" t="s">
        <v>133</v>
      </c>
      <c r="C263" s="712"/>
      <c r="D263" s="713"/>
      <c r="E263" s="713"/>
      <c r="F263" s="714"/>
      <c r="G263" s="696"/>
      <c r="H263" s="705"/>
      <c r="I263" s="704"/>
      <c r="J263" s="697"/>
      <c r="K263" s="697"/>
      <c r="L263" s="705"/>
      <c r="M263" s="706"/>
      <c r="N263" s="701"/>
      <c r="O263" s="706"/>
    </row>
    <row r="264" spans="1:16" s="702" customFormat="1" ht="16.5" thickBot="1" x14ac:dyDescent="0.3">
      <c r="A264" s="693"/>
      <c r="B264" s="774" t="s">
        <v>1219</v>
      </c>
      <c r="C264" s="712">
        <v>726</v>
      </c>
      <c r="D264" s="713">
        <v>236</v>
      </c>
      <c r="E264" s="713"/>
      <c r="F264" s="714"/>
      <c r="G264" s="696"/>
      <c r="H264" s="705">
        <f t="shared" si="140"/>
        <v>962</v>
      </c>
      <c r="I264" s="704"/>
      <c r="J264" s="697"/>
      <c r="K264" s="697"/>
      <c r="L264" s="705">
        <f t="shared" si="141"/>
        <v>0</v>
      </c>
      <c r="M264" s="706">
        <f t="shared" si="142"/>
        <v>962</v>
      </c>
      <c r="N264" s="701"/>
      <c r="O264" s="706">
        <f t="shared" si="143"/>
        <v>962</v>
      </c>
    </row>
    <row r="265" spans="1:16" ht="17.25" thickTop="1" thickBot="1" x14ac:dyDescent="0.3">
      <c r="A265" s="703"/>
      <c r="B265" s="802" t="s">
        <v>400</v>
      </c>
      <c r="C265" s="803">
        <f>+C257+C261+C262+C264</f>
        <v>162045</v>
      </c>
      <c r="D265" s="803">
        <f t="shared" ref="D265:O265" si="144">+D257+D261+D262+D264</f>
        <v>35084</v>
      </c>
      <c r="E265" s="803">
        <f t="shared" si="144"/>
        <v>67961</v>
      </c>
      <c r="F265" s="803">
        <f t="shared" si="144"/>
        <v>0</v>
      </c>
      <c r="G265" s="803">
        <f t="shared" si="144"/>
        <v>0</v>
      </c>
      <c r="H265" s="803">
        <f t="shared" si="144"/>
        <v>265090</v>
      </c>
      <c r="I265" s="803">
        <f t="shared" si="144"/>
        <v>2092</v>
      </c>
      <c r="J265" s="803">
        <f t="shared" si="144"/>
        <v>0</v>
      </c>
      <c r="K265" s="803">
        <f t="shared" si="144"/>
        <v>0</v>
      </c>
      <c r="L265" s="803">
        <f t="shared" si="144"/>
        <v>2092</v>
      </c>
      <c r="M265" s="803">
        <f t="shared" si="144"/>
        <v>267182</v>
      </c>
      <c r="N265" s="803">
        <f t="shared" si="144"/>
        <v>0</v>
      </c>
      <c r="O265" s="803">
        <f t="shared" si="144"/>
        <v>267182</v>
      </c>
      <c r="P265" s="683">
        <f>O266+O267</f>
        <v>267182</v>
      </c>
    </row>
    <row r="266" spans="1:16" ht="17.25" thickTop="1" thickBot="1" x14ac:dyDescent="0.3">
      <c r="A266" s="703"/>
      <c r="B266" s="802" t="s">
        <v>399</v>
      </c>
      <c r="C266" s="803">
        <f t="shared" ref="C266:O266" si="145">+C258+C261+C262</f>
        <v>157293</v>
      </c>
      <c r="D266" s="803">
        <f t="shared" si="145"/>
        <v>33521</v>
      </c>
      <c r="E266" s="803">
        <f t="shared" si="145"/>
        <v>67876</v>
      </c>
      <c r="F266" s="803">
        <f t="shared" si="145"/>
        <v>0</v>
      </c>
      <c r="G266" s="803">
        <f t="shared" si="145"/>
        <v>0</v>
      </c>
      <c r="H266" s="803">
        <f t="shared" si="145"/>
        <v>258690</v>
      </c>
      <c r="I266" s="803">
        <f t="shared" si="145"/>
        <v>2092</v>
      </c>
      <c r="J266" s="803">
        <f t="shared" si="145"/>
        <v>0</v>
      </c>
      <c r="K266" s="803">
        <f t="shared" si="145"/>
        <v>0</v>
      </c>
      <c r="L266" s="803">
        <f t="shared" si="145"/>
        <v>2092</v>
      </c>
      <c r="M266" s="803">
        <f t="shared" si="145"/>
        <v>260782</v>
      </c>
      <c r="N266" s="803">
        <f t="shared" si="145"/>
        <v>0</v>
      </c>
      <c r="O266" s="803">
        <f t="shared" si="145"/>
        <v>260782</v>
      </c>
    </row>
    <row r="267" spans="1:16" ht="17.25" thickTop="1" thickBot="1" x14ac:dyDescent="0.3">
      <c r="A267" s="703"/>
      <c r="B267" s="802" t="s">
        <v>398</v>
      </c>
      <c r="C267" s="803">
        <f>+C259+C264</f>
        <v>4752</v>
      </c>
      <c r="D267" s="803">
        <f t="shared" ref="D267:O267" si="146">+D259+D264</f>
        <v>1563</v>
      </c>
      <c r="E267" s="803">
        <f t="shared" si="146"/>
        <v>85</v>
      </c>
      <c r="F267" s="803">
        <f t="shared" si="146"/>
        <v>0</v>
      </c>
      <c r="G267" s="803">
        <f t="shared" si="146"/>
        <v>0</v>
      </c>
      <c r="H267" s="803">
        <f t="shared" si="146"/>
        <v>6400</v>
      </c>
      <c r="I267" s="803">
        <f t="shared" si="146"/>
        <v>0</v>
      </c>
      <c r="J267" s="803">
        <f t="shared" si="146"/>
        <v>0</v>
      </c>
      <c r="K267" s="803">
        <f t="shared" si="146"/>
        <v>0</v>
      </c>
      <c r="L267" s="803">
        <f t="shared" si="146"/>
        <v>0</v>
      </c>
      <c r="M267" s="803">
        <f t="shared" si="146"/>
        <v>6400</v>
      </c>
      <c r="N267" s="803">
        <f t="shared" si="146"/>
        <v>0</v>
      </c>
      <c r="O267" s="803">
        <f t="shared" si="146"/>
        <v>6400</v>
      </c>
    </row>
    <row r="268" spans="1:16" ht="17.25" thickTop="1" thickBot="1" x14ac:dyDescent="0.3">
      <c r="A268" s="703"/>
      <c r="B268" s="802" t="s">
        <v>417</v>
      </c>
      <c r="C268" s="803">
        <f t="shared" ref="C268:O268" si="147">SUM(C127+C140+C153+C167+C180+C192+C205+C218+C229+C240+C253+C265)</f>
        <v>1856000</v>
      </c>
      <c r="D268" s="803">
        <f t="shared" si="147"/>
        <v>399118</v>
      </c>
      <c r="E268" s="803">
        <f t="shared" si="147"/>
        <v>829626</v>
      </c>
      <c r="F268" s="803">
        <f t="shared" si="147"/>
        <v>0</v>
      </c>
      <c r="G268" s="803">
        <f t="shared" si="147"/>
        <v>0</v>
      </c>
      <c r="H268" s="803">
        <f t="shared" si="147"/>
        <v>3084744</v>
      </c>
      <c r="I268" s="803">
        <f t="shared" si="147"/>
        <v>10917</v>
      </c>
      <c r="J268" s="803">
        <f t="shared" si="147"/>
        <v>0</v>
      </c>
      <c r="K268" s="803">
        <f t="shared" si="147"/>
        <v>0</v>
      </c>
      <c r="L268" s="803">
        <f t="shared" si="147"/>
        <v>10917</v>
      </c>
      <c r="M268" s="803">
        <f t="shared" si="147"/>
        <v>3095661</v>
      </c>
      <c r="N268" s="803">
        <f t="shared" si="147"/>
        <v>0</v>
      </c>
      <c r="O268" s="803">
        <f t="shared" si="147"/>
        <v>3095661</v>
      </c>
    </row>
    <row r="269" spans="1:16" ht="17.25" thickTop="1" thickBot="1" x14ac:dyDescent="0.3">
      <c r="A269" s="703"/>
      <c r="B269" s="802" t="s">
        <v>416</v>
      </c>
      <c r="C269" s="803">
        <f t="shared" ref="C269:O269" si="148">SUM(C37+C116+C268)</f>
        <v>3056713</v>
      </c>
      <c r="D269" s="803">
        <f t="shared" si="148"/>
        <v>644602</v>
      </c>
      <c r="E269" s="803">
        <f t="shared" si="148"/>
        <v>1201938</v>
      </c>
      <c r="F269" s="803">
        <f t="shared" si="148"/>
        <v>0</v>
      </c>
      <c r="G269" s="803">
        <f t="shared" si="148"/>
        <v>0</v>
      </c>
      <c r="H269" s="803">
        <f t="shared" si="148"/>
        <v>4903253</v>
      </c>
      <c r="I269" s="803">
        <f t="shared" si="148"/>
        <v>34334</v>
      </c>
      <c r="J269" s="803">
        <f t="shared" si="148"/>
        <v>0</v>
      </c>
      <c r="K269" s="803">
        <f t="shared" si="148"/>
        <v>0</v>
      </c>
      <c r="L269" s="803">
        <f t="shared" si="148"/>
        <v>34334</v>
      </c>
      <c r="M269" s="803">
        <f t="shared" si="148"/>
        <v>4937587</v>
      </c>
      <c r="N269" s="803">
        <f t="shared" si="148"/>
        <v>0</v>
      </c>
      <c r="O269" s="803">
        <f t="shared" si="148"/>
        <v>4937587</v>
      </c>
    </row>
    <row r="270" spans="1:16" ht="32.25" thickTop="1" x14ac:dyDescent="0.25">
      <c r="A270" s="692" t="s">
        <v>11</v>
      </c>
      <c r="B270" s="801" t="s">
        <v>1207</v>
      </c>
      <c r="C270" s="712"/>
      <c r="D270" s="713"/>
      <c r="E270" s="713"/>
      <c r="F270" s="716"/>
      <c r="G270" s="713"/>
      <c r="H270" s="705"/>
      <c r="I270" s="717"/>
      <c r="J270" s="714"/>
      <c r="K270" s="714"/>
      <c r="L270" s="705"/>
      <c r="M270" s="705"/>
      <c r="N270" s="705"/>
      <c r="O270" s="705"/>
    </row>
    <row r="271" spans="1:16" x14ac:dyDescent="0.25">
      <c r="A271" s="692"/>
      <c r="B271" s="774" t="s">
        <v>363</v>
      </c>
      <c r="C271" s="712">
        <v>761162</v>
      </c>
      <c r="D271" s="713">
        <v>158174</v>
      </c>
      <c r="E271" s="713">
        <v>476701</v>
      </c>
      <c r="F271" s="716">
        <v>34</v>
      </c>
      <c r="G271" s="713"/>
      <c r="H271" s="705">
        <f>SUM(C271:G271)</f>
        <v>1396071</v>
      </c>
      <c r="I271" s="717">
        <v>17196</v>
      </c>
      <c r="J271" s="714"/>
      <c r="K271" s="714"/>
      <c r="L271" s="705">
        <f>SUM(I271:K271)</f>
        <v>17196</v>
      </c>
      <c r="M271" s="706">
        <f>SUM(H271+L271)</f>
        <v>1413267</v>
      </c>
      <c r="N271" s="706"/>
      <c r="O271" s="706">
        <f>SUM(M271+N271)</f>
        <v>1413267</v>
      </c>
    </row>
    <row r="272" spans="1:16" s="702" customFormat="1" x14ac:dyDescent="0.25">
      <c r="A272" s="693"/>
      <c r="B272" s="694" t="s">
        <v>402</v>
      </c>
      <c r="C272" s="695">
        <v>741609</v>
      </c>
      <c r="D272" s="696">
        <v>151724</v>
      </c>
      <c r="E272" s="696">
        <v>475391</v>
      </c>
      <c r="F272" s="700">
        <v>34</v>
      </c>
      <c r="G272" s="696"/>
      <c r="H272" s="698">
        <f>SUM(C272:G272)</f>
        <v>1368758</v>
      </c>
      <c r="I272" s="704">
        <v>17196</v>
      </c>
      <c r="J272" s="697"/>
      <c r="K272" s="697"/>
      <c r="L272" s="698">
        <f>SUM(I272:K272)</f>
        <v>17196</v>
      </c>
      <c r="M272" s="701">
        <f>SUM(H272+L272)</f>
        <v>1385954</v>
      </c>
      <c r="N272" s="701"/>
      <c r="O272" s="701">
        <f>SUM(M272+N272)</f>
        <v>1385954</v>
      </c>
    </row>
    <row r="273" spans="1:16" s="702" customFormat="1" x14ac:dyDescent="0.25">
      <c r="A273" s="693"/>
      <c r="B273" s="694" t="s">
        <v>401</v>
      </c>
      <c r="C273" s="695">
        <v>19553</v>
      </c>
      <c r="D273" s="696">
        <v>6450</v>
      </c>
      <c r="E273" s="696">
        <v>1310</v>
      </c>
      <c r="F273" s="700"/>
      <c r="G273" s="696"/>
      <c r="H273" s="698">
        <f>SUM(C273:G273)</f>
        <v>27313</v>
      </c>
      <c r="I273" s="704"/>
      <c r="J273" s="697"/>
      <c r="K273" s="697"/>
      <c r="L273" s="698">
        <f>SUM(I273:K273)</f>
        <v>0</v>
      </c>
      <c r="M273" s="701">
        <f>SUM(H273+L273)</f>
        <v>27313</v>
      </c>
      <c r="N273" s="701"/>
      <c r="O273" s="701">
        <f>SUM(M273+N273)</f>
        <v>27313</v>
      </c>
    </row>
    <row r="274" spans="1:16" s="702" customFormat="1" x14ac:dyDescent="0.25">
      <c r="A274" s="736"/>
      <c r="B274" s="743" t="s">
        <v>132</v>
      </c>
      <c r="C274" s="695"/>
      <c r="D274" s="696"/>
      <c r="E274" s="696"/>
      <c r="F274" s="697"/>
      <c r="G274" s="696"/>
      <c r="H274" s="698"/>
      <c r="I274" s="704"/>
      <c r="J274" s="697"/>
      <c r="K274" s="697"/>
      <c r="L274" s="698"/>
      <c r="M274" s="698"/>
      <c r="N274" s="698"/>
      <c r="O274" s="698"/>
    </row>
    <row r="275" spans="1:16" s="702" customFormat="1" x14ac:dyDescent="0.25">
      <c r="A275" s="736"/>
      <c r="B275" s="774" t="s">
        <v>1218</v>
      </c>
      <c r="C275" s="712">
        <v>205</v>
      </c>
      <c r="D275" s="713">
        <v>36</v>
      </c>
      <c r="E275" s="713"/>
      <c r="F275" s="714"/>
      <c r="G275" s="696"/>
      <c r="H275" s="705">
        <f t="shared" ref="H275:H281" si="149">SUM(C275:G275)</f>
        <v>241</v>
      </c>
      <c r="I275" s="704"/>
      <c r="J275" s="697"/>
      <c r="K275" s="697"/>
      <c r="L275" s="705">
        <f t="shared" ref="L275:L281" si="150">SUM(I275:K275)</f>
        <v>0</v>
      </c>
      <c r="M275" s="705">
        <f t="shared" ref="M275:M281" si="151">SUM(H275+L275)</f>
        <v>241</v>
      </c>
      <c r="N275" s="698"/>
      <c r="O275" s="705">
        <f t="shared" ref="O275:O281" si="152">SUM(M275+N275)</f>
        <v>241</v>
      </c>
    </row>
    <row r="276" spans="1:16" s="702" customFormat="1" x14ac:dyDescent="0.25">
      <c r="A276" s="693"/>
      <c r="B276" s="774" t="s">
        <v>1220</v>
      </c>
      <c r="C276" s="712">
        <v>4834</v>
      </c>
      <c r="D276" s="713">
        <v>846</v>
      </c>
      <c r="E276" s="713"/>
      <c r="F276" s="716"/>
      <c r="G276" s="696"/>
      <c r="H276" s="705">
        <f t="shared" si="149"/>
        <v>5680</v>
      </c>
      <c r="I276" s="704"/>
      <c r="J276" s="697"/>
      <c r="K276" s="697"/>
      <c r="L276" s="705">
        <f t="shared" si="150"/>
        <v>0</v>
      </c>
      <c r="M276" s="706">
        <f t="shared" si="151"/>
        <v>5680</v>
      </c>
      <c r="N276" s="701"/>
      <c r="O276" s="706">
        <f t="shared" si="152"/>
        <v>5680</v>
      </c>
    </row>
    <row r="277" spans="1:16" s="702" customFormat="1" ht="30.75" customHeight="1" thickBot="1" x14ac:dyDescent="0.3">
      <c r="A277" s="967"/>
      <c r="B277" s="812" t="s">
        <v>1208</v>
      </c>
      <c r="C277" s="751">
        <v>985</v>
      </c>
      <c r="D277" s="752">
        <v>172</v>
      </c>
      <c r="E277" s="752"/>
      <c r="F277" s="753"/>
      <c r="G277" s="722"/>
      <c r="H277" s="754">
        <f t="shared" si="149"/>
        <v>1157</v>
      </c>
      <c r="I277" s="725"/>
      <c r="J277" s="723"/>
      <c r="K277" s="723"/>
      <c r="L277" s="754">
        <f t="shared" si="150"/>
        <v>0</v>
      </c>
      <c r="M277" s="754">
        <f t="shared" si="151"/>
        <v>1157</v>
      </c>
      <c r="N277" s="724"/>
      <c r="O277" s="754">
        <f t="shared" si="152"/>
        <v>1157</v>
      </c>
    </row>
    <row r="278" spans="1:16" s="702" customFormat="1" ht="31.5" x14ac:dyDescent="0.25">
      <c r="A278" s="968"/>
      <c r="B278" s="813" t="s">
        <v>675</v>
      </c>
      <c r="C278" s="755"/>
      <c r="D278" s="756"/>
      <c r="E278" s="756">
        <v>-2174</v>
      </c>
      <c r="F278" s="757">
        <v>10</v>
      </c>
      <c r="G278" s="729"/>
      <c r="H278" s="758">
        <f t="shared" si="149"/>
        <v>-2164</v>
      </c>
      <c r="I278" s="759">
        <v>2164</v>
      </c>
      <c r="J278" s="730"/>
      <c r="K278" s="730"/>
      <c r="L278" s="758">
        <f t="shared" si="150"/>
        <v>2164</v>
      </c>
      <c r="M278" s="758">
        <f t="shared" si="151"/>
        <v>0</v>
      </c>
      <c r="N278" s="731"/>
      <c r="O278" s="758">
        <f t="shared" si="152"/>
        <v>0</v>
      </c>
    </row>
    <row r="279" spans="1:16" s="702" customFormat="1" ht="31.5" x14ac:dyDescent="0.25">
      <c r="A279" s="693"/>
      <c r="B279" s="774" t="s">
        <v>935</v>
      </c>
      <c r="C279" s="712"/>
      <c r="D279" s="713"/>
      <c r="E279" s="713">
        <v>19038</v>
      </c>
      <c r="F279" s="716"/>
      <c r="G279" s="696"/>
      <c r="H279" s="705">
        <f t="shared" si="149"/>
        <v>19038</v>
      </c>
      <c r="I279" s="717"/>
      <c r="J279" s="697"/>
      <c r="K279" s="697"/>
      <c r="L279" s="705">
        <f t="shared" si="150"/>
        <v>0</v>
      </c>
      <c r="M279" s="706">
        <f t="shared" si="151"/>
        <v>19038</v>
      </c>
      <c r="N279" s="701"/>
      <c r="O279" s="706">
        <f t="shared" si="152"/>
        <v>19038</v>
      </c>
    </row>
    <row r="280" spans="1:16" s="702" customFormat="1" x14ac:dyDescent="0.25">
      <c r="A280" s="693"/>
      <c r="B280" s="694" t="s">
        <v>133</v>
      </c>
      <c r="C280" s="712"/>
      <c r="D280" s="713"/>
      <c r="E280" s="713"/>
      <c r="F280" s="716"/>
      <c r="G280" s="696"/>
      <c r="H280" s="705"/>
      <c r="I280" s="704"/>
      <c r="J280" s="697"/>
      <c r="K280" s="697"/>
      <c r="L280" s="705"/>
      <c r="M280" s="706"/>
      <c r="N280" s="701"/>
      <c r="O280" s="706"/>
    </row>
    <row r="281" spans="1:16" s="702" customFormat="1" ht="16.5" thickBot="1" x14ac:dyDescent="0.3">
      <c r="A281" s="693"/>
      <c r="B281" s="774" t="s">
        <v>1219</v>
      </c>
      <c r="C281" s="712">
        <v>3735</v>
      </c>
      <c r="D281" s="713">
        <v>1214</v>
      </c>
      <c r="E281" s="713"/>
      <c r="F281" s="714"/>
      <c r="G281" s="696"/>
      <c r="H281" s="705">
        <f t="shared" si="149"/>
        <v>4949</v>
      </c>
      <c r="I281" s="704"/>
      <c r="J281" s="697"/>
      <c r="K281" s="697"/>
      <c r="L281" s="705">
        <f t="shared" si="150"/>
        <v>0</v>
      </c>
      <c r="M281" s="706">
        <f t="shared" si="151"/>
        <v>4949</v>
      </c>
      <c r="N281" s="701"/>
      <c r="O281" s="706">
        <f t="shared" si="152"/>
        <v>4949</v>
      </c>
    </row>
    <row r="282" spans="1:16" ht="17.25" thickTop="1" thickBot="1" x14ac:dyDescent="0.3">
      <c r="A282" s="703"/>
      <c r="B282" s="802" t="s">
        <v>400</v>
      </c>
      <c r="C282" s="803">
        <f>+C271+C275+C276+C281+C277+C278+C279</f>
        <v>770921</v>
      </c>
      <c r="D282" s="803">
        <f t="shared" ref="D282:O282" si="153">+D271+D275+D276+D281+D277+D278+D279</f>
        <v>160442</v>
      </c>
      <c r="E282" s="803">
        <f t="shared" si="153"/>
        <v>493565</v>
      </c>
      <c r="F282" s="803">
        <f t="shared" si="153"/>
        <v>44</v>
      </c>
      <c r="G282" s="803">
        <f t="shared" si="153"/>
        <v>0</v>
      </c>
      <c r="H282" s="803">
        <f t="shared" si="153"/>
        <v>1424972</v>
      </c>
      <c r="I282" s="803">
        <f t="shared" si="153"/>
        <v>19360</v>
      </c>
      <c r="J282" s="803">
        <f t="shared" si="153"/>
        <v>0</v>
      </c>
      <c r="K282" s="803">
        <f t="shared" si="153"/>
        <v>0</v>
      </c>
      <c r="L282" s="803">
        <f t="shared" si="153"/>
        <v>19360</v>
      </c>
      <c r="M282" s="803">
        <f t="shared" si="153"/>
        <v>1444332</v>
      </c>
      <c r="N282" s="803">
        <f t="shared" si="153"/>
        <v>0</v>
      </c>
      <c r="O282" s="803">
        <f t="shared" si="153"/>
        <v>1444332</v>
      </c>
      <c r="P282" s="683">
        <f>O283+O284</f>
        <v>1444332</v>
      </c>
    </row>
    <row r="283" spans="1:16" ht="17.25" thickTop="1" thickBot="1" x14ac:dyDescent="0.3">
      <c r="A283" s="703"/>
      <c r="B283" s="802" t="s">
        <v>399</v>
      </c>
      <c r="C283" s="803">
        <f>+C272+C275+C276+C277+C278+C279</f>
        <v>747633</v>
      </c>
      <c r="D283" s="803">
        <f t="shared" ref="D283:O283" si="154">+D272+D275+D276+D277+D278+D279</f>
        <v>152778</v>
      </c>
      <c r="E283" s="803">
        <f t="shared" si="154"/>
        <v>492255</v>
      </c>
      <c r="F283" s="803">
        <f t="shared" si="154"/>
        <v>44</v>
      </c>
      <c r="G283" s="803">
        <f t="shared" si="154"/>
        <v>0</v>
      </c>
      <c r="H283" s="803">
        <f t="shared" si="154"/>
        <v>1392710</v>
      </c>
      <c r="I283" s="803">
        <f t="shared" si="154"/>
        <v>19360</v>
      </c>
      <c r="J283" s="803">
        <f t="shared" si="154"/>
        <v>0</v>
      </c>
      <c r="K283" s="803">
        <f t="shared" si="154"/>
        <v>0</v>
      </c>
      <c r="L283" s="803">
        <f t="shared" si="154"/>
        <v>19360</v>
      </c>
      <c r="M283" s="803">
        <f t="shared" si="154"/>
        <v>1412070</v>
      </c>
      <c r="N283" s="803">
        <f t="shared" si="154"/>
        <v>0</v>
      </c>
      <c r="O283" s="803">
        <f t="shared" si="154"/>
        <v>1412070</v>
      </c>
    </row>
    <row r="284" spans="1:16" ht="17.25" thickTop="1" thickBot="1" x14ac:dyDescent="0.3">
      <c r="A284" s="703"/>
      <c r="B284" s="802" t="s">
        <v>398</v>
      </c>
      <c r="C284" s="803">
        <f>+C273+C281</f>
        <v>23288</v>
      </c>
      <c r="D284" s="803">
        <f t="shared" ref="D284:O284" si="155">+D273+D281</f>
        <v>7664</v>
      </c>
      <c r="E284" s="803">
        <f t="shared" si="155"/>
        <v>1310</v>
      </c>
      <c r="F284" s="803">
        <f t="shared" si="155"/>
        <v>0</v>
      </c>
      <c r="G284" s="803">
        <f t="shared" si="155"/>
        <v>0</v>
      </c>
      <c r="H284" s="803">
        <f t="shared" si="155"/>
        <v>32262</v>
      </c>
      <c r="I284" s="803">
        <f t="shared" si="155"/>
        <v>0</v>
      </c>
      <c r="J284" s="803">
        <f t="shared" si="155"/>
        <v>0</v>
      </c>
      <c r="K284" s="803">
        <f t="shared" si="155"/>
        <v>0</v>
      </c>
      <c r="L284" s="803">
        <f t="shared" si="155"/>
        <v>0</v>
      </c>
      <c r="M284" s="803">
        <f t="shared" si="155"/>
        <v>32262</v>
      </c>
      <c r="N284" s="803">
        <f t="shared" si="155"/>
        <v>0</v>
      </c>
      <c r="O284" s="803">
        <f t="shared" si="155"/>
        <v>32262</v>
      </c>
    </row>
    <row r="285" spans="1:16" ht="48" thickTop="1" x14ac:dyDescent="0.25">
      <c r="A285" s="692" t="s">
        <v>12</v>
      </c>
      <c r="B285" s="801" t="s">
        <v>1209</v>
      </c>
      <c r="C285" s="712"/>
      <c r="D285" s="713"/>
      <c r="E285" s="713"/>
      <c r="F285" s="716"/>
      <c r="G285" s="713"/>
      <c r="H285" s="705"/>
      <c r="I285" s="717"/>
      <c r="J285" s="714"/>
      <c r="K285" s="714"/>
      <c r="L285" s="705"/>
      <c r="M285" s="705"/>
      <c r="N285" s="705"/>
      <c r="O285" s="705"/>
    </row>
    <row r="286" spans="1:16" x14ac:dyDescent="0.25">
      <c r="A286" s="692"/>
      <c r="B286" s="774" t="s">
        <v>363</v>
      </c>
      <c r="C286" s="712">
        <v>248955</v>
      </c>
      <c r="D286" s="713">
        <v>51864</v>
      </c>
      <c r="E286" s="713">
        <v>204829</v>
      </c>
      <c r="F286" s="716"/>
      <c r="G286" s="713"/>
      <c r="H286" s="705">
        <f>SUM(C286:G286)</f>
        <v>505648</v>
      </c>
      <c r="I286" s="717">
        <v>10979</v>
      </c>
      <c r="J286" s="714"/>
      <c r="K286" s="714"/>
      <c r="L286" s="705">
        <f>SUM(I286:K286)</f>
        <v>10979</v>
      </c>
      <c r="M286" s="706">
        <f>SUM(H286+L286)</f>
        <v>516627</v>
      </c>
      <c r="N286" s="706"/>
      <c r="O286" s="706">
        <f>SUM(M286+N286)</f>
        <v>516627</v>
      </c>
    </row>
    <row r="287" spans="1:16" s="702" customFormat="1" x14ac:dyDescent="0.25">
      <c r="A287" s="693"/>
      <c r="B287" s="694" t="s">
        <v>402</v>
      </c>
      <c r="C287" s="695">
        <v>242917</v>
      </c>
      <c r="D287" s="696">
        <v>49877</v>
      </c>
      <c r="E287" s="696">
        <v>201810</v>
      </c>
      <c r="F287" s="700"/>
      <c r="G287" s="696"/>
      <c r="H287" s="698">
        <f>SUM(C287:G287)</f>
        <v>494604</v>
      </c>
      <c r="I287" s="704">
        <v>10979</v>
      </c>
      <c r="J287" s="697"/>
      <c r="K287" s="697"/>
      <c r="L287" s="698">
        <f>SUM(I287:K287)</f>
        <v>10979</v>
      </c>
      <c r="M287" s="701">
        <f>SUM(H287+L287)</f>
        <v>505583</v>
      </c>
      <c r="N287" s="701"/>
      <c r="O287" s="701">
        <f>SUM(M287+N287)</f>
        <v>505583</v>
      </c>
    </row>
    <row r="288" spans="1:16" s="702" customFormat="1" x14ac:dyDescent="0.25">
      <c r="A288" s="693"/>
      <c r="B288" s="694" t="s">
        <v>401</v>
      </c>
      <c r="C288" s="695">
        <v>6038</v>
      </c>
      <c r="D288" s="696">
        <v>1987</v>
      </c>
      <c r="E288" s="696">
        <v>3019</v>
      </c>
      <c r="F288" s="700"/>
      <c r="G288" s="696"/>
      <c r="H288" s="698">
        <f>SUM(C288:G288)</f>
        <v>11044</v>
      </c>
      <c r="I288" s="704"/>
      <c r="J288" s="697"/>
      <c r="K288" s="697"/>
      <c r="L288" s="698">
        <f>SUM(I288:K288)</f>
        <v>0</v>
      </c>
      <c r="M288" s="701">
        <f>SUM(H288+L288)</f>
        <v>11044</v>
      </c>
      <c r="N288" s="701"/>
      <c r="O288" s="701">
        <f>SUM(M288+N288)</f>
        <v>11044</v>
      </c>
    </row>
    <row r="289" spans="1:16" s="702" customFormat="1" x14ac:dyDescent="0.25">
      <c r="A289" s="693"/>
      <c r="B289" s="694" t="s">
        <v>132</v>
      </c>
      <c r="C289" s="695"/>
      <c r="D289" s="696"/>
      <c r="E289" s="696"/>
      <c r="F289" s="700"/>
      <c r="G289" s="696"/>
      <c r="H289" s="698"/>
      <c r="I289" s="704"/>
      <c r="J289" s="697"/>
      <c r="K289" s="697"/>
      <c r="L289" s="698"/>
      <c r="M289" s="701"/>
      <c r="N289" s="701"/>
      <c r="O289" s="701"/>
    </row>
    <row r="290" spans="1:16" s="702" customFormat="1" x14ac:dyDescent="0.25">
      <c r="A290" s="736"/>
      <c r="B290" s="774" t="s">
        <v>1218</v>
      </c>
      <c r="C290" s="712">
        <v>159</v>
      </c>
      <c r="D290" s="713">
        <v>28</v>
      </c>
      <c r="E290" s="713"/>
      <c r="F290" s="714"/>
      <c r="G290" s="696"/>
      <c r="H290" s="705">
        <f t="shared" ref="H290:H295" si="156">SUM(C290:G290)</f>
        <v>187</v>
      </c>
      <c r="I290" s="704"/>
      <c r="J290" s="697"/>
      <c r="K290" s="697"/>
      <c r="L290" s="705">
        <f t="shared" ref="L290:L295" si="157">SUM(I290:K290)</f>
        <v>0</v>
      </c>
      <c r="M290" s="705">
        <f t="shared" ref="M290:M295" si="158">SUM(H290+L290)</f>
        <v>187</v>
      </c>
      <c r="N290" s="698"/>
      <c r="O290" s="705">
        <f t="shared" ref="O290:O295" si="159">SUM(M290+N290)</f>
        <v>187</v>
      </c>
    </row>
    <row r="291" spans="1:16" s="702" customFormat="1" x14ac:dyDescent="0.25">
      <c r="A291" s="693"/>
      <c r="B291" s="774" t="s">
        <v>1220</v>
      </c>
      <c r="C291" s="737">
        <v>4192</v>
      </c>
      <c r="D291" s="738">
        <v>734</v>
      </c>
      <c r="E291" s="738"/>
      <c r="F291" s="739"/>
      <c r="G291" s="708"/>
      <c r="H291" s="710">
        <f t="shared" si="156"/>
        <v>4926</v>
      </c>
      <c r="I291" s="741"/>
      <c r="J291" s="742"/>
      <c r="K291" s="742"/>
      <c r="L291" s="710">
        <f t="shared" si="157"/>
        <v>0</v>
      </c>
      <c r="M291" s="710">
        <f t="shared" si="158"/>
        <v>4926</v>
      </c>
      <c r="N291" s="709"/>
      <c r="O291" s="710">
        <f t="shared" si="159"/>
        <v>4926</v>
      </c>
    </row>
    <row r="292" spans="1:16" s="702" customFormat="1" ht="47.25" x14ac:dyDescent="0.25">
      <c r="A292" s="693"/>
      <c r="B292" s="774" t="s">
        <v>1198</v>
      </c>
      <c r="C292" s="712">
        <v>585</v>
      </c>
      <c r="D292" s="713">
        <v>102</v>
      </c>
      <c r="E292" s="713"/>
      <c r="F292" s="716"/>
      <c r="G292" s="696"/>
      <c r="H292" s="705">
        <f t="shared" si="156"/>
        <v>687</v>
      </c>
      <c r="I292" s="717"/>
      <c r="J292" s="697"/>
      <c r="K292" s="697"/>
      <c r="L292" s="705">
        <f t="shared" si="157"/>
        <v>0</v>
      </c>
      <c r="M292" s="706">
        <f t="shared" si="158"/>
        <v>687</v>
      </c>
      <c r="N292" s="701"/>
      <c r="O292" s="706">
        <f t="shared" si="159"/>
        <v>687</v>
      </c>
    </row>
    <row r="293" spans="1:16" s="702" customFormat="1" ht="31.5" x14ac:dyDescent="0.25">
      <c r="A293" s="693"/>
      <c r="B293" s="774" t="s">
        <v>935</v>
      </c>
      <c r="C293" s="712"/>
      <c r="D293" s="713"/>
      <c r="E293" s="713">
        <v>772</v>
      </c>
      <c r="F293" s="716"/>
      <c r="G293" s="696"/>
      <c r="H293" s="705">
        <f t="shared" si="156"/>
        <v>772</v>
      </c>
      <c r="I293" s="717"/>
      <c r="J293" s="697"/>
      <c r="K293" s="697"/>
      <c r="L293" s="705">
        <f t="shared" si="157"/>
        <v>0</v>
      </c>
      <c r="M293" s="706">
        <f t="shared" si="158"/>
        <v>772</v>
      </c>
      <c r="N293" s="701"/>
      <c r="O293" s="706">
        <f t="shared" si="159"/>
        <v>772</v>
      </c>
    </row>
    <row r="294" spans="1:16" s="702" customFormat="1" x14ac:dyDescent="0.25">
      <c r="A294" s="693"/>
      <c r="B294" s="694" t="s">
        <v>133</v>
      </c>
      <c r="C294" s="712"/>
      <c r="D294" s="713"/>
      <c r="E294" s="713"/>
      <c r="F294" s="716"/>
      <c r="G294" s="696"/>
      <c r="H294" s="705"/>
      <c r="I294" s="704"/>
      <c r="J294" s="697"/>
      <c r="K294" s="697"/>
      <c r="L294" s="705"/>
      <c r="M294" s="706"/>
      <c r="N294" s="701"/>
      <c r="O294" s="706"/>
    </row>
    <row r="295" spans="1:16" s="702" customFormat="1" ht="16.5" thickBot="1" x14ac:dyDescent="0.3">
      <c r="A295" s="693"/>
      <c r="B295" s="774" t="s">
        <v>1219</v>
      </c>
      <c r="C295" s="712">
        <v>1152</v>
      </c>
      <c r="D295" s="713">
        <v>374</v>
      </c>
      <c r="E295" s="713"/>
      <c r="F295" s="714"/>
      <c r="G295" s="696"/>
      <c r="H295" s="705">
        <f t="shared" si="156"/>
        <v>1526</v>
      </c>
      <c r="I295" s="704"/>
      <c r="J295" s="697"/>
      <c r="K295" s="697"/>
      <c r="L295" s="705">
        <f t="shared" si="157"/>
        <v>0</v>
      </c>
      <c r="M295" s="706">
        <f t="shared" si="158"/>
        <v>1526</v>
      </c>
      <c r="N295" s="701"/>
      <c r="O295" s="706">
        <f t="shared" si="159"/>
        <v>1526</v>
      </c>
    </row>
    <row r="296" spans="1:16" ht="17.25" thickTop="1" thickBot="1" x14ac:dyDescent="0.3">
      <c r="A296" s="703"/>
      <c r="B296" s="802" t="s">
        <v>400</v>
      </c>
      <c r="C296" s="803">
        <f>+C286+C290+C291+C295+C292+C293</f>
        <v>255043</v>
      </c>
      <c r="D296" s="803">
        <f t="shared" ref="D296:O296" si="160">+D286+D290+D291+D295+D292+D293</f>
        <v>53102</v>
      </c>
      <c r="E296" s="803">
        <f t="shared" si="160"/>
        <v>205601</v>
      </c>
      <c r="F296" s="803">
        <f t="shared" si="160"/>
        <v>0</v>
      </c>
      <c r="G296" s="803">
        <f t="shared" si="160"/>
        <v>0</v>
      </c>
      <c r="H296" s="803">
        <f t="shared" si="160"/>
        <v>513746</v>
      </c>
      <c r="I296" s="803">
        <f t="shared" si="160"/>
        <v>10979</v>
      </c>
      <c r="J296" s="803">
        <f t="shared" si="160"/>
        <v>0</v>
      </c>
      <c r="K296" s="803">
        <f t="shared" si="160"/>
        <v>0</v>
      </c>
      <c r="L296" s="803">
        <f t="shared" si="160"/>
        <v>10979</v>
      </c>
      <c r="M296" s="803">
        <f t="shared" si="160"/>
        <v>524725</v>
      </c>
      <c r="N296" s="803">
        <f t="shared" si="160"/>
        <v>0</v>
      </c>
      <c r="O296" s="803">
        <f t="shared" si="160"/>
        <v>524725</v>
      </c>
      <c r="P296" s="683">
        <f>O297+O298</f>
        <v>524725</v>
      </c>
    </row>
    <row r="297" spans="1:16" ht="17.25" thickTop="1" thickBot="1" x14ac:dyDescent="0.3">
      <c r="A297" s="703"/>
      <c r="B297" s="802" t="s">
        <v>399</v>
      </c>
      <c r="C297" s="803">
        <f>+C287+C290+C291+C292+C293</f>
        <v>247853</v>
      </c>
      <c r="D297" s="803">
        <f t="shared" ref="D297:O297" si="161">+D287+D290+D291+D292+D293</f>
        <v>50741</v>
      </c>
      <c r="E297" s="803">
        <f t="shared" si="161"/>
        <v>202582</v>
      </c>
      <c r="F297" s="803">
        <f t="shared" si="161"/>
        <v>0</v>
      </c>
      <c r="G297" s="803">
        <f t="shared" si="161"/>
        <v>0</v>
      </c>
      <c r="H297" s="803">
        <f t="shared" si="161"/>
        <v>501176</v>
      </c>
      <c r="I297" s="803">
        <f t="shared" si="161"/>
        <v>10979</v>
      </c>
      <c r="J297" s="803">
        <f t="shared" si="161"/>
        <v>0</v>
      </c>
      <c r="K297" s="803">
        <f t="shared" si="161"/>
        <v>0</v>
      </c>
      <c r="L297" s="803">
        <f t="shared" si="161"/>
        <v>10979</v>
      </c>
      <c r="M297" s="803">
        <f t="shared" si="161"/>
        <v>512155</v>
      </c>
      <c r="N297" s="803">
        <f t="shared" si="161"/>
        <v>0</v>
      </c>
      <c r="O297" s="803">
        <f t="shared" si="161"/>
        <v>512155</v>
      </c>
    </row>
    <row r="298" spans="1:16" ht="17.25" thickTop="1" thickBot="1" x14ac:dyDescent="0.3">
      <c r="A298" s="703"/>
      <c r="B298" s="802" t="s">
        <v>398</v>
      </c>
      <c r="C298" s="803">
        <f>+C288+C295</f>
        <v>7190</v>
      </c>
      <c r="D298" s="803">
        <f t="shared" ref="D298:O298" si="162">+D288+D295</f>
        <v>2361</v>
      </c>
      <c r="E298" s="803">
        <f t="shared" si="162"/>
        <v>3019</v>
      </c>
      <c r="F298" s="803">
        <f t="shared" si="162"/>
        <v>0</v>
      </c>
      <c r="G298" s="803">
        <f t="shared" si="162"/>
        <v>0</v>
      </c>
      <c r="H298" s="803">
        <f t="shared" si="162"/>
        <v>12570</v>
      </c>
      <c r="I298" s="803">
        <f t="shared" si="162"/>
        <v>0</v>
      </c>
      <c r="J298" s="803">
        <f t="shared" si="162"/>
        <v>0</v>
      </c>
      <c r="K298" s="803">
        <f t="shared" si="162"/>
        <v>0</v>
      </c>
      <c r="L298" s="803">
        <f t="shared" si="162"/>
        <v>0</v>
      </c>
      <c r="M298" s="803">
        <f t="shared" si="162"/>
        <v>12570</v>
      </c>
      <c r="N298" s="803">
        <f t="shared" si="162"/>
        <v>0</v>
      </c>
      <c r="O298" s="803">
        <f t="shared" si="162"/>
        <v>12570</v>
      </c>
    </row>
    <row r="299" spans="1:16" ht="16.5" thickTop="1" x14ac:dyDescent="0.25">
      <c r="A299" s="692" t="s">
        <v>13</v>
      </c>
      <c r="B299" s="801" t="s">
        <v>397</v>
      </c>
      <c r="C299" s="712"/>
      <c r="D299" s="713"/>
      <c r="E299" s="713"/>
      <c r="F299" s="716"/>
      <c r="G299" s="713"/>
      <c r="H299" s="705"/>
      <c r="I299" s="717"/>
      <c r="J299" s="714"/>
      <c r="K299" s="714"/>
      <c r="L299" s="705"/>
      <c r="M299" s="705"/>
      <c r="N299" s="705"/>
      <c r="O299" s="705"/>
    </row>
    <row r="300" spans="1:16" x14ac:dyDescent="0.25">
      <c r="A300" s="692"/>
      <c r="B300" s="774" t="s">
        <v>363</v>
      </c>
      <c r="C300" s="712">
        <v>238229</v>
      </c>
      <c r="D300" s="713">
        <v>49317</v>
      </c>
      <c r="E300" s="713">
        <v>176439</v>
      </c>
      <c r="F300" s="716">
        <v>16082</v>
      </c>
      <c r="G300" s="713"/>
      <c r="H300" s="705">
        <f>SUM(C300:G300)</f>
        <v>480067</v>
      </c>
      <c r="I300" s="717">
        <v>2441</v>
      </c>
      <c r="J300" s="714"/>
      <c r="K300" s="714"/>
      <c r="L300" s="705">
        <f>SUM(I300:K300)</f>
        <v>2441</v>
      </c>
      <c r="M300" s="706">
        <f>SUM(H300+L300)</f>
        <v>482508</v>
      </c>
      <c r="N300" s="706"/>
      <c r="O300" s="706">
        <f>SUM(M300+N300)</f>
        <v>482508</v>
      </c>
    </row>
    <row r="301" spans="1:16" s="702" customFormat="1" x14ac:dyDescent="0.25">
      <c r="A301" s="693"/>
      <c r="B301" s="694" t="s">
        <v>402</v>
      </c>
      <c r="C301" s="695">
        <v>233973</v>
      </c>
      <c r="D301" s="696">
        <v>47902</v>
      </c>
      <c r="E301" s="696">
        <v>175499</v>
      </c>
      <c r="F301" s="700">
        <v>16082</v>
      </c>
      <c r="G301" s="696"/>
      <c r="H301" s="698">
        <f>SUM(C301:G301)</f>
        <v>473456</v>
      </c>
      <c r="I301" s="704">
        <v>2441</v>
      </c>
      <c r="J301" s="697"/>
      <c r="K301" s="697"/>
      <c r="L301" s="698">
        <f>SUM(I301:K301)</f>
        <v>2441</v>
      </c>
      <c r="M301" s="701">
        <f>SUM(H301+L301)</f>
        <v>475897</v>
      </c>
      <c r="N301" s="701"/>
      <c r="O301" s="701">
        <f>SUM(M301+N301)</f>
        <v>475897</v>
      </c>
    </row>
    <row r="302" spans="1:16" s="702" customFormat="1" x14ac:dyDescent="0.25">
      <c r="A302" s="693"/>
      <c r="B302" s="694" t="s">
        <v>401</v>
      </c>
      <c r="C302" s="695">
        <v>4256</v>
      </c>
      <c r="D302" s="696">
        <v>1415</v>
      </c>
      <c r="E302" s="696">
        <v>940</v>
      </c>
      <c r="F302" s="700"/>
      <c r="G302" s="696"/>
      <c r="H302" s="698">
        <f>SUM(C302:G302)</f>
        <v>6611</v>
      </c>
      <c r="I302" s="704"/>
      <c r="J302" s="697"/>
      <c r="K302" s="697"/>
      <c r="L302" s="698">
        <f>SUM(I302:K302)</f>
        <v>0</v>
      </c>
      <c r="M302" s="701">
        <f>SUM(H302+L302)</f>
        <v>6611</v>
      </c>
      <c r="N302" s="701"/>
      <c r="O302" s="701">
        <f>SUM(M302+N302)</f>
        <v>6611</v>
      </c>
    </row>
    <row r="303" spans="1:16" s="702" customFormat="1" x14ac:dyDescent="0.25">
      <c r="A303" s="693"/>
      <c r="B303" s="694" t="s">
        <v>132</v>
      </c>
      <c r="C303" s="695"/>
      <c r="D303" s="696"/>
      <c r="E303" s="696"/>
      <c r="F303" s="700"/>
      <c r="G303" s="696"/>
      <c r="H303" s="698"/>
      <c r="I303" s="704"/>
      <c r="J303" s="697"/>
      <c r="K303" s="697"/>
      <c r="L303" s="698"/>
      <c r="M303" s="701"/>
      <c r="N303" s="701"/>
      <c r="O303" s="701"/>
    </row>
    <row r="304" spans="1:16" s="702" customFormat="1" x14ac:dyDescent="0.25">
      <c r="A304" s="693"/>
      <c r="B304" s="774" t="s">
        <v>1218</v>
      </c>
      <c r="C304" s="712">
        <v>77</v>
      </c>
      <c r="D304" s="713">
        <v>13</v>
      </c>
      <c r="E304" s="713"/>
      <c r="F304" s="716"/>
      <c r="G304" s="696"/>
      <c r="H304" s="705">
        <f t="shared" ref="H304:H309" si="163">SUM(C304:G304)</f>
        <v>90</v>
      </c>
      <c r="I304" s="704"/>
      <c r="J304" s="697"/>
      <c r="K304" s="697"/>
      <c r="L304" s="705">
        <f t="shared" ref="L304:L309" si="164">SUM(I304:K304)</f>
        <v>0</v>
      </c>
      <c r="M304" s="706">
        <f t="shared" ref="M304:M309" si="165">SUM(H304+L304)</f>
        <v>90</v>
      </c>
      <c r="N304" s="701"/>
      <c r="O304" s="706">
        <f t="shared" ref="O304:O309" si="166">SUM(M304+N304)</f>
        <v>90</v>
      </c>
    </row>
    <row r="305" spans="1:16" s="702" customFormat="1" x14ac:dyDescent="0.25">
      <c r="A305" s="736"/>
      <c r="B305" s="774" t="s">
        <v>1220</v>
      </c>
      <c r="C305" s="712">
        <v>2351</v>
      </c>
      <c r="D305" s="713">
        <v>411</v>
      </c>
      <c r="E305" s="713"/>
      <c r="F305" s="714"/>
      <c r="G305" s="696"/>
      <c r="H305" s="705">
        <f t="shared" si="163"/>
        <v>2762</v>
      </c>
      <c r="I305" s="704"/>
      <c r="J305" s="697"/>
      <c r="K305" s="697"/>
      <c r="L305" s="705">
        <f t="shared" si="164"/>
        <v>0</v>
      </c>
      <c r="M305" s="705">
        <f t="shared" si="165"/>
        <v>2762</v>
      </c>
      <c r="N305" s="698"/>
      <c r="O305" s="705">
        <f t="shared" si="166"/>
        <v>2762</v>
      </c>
    </row>
    <row r="306" spans="1:16" s="702" customFormat="1" ht="31.5" x14ac:dyDescent="0.25">
      <c r="A306" s="693"/>
      <c r="B306" s="774" t="s">
        <v>675</v>
      </c>
      <c r="C306" s="712"/>
      <c r="D306" s="713"/>
      <c r="E306" s="713">
        <f>-9348-180-2</f>
        <v>-9530</v>
      </c>
      <c r="F306" s="716">
        <f>9348+180+2</f>
        <v>9530</v>
      </c>
      <c r="G306" s="696"/>
      <c r="H306" s="705">
        <f t="shared" si="163"/>
        <v>0</v>
      </c>
      <c r="I306" s="717"/>
      <c r="J306" s="697"/>
      <c r="K306" s="697"/>
      <c r="L306" s="705">
        <f t="shared" si="164"/>
        <v>0</v>
      </c>
      <c r="M306" s="705">
        <f t="shared" si="165"/>
        <v>0</v>
      </c>
      <c r="N306" s="701"/>
      <c r="O306" s="705">
        <f t="shared" si="166"/>
        <v>0</v>
      </c>
    </row>
    <row r="307" spans="1:16" s="702" customFormat="1" ht="31.5" x14ac:dyDescent="0.25">
      <c r="A307" s="693"/>
      <c r="B307" s="774" t="s">
        <v>935</v>
      </c>
      <c r="C307" s="712"/>
      <c r="D307" s="713"/>
      <c r="E307" s="713">
        <f>2054+459</f>
        <v>2513</v>
      </c>
      <c r="F307" s="716">
        <v>2</v>
      </c>
      <c r="G307" s="696"/>
      <c r="H307" s="705">
        <f t="shared" si="163"/>
        <v>2515</v>
      </c>
      <c r="I307" s="717">
        <v>6960</v>
      </c>
      <c r="J307" s="697"/>
      <c r="K307" s="697"/>
      <c r="L307" s="705">
        <f t="shared" si="164"/>
        <v>6960</v>
      </c>
      <c r="M307" s="705">
        <f t="shared" si="165"/>
        <v>9475</v>
      </c>
      <c r="N307" s="701"/>
      <c r="O307" s="705">
        <f t="shared" si="166"/>
        <v>9475</v>
      </c>
    </row>
    <row r="308" spans="1:16" s="702" customFormat="1" x14ac:dyDescent="0.25">
      <c r="A308" s="693"/>
      <c r="B308" s="694" t="s">
        <v>133</v>
      </c>
      <c r="C308" s="712"/>
      <c r="D308" s="713"/>
      <c r="E308" s="713"/>
      <c r="F308" s="716"/>
      <c r="G308" s="696"/>
      <c r="H308" s="705"/>
      <c r="I308" s="704"/>
      <c r="J308" s="697"/>
      <c r="K308" s="697"/>
      <c r="L308" s="705"/>
      <c r="M308" s="706"/>
      <c r="N308" s="701"/>
      <c r="O308" s="706"/>
    </row>
    <row r="309" spans="1:16" s="702" customFormat="1" ht="16.5" thickBot="1" x14ac:dyDescent="0.3">
      <c r="A309" s="693"/>
      <c r="B309" s="774" t="s">
        <v>1219</v>
      </c>
      <c r="C309" s="712">
        <v>694</v>
      </c>
      <c r="D309" s="713">
        <v>226</v>
      </c>
      <c r="E309" s="713"/>
      <c r="F309" s="716"/>
      <c r="G309" s="696"/>
      <c r="H309" s="705">
        <f t="shared" si="163"/>
        <v>920</v>
      </c>
      <c r="I309" s="704"/>
      <c r="J309" s="697"/>
      <c r="K309" s="697"/>
      <c r="L309" s="705">
        <f t="shared" si="164"/>
        <v>0</v>
      </c>
      <c r="M309" s="706">
        <f t="shared" si="165"/>
        <v>920</v>
      </c>
      <c r="N309" s="701"/>
      <c r="O309" s="706">
        <f t="shared" si="166"/>
        <v>920</v>
      </c>
    </row>
    <row r="310" spans="1:16" ht="17.25" thickTop="1" thickBot="1" x14ac:dyDescent="0.3">
      <c r="A310" s="703"/>
      <c r="B310" s="802" t="s">
        <v>400</v>
      </c>
      <c r="C310" s="803">
        <f>+C300+C304+C305+C309+C306+C307</f>
        <v>241351</v>
      </c>
      <c r="D310" s="803">
        <f t="shared" ref="D310:O310" si="167">+D300+D304+D305+D309+D306+D307</f>
        <v>49967</v>
      </c>
      <c r="E310" s="803">
        <f t="shared" si="167"/>
        <v>169422</v>
      </c>
      <c r="F310" s="803">
        <f t="shared" si="167"/>
        <v>25614</v>
      </c>
      <c r="G310" s="803">
        <f t="shared" si="167"/>
        <v>0</v>
      </c>
      <c r="H310" s="803">
        <f t="shared" si="167"/>
        <v>486354</v>
      </c>
      <c r="I310" s="803">
        <f t="shared" si="167"/>
        <v>9401</v>
      </c>
      <c r="J310" s="803">
        <f t="shared" si="167"/>
        <v>0</v>
      </c>
      <c r="K310" s="803">
        <f t="shared" si="167"/>
        <v>0</v>
      </c>
      <c r="L310" s="803">
        <f t="shared" si="167"/>
        <v>9401</v>
      </c>
      <c r="M310" s="803">
        <f t="shared" si="167"/>
        <v>495755</v>
      </c>
      <c r="N310" s="803">
        <f t="shared" si="167"/>
        <v>0</v>
      </c>
      <c r="O310" s="803">
        <f t="shared" si="167"/>
        <v>495755</v>
      </c>
      <c r="P310" s="683">
        <f>O311+O312</f>
        <v>495755</v>
      </c>
    </row>
    <row r="311" spans="1:16" ht="17.25" thickTop="1" thickBot="1" x14ac:dyDescent="0.3">
      <c r="A311" s="703"/>
      <c r="B311" s="802" t="s">
        <v>399</v>
      </c>
      <c r="C311" s="803">
        <f t="shared" ref="C311:O311" si="168">+C301+C304+C305+C306+C307</f>
        <v>236401</v>
      </c>
      <c r="D311" s="803">
        <f t="shared" si="168"/>
        <v>48326</v>
      </c>
      <c r="E311" s="803">
        <f t="shared" si="168"/>
        <v>168482</v>
      </c>
      <c r="F311" s="803">
        <f t="shared" si="168"/>
        <v>25614</v>
      </c>
      <c r="G311" s="803">
        <f t="shared" si="168"/>
        <v>0</v>
      </c>
      <c r="H311" s="803">
        <f t="shared" si="168"/>
        <v>478823</v>
      </c>
      <c r="I311" s="803">
        <f t="shared" si="168"/>
        <v>9401</v>
      </c>
      <c r="J311" s="803">
        <f t="shared" si="168"/>
        <v>0</v>
      </c>
      <c r="K311" s="803">
        <f t="shared" si="168"/>
        <v>0</v>
      </c>
      <c r="L311" s="803">
        <f t="shared" si="168"/>
        <v>9401</v>
      </c>
      <c r="M311" s="803">
        <f t="shared" si="168"/>
        <v>488224</v>
      </c>
      <c r="N311" s="803">
        <f t="shared" si="168"/>
        <v>0</v>
      </c>
      <c r="O311" s="803">
        <f t="shared" si="168"/>
        <v>488224</v>
      </c>
    </row>
    <row r="312" spans="1:16" ht="17.25" thickTop="1" thickBot="1" x14ac:dyDescent="0.3">
      <c r="A312" s="703"/>
      <c r="B312" s="802" t="s">
        <v>398</v>
      </c>
      <c r="C312" s="803">
        <f>+C302+C309</f>
        <v>4950</v>
      </c>
      <c r="D312" s="803">
        <f t="shared" ref="D312:O312" si="169">+D302+D309</f>
        <v>1641</v>
      </c>
      <c r="E312" s="803">
        <f t="shared" si="169"/>
        <v>940</v>
      </c>
      <c r="F312" s="803">
        <f t="shared" si="169"/>
        <v>0</v>
      </c>
      <c r="G312" s="803">
        <f t="shared" si="169"/>
        <v>0</v>
      </c>
      <c r="H312" s="803">
        <f t="shared" si="169"/>
        <v>7531</v>
      </c>
      <c r="I312" s="803">
        <f t="shared" si="169"/>
        <v>0</v>
      </c>
      <c r="J312" s="803">
        <f t="shared" si="169"/>
        <v>0</v>
      </c>
      <c r="K312" s="803">
        <f t="shared" si="169"/>
        <v>0</v>
      </c>
      <c r="L312" s="803">
        <f t="shared" si="169"/>
        <v>0</v>
      </c>
      <c r="M312" s="803">
        <f t="shared" si="169"/>
        <v>7531</v>
      </c>
      <c r="N312" s="803">
        <f t="shared" si="169"/>
        <v>0</v>
      </c>
      <c r="O312" s="803">
        <f t="shared" si="169"/>
        <v>7531</v>
      </c>
    </row>
    <row r="313" spans="1:16" ht="17.25" thickTop="1" thickBot="1" x14ac:dyDescent="0.3">
      <c r="A313" s="703"/>
      <c r="B313" s="802" t="s">
        <v>415</v>
      </c>
      <c r="C313" s="803">
        <f t="shared" ref="C313:O313" si="170">SUM(C282+C296+C310)</f>
        <v>1267315</v>
      </c>
      <c r="D313" s="803">
        <f t="shared" si="170"/>
        <v>263511</v>
      </c>
      <c r="E313" s="803">
        <f t="shared" si="170"/>
        <v>868588</v>
      </c>
      <c r="F313" s="803">
        <f t="shared" si="170"/>
        <v>25658</v>
      </c>
      <c r="G313" s="803">
        <f t="shared" si="170"/>
        <v>0</v>
      </c>
      <c r="H313" s="803">
        <f t="shared" si="170"/>
        <v>2425072</v>
      </c>
      <c r="I313" s="803">
        <f t="shared" si="170"/>
        <v>39740</v>
      </c>
      <c r="J313" s="803">
        <f t="shared" si="170"/>
        <v>0</v>
      </c>
      <c r="K313" s="803">
        <f t="shared" si="170"/>
        <v>0</v>
      </c>
      <c r="L313" s="803">
        <f t="shared" si="170"/>
        <v>39740</v>
      </c>
      <c r="M313" s="803">
        <f t="shared" si="170"/>
        <v>2464812</v>
      </c>
      <c r="N313" s="803">
        <f t="shared" si="170"/>
        <v>0</v>
      </c>
      <c r="O313" s="803">
        <f t="shared" si="170"/>
        <v>2464812</v>
      </c>
    </row>
    <row r="314" spans="1:16" ht="16.5" thickTop="1" x14ac:dyDescent="0.25">
      <c r="A314" s="718" t="s">
        <v>14</v>
      </c>
      <c r="B314" s="814" t="s">
        <v>414</v>
      </c>
      <c r="C314" s="815"/>
      <c r="D314" s="816"/>
      <c r="E314" s="816"/>
      <c r="F314" s="817"/>
      <c r="G314" s="816"/>
      <c r="H314" s="818"/>
      <c r="I314" s="819"/>
      <c r="J314" s="816"/>
      <c r="K314" s="817"/>
      <c r="L314" s="818"/>
      <c r="M314" s="818"/>
      <c r="N314" s="818"/>
      <c r="O314" s="818"/>
    </row>
    <row r="315" spans="1:16" ht="16.5" thickBot="1" x14ac:dyDescent="0.3">
      <c r="A315" s="733"/>
      <c r="B315" s="812" t="s">
        <v>363</v>
      </c>
      <c r="C315" s="751">
        <v>250566</v>
      </c>
      <c r="D315" s="752">
        <v>51641</v>
      </c>
      <c r="E315" s="752">
        <v>1231623</v>
      </c>
      <c r="F315" s="752"/>
      <c r="G315" s="752"/>
      <c r="H315" s="754">
        <f>SUM(C315:G315)</f>
        <v>1533830</v>
      </c>
      <c r="I315" s="820">
        <v>2664</v>
      </c>
      <c r="J315" s="753"/>
      <c r="K315" s="753"/>
      <c r="L315" s="754">
        <f>SUM(I315:K315)</f>
        <v>2664</v>
      </c>
      <c r="M315" s="754">
        <f>SUM(H315+L315)</f>
        <v>1536494</v>
      </c>
      <c r="N315" s="754"/>
      <c r="O315" s="754">
        <f>SUM(M315+N315)</f>
        <v>1536494</v>
      </c>
    </row>
    <row r="316" spans="1:16" s="702" customFormat="1" x14ac:dyDescent="0.25">
      <c r="A316" s="726"/>
      <c r="B316" s="727" t="s">
        <v>402</v>
      </c>
      <c r="C316" s="728">
        <v>244969</v>
      </c>
      <c r="D316" s="729">
        <v>49764</v>
      </c>
      <c r="E316" s="729">
        <v>1231513</v>
      </c>
      <c r="F316" s="729"/>
      <c r="G316" s="729"/>
      <c r="H316" s="731">
        <f>SUM(C316:G316)</f>
        <v>1526246</v>
      </c>
      <c r="I316" s="732">
        <v>2664</v>
      </c>
      <c r="J316" s="730"/>
      <c r="K316" s="730"/>
      <c r="L316" s="731">
        <f>SUM(I316:K316)</f>
        <v>2664</v>
      </c>
      <c r="M316" s="731">
        <f>SUM(H316+L316)</f>
        <v>1528910</v>
      </c>
      <c r="N316" s="731"/>
      <c r="O316" s="731">
        <f>SUM(M316+N316)</f>
        <v>1528910</v>
      </c>
    </row>
    <row r="317" spans="1:16" s="702" customFormat="1" ht="16.5" thickBot="1" x14ac:dyDescent="0.3">
      <c r="A317" s="719"/>
      <c r="B317" s="720" t="s">
        <v>401</v>
      </c>
      <c r="C317" s="721">
        <v>5597</v>
      </c>
      <c r="D317" s="722">
        <v>1877</v>
      </c>
      <c r="E317" s="722">
        <v>110</v>
      </c>
      <c r="F317" s="723"/>
      <c r="G317" s="722"/>
      <c r="H317" s="724">
        <f>SUM(C317:G317)</f>
        <v>7584</v>
      </c>
      <c r="I317" s="725"/>
      <c r="J317" s="723"/>
      <c r="K317" s="723"/>
      <c r="L317" s="724">
        <f>SUM(I317:K317)</f>
        <v>0</v>
      </c>
      <c r="M317" s="724">
        <f>SUM(H317+L317)</f>
        <v>7584</v>
      </c>
      <c r="N317" s="724"/>
      <c r="O317" s="724">
        <f>SUM(M317+N317)</f>
        <v>7584</v>
      </c>
    </row>
    <row r="318" spans="1:16" ht="16.5" thickBot="1" x14ac:dyDescent="0.3">
      <c r="A318" s="977"/>
      <c r="B318" s="978" t="s">
        <v>132</v>
      </c>
      <c r="C318" s="979"/>
      <c r="D318" s="980"/>
      <c r="E318" s="980"/>
      <c r="F318" s="981"/>
      <c r="G318" s="980"/>
      <c r="H318" s="982"/>
      <c r="I318" s="983"/>
      <c r="J318" s="981"/>
      <c r="K318" s="981"/>
      <c r="L318" s="982"/>
      <c r="M318" s="982"/>
      <c r="N318" s="982"/>
      <c r="O318" s="982"/>
    </row>
    <row r="319" spans="1:16" x14ac:dyDescent="0.25">
      <c r="A319" s="734"/>
      <c r="B319" s="813" t="s">
        <v>1218</v>
      </c>
      <c r="C319" s="755">
        <v>106</v>
      </c>
      <c r="D319" s="756">
        <v>18</v>
      </c>
      <c r="E319" s="756"/>
      <c r="F319" s="757"/>
      <c r="G319" s="756"/>
      <c r="H319" s="758">
        <f t="shared" ref="H319:H323" si="171">SUM(C319:G319)</f>
        <v>124</v>
      </c>
      <c r="I319" s="759"/>
      <c r="J319" s="757"/>
      <c r="K319" s="757"/>
      <c r="L319" s="758">
        <f t="shared" ref="L319:L323" si="172">SUM(I319:K319)</f>
        <v>0</v>
      </c>
      <c r="M319" s="758">
        <f t="shared" ref="M319:M323" si="173">SUM(H319+L319)</f>
        <v>124</v>
      </c>
      <c r="N319" s="758"/>
      <c r="O319" s="758">
        <f t="shared" ref="O319:O323" si="174">SUM(M319+N319)</f>
        <v>124</v>
      </c>
    </row>
    <row r="320" spans="1:16" ht="31.5" x14ac:dyDescent="0.25">
      <c r="A320" s="692"/>
      <c r="B320" s="774" t="s">
        <v>675</v>
      </c>
      <c r="C320" s="821">
        <v>-4617</v>
      </c>
      <c r="D320" s="822"/>
      <c r="E320" s="713">
        <v>-3954</v>
      </c>
      <c r="F320" s="716"/>
      <c r="G320" s="822"/>
      <c r="H320" s="705">
        <f t="shared" si="171"/>
        <v>-8571</v>
      </c>
      <c r="I320" s="717">
        <v>8571</v>
      </c>
      <c r="J320" s="714"/>
      <c r="K320" s="714"/>
      <c r="L320" s="705">
        <f t="shared" si="172"/>
        <v>8571</v>
      </c>
      <c r="M320" s="706">
        <f t="shared" si="173"/>
        <v>0</v>
      </c>
      <c r="N320" s="706"/>
      <c r="O320" s="706">
        <f t="shared" si="174"/>
        <v>0</v>
      </c>
    </row>
    <row r="321" spans="1:16" ht="31.5" x14ac:dyDescent="0.25">
      <c r="A321" s="692"/>
      <c r="B321" s="774" t="s">
        <v>935</v>
      </c>
      <c r="C321" s="821"/>
      <c r="D321" s="822"/>
      <c r="E321" s="713">
        <v>29868</v>
      </c>
      <c r="F321" s="716"/>
      <c r="G321" s="822"/>
      <c r="H321" s="705">
        <f t="shared" si="171"/>
        <v>29868</v>
      </c>
      <c r="I321" s="717"/>
      <c r="J321" s="714"/>
      <c r="K321" s="714"/>
      <c r="L321" s="705">
        <f t="shared" si="172"/>
        <v>0</v>
      </c>
      <c r="M321" s="706">
        <f t="shared" si="173"/>
        <v>29868</v>
      </c>
      <c r="N321" s="706"/>
      <c r="O321" s="706">
        <f t="shared" si="174"/>
        <v>29868</v>
      </c>
    </row>
    <row r="322" spans="1:16" x14ac:dyDescent="0.25">
      <c r="A322" s="692"/>
      <c r="B322" s="632" t="s">
        <v>133</v>
      </c>
      <c r="C322" s="821"/>
      <c r="D322" s="822"/>
      <c r="E322" s="713"/>
      <c r="F322" s="716"/>
      <c r="G322" s="822"/>
      <c r="H322" s="705"/>
      <c r="I322" s="717"/>
      <c r="J322" s="714"/>
      <c r="K322" s="714"/>
      <c r="L322" s="705"/>
      <c r="M322" s="706"/>
      <c r="N322" s="706"/>
      <c r="O322" s="706"/>
    </row>
    <row r="323" spans="1:16" ht="16.5" thickBot="1" x14ac:dyDescent="0.3">
      <c r="A323" s="692"/>
      <c r="B323" s="774" t="s">
        <v>1219</v>
      </c>
      <c r="C323" s="821">
        <v>1134</v>
      </c>
      <c r="D323" s="822">
        <v>368</v>
      </c>
      <c r="E323" s="713"/>
      <c r="F323" s="716"/>
      <c r="G323" s="822"/>
      <c r="H323" s="705">
        <f t="shared" si="171"/>
        <v>1502</v>
      </c>
      <c r="I323" s="717"/>
      <c r="J323" s="714"/>
      <c r="K323" s="714"/>
      <c r="L323" s="705">
        <f t="shared" si="172"/>
        <v>0</v>
      </c>
      <c r="M323" s="706">
        <f t="shared" si="173"/>
        <v>1502</v>
      </c>
      <c r="N323" s="706"/>
      <c r="O323" s="706">
        <f t="shared" si="174"/>
        <v>1502</v>
      </c>
    </row>
    <row r="324" spans="1:16" ht="17.25" thickTop="1" thickBot="1" x14ac:dyDescent="0.3">
      <c r="A324" s="703"/>
      <c r="B324" s="802" t="s">
        <v>400</v>
      </c>
      <c r="C324" s="803">
        <f>+C315+C319+C320+C321+C323</f>
        <v>247189</v>
      </c>
      <c r="D324" s="803">
        <f t="shared" ref="D324:O324" si="175">+D315+D319+D320+D321+D323</f>
        <v>52027</v>
      </c>
      <c r="E324" s="803">
        <f t="shared" si="175"/>
        <v>1257537</v>
      </c>
      <c r="F324" s="803">
        <f t="shared" si="175"/>
        <v>0</v>
      </c>
      <c r="G324" s="803">
        <f t="shared" si="175"/>
        <v>0</v>
      </c>
      <c r="H324" s="803">
        <f t="shared" si="175"/>
        <v>1556753</v>
      </c>
      <c r="I324" s="803">
        <f t="shared" si="175"/>
        <v>11235</v>
      </c>
      <c r="J324" s="803">
        <f t="shared" si="175"/>
        <v>0</v>
      </c>
      <c r="K324" s="803">
        <f t="shared" si="175"/>
        <v>0</v>
      </c>
      <c r="L324" s="803">
        <f t="shared" si="175"/>
        <v>11235</v>
      </c>
      <c r="M324" s="803">
        <f t="shared" si="175"/>
        <v>1567988</v>
      </c>
      <c r="N324" s="803">
        <f t="shared" si="175"/>
        <v>0</v>
      </c>
      <c r="O324" s="803">
        <f t="shared" si="175"/>
        <v>1567988</v>
      </c>
      <c r="P324" s="683">
        <f>O325+O326</f>
        <v>1567988</v>
      </c>
    </row>
    <row r="325" spans="1:16" ht="17.25" thickTop="1" thickBot="1" x14ac:dyDescent="0.3">
      <c r="A325" s="703"/>
      <c r="B325" s="802" t="s">
        <v>399</v>
      </c>
      <c r="C325" s="803">
        <f t="shared" ref="C325:O325" si="176">++C316+C319+C320+C321</f>
        <v>240458</v>
      </c>
      <c r="D325" s="803">
        <f t="shared" si="176"/>
        <v>49782</v>
      </c>
      <c r="E325" s="803">
        <f t="shared" si="176"/>
        <v>1257427</v>
      </c>
      <c r="F325" s="803">
        <f t="shared" si="176"/>
        <v>0</v>
      </c>
      <c r="G325" s="803">
        <f t="shared" si="176"/>
        <v>0</v>
      </c>
      <c r="H325" s="803">
        <f t="shared" si="176"/>
        <v>1547667</v>
      </c>
      <c r="I325" s="803">
        <f t="shared" si="176"/>
        <v>11235</v>
      </c>
      <c r="J325" s="803">
        <f t="shared" si="176"/>
        <v>0</v>
      </c>
      <c r="K325" s="803">
        <f t="shared" si="176"/>
        <v>0</v>
      </c>
      <c r="L325" s="803">
        <f t="shared" si="176"/>
        <v>11235</v>
      </c>
      <c r="M325" s="803">
        <f t="shared" si="176"/>
        <v>1558902</v>
      </c>
      <c r="N325" s="803">
        <f t="shared" si="176"/>
        <v>0</v>
      </c>
      <c r="O325" s="803">
        <f t="shared" si="176"/>
        <v>1558902</v>
      </c>
    </row>
    <row r="326" spans="1:16" ht="17.25" thickTop="1" thickBot="1" x14ac:dyDescent="0.3">
      <c r="A326" s="703"/>
      <c r="B326" s="802" t="s">
        <v>398</v>
      </c>
      <c r="C326" s="803">
        <f>+C317+C323</f>
        <v>6731</v>
      </c>
      <c r="D326" s="803">
        <f t="shared" ref="D326:O326" si="177">+D317+D323</f>
        <v>2245</v>
      </c>
      <c r="E326" s="803">
        <f t="shared" si="177"/>
        <v>110</v>
      </c>
      <c r="F326" s="803">
        <f t="shared" si="177"/>
        <v>0</v>
      </c>
      <c r="G326" s="803">
        <f t="shared" si="177"/>
        <v>0</v>
      </c>
      <c r="H326" s="803">
        <f t="shared" si="177"/>
        <v>9086</v>
      </c>
      <c r="I326" s="803">
        <f t="shared" si="177"/>
        <v>0</v>
      </c>
      <c r="J326" s="803">
        <f t="shared" si="177"/>
        <v>0</v>
      </c>
      <c r="K326" s="803">
        <f t="shared" si="177"/>
        <v>0</v>
      </c>
      <c r="L326" s="803">
        <f t="shared" si="177"/>
        <v>0</v>
      </c>
      <c r="M326" s="803">
        <f t="shared" si="177"/>
        <v>9086</v>
      </c>
      <c r="N326" s="803">
        <f t="shared" si="177"/>
        <v>0</v>
      </c>
      <c r="O326" s="803">
        <f t="shared" si="177"/>
        <v>9086</v>
      </c>
    </row>
    <row r="327" spans="1:16" ht="16.5" thickTop="1" x14ac:dyDescent="0.25">
      <c r="A327" s="718" t="s">
        <v>15</v>
      </c>
      <c r="B327" s="805" t="s">
        <v>413</v>
      </c>
      <c r="C327" s="806"/>
      <c r="D327" s="807"/>
      <c r="E327" s="807"/>
      <c r="F327" s="808"/>
      <c r="G327" s="807"/>
      <c r="H327" s="809"/>
      <c r="I327" s="810"/>
      <c r="J327" s="808"/>
      <c r="K327" s="808"/>
      <c r="L327" s="809"/>
      <c r="M327" s="809"/>
      <c r="N327" s="809"/>
      <c r="O327" s="809"/>
    </row>
    <row r="328" spans="1:16" x14ac:dyDescent="0.25">
      <c r="A328" s="692"/>
      <c r="B328" s="774" t="s">
        <v>363</v>
      </c>
      <c r="C328" s="737">
        <v>45737</v>
      </c>
      <c r="D328" s="738">
        <v>8976</v>
      </c>
      <c r="E328" s="713">
        <v>38347</v>
      </c>
      <c r="F328" s="739"/>
      <c r="G328" s="738"/>
      <c r="H328" s="705">
        <f>SUM(C328:G328)</f>
        <v>93060</v>
      </c>
      <c r="I328" s="717">
        <v>1741</v>
      </c>
      <c r="J328" s="714"/>
      <c r="K328" s="714"/>
      <c r="L328" s="705">
        <f>SUM(I328:K328)</f>
        <v>1741</v>
      </c>
      <c r="M328" s="706">
        <f>SUM(H328+L328)</f>
        <v>94801</v>
      </c>
      <c r="N328" s="706"/>
      <c r="O328" s="706">
        <f>SUM(M328+N328)</f>
        <v>94801</v>
      </c>
    </row>
    <row r="329" spans="1:16" s="702" customFormat="1" x14ac:dyDescent="0.25">
      <c r="A329" s="693"/>
      <c r="B329" s="694" t="s">
        <v>408</v>
      </c>
      <c r="C329" s="707">
        <v>45737</v>
      </c>
      <c r="D329" s="708">
        <v>8976</v>
      </c>
      <c r="E329" s="696">
        <v>38347</v>
      </c>
      <c r="F329" s="742"/>
      <c r="G329" s="708"/>
      <c r="H329" s="698">
        <f>SUM(C329:G329)</f>
        <v>93060</v>
      </c>
      <c r="I329" s="704">
        <v>1741</v>
      </c>
      <c r="J329" s="697"/>
      <c r="K329" s="697"/>
      <c r="L329" s="698">
        <f>SUM(I329:K329)</f>
        <v>1741</v>
      </c>
      <c r="M329" s="701">
        <f>SUM(H329+L329)</f>
        <v>94801</v>
      </c>
      <c r="N329" s="701"/>
      <c r="O329" s="701">
        <f>SUM(M329+N329)</f>
        <v>94801</v>
      </c>
    </row>
    <row r="330" spans="1:16" s="702" customFormat="1" x14ac:dyDescent="0.25">
      <c r="A330" s="693"/>
      <c r="B330" s="694" t="s">
        <v>133</v>
      </c>
      <c r="C330" s="707"/>
      <c r="D330" s="708"/>
      <c r="E330" s="696"/>
      <c r="F330" s="742"/>
      <c r="G330" s="708"/>
      <c r="H330" s="698"/>
      <c r="I330" s="704"/>
      <c r="J330" s="697"/>
      <c r="K330" s="697"/>
      <c r="L330" s="698"/>
      <c r="M330" s="701"/>
      <c r="N330" s="701"/>
      <c r="O330" s="701"/>
    </row>
    <row r="331" spans="1:16" s="702" customFormat="1" x14ac:dyDescent="0.25">
      <c r="A331" s="693"/>
      <c r="B331" s="774" t="s">
        <v>1210</v>
      </c>
      <c r="C331" s="737">
        <v>274</v>
      </c>
      <c r="D331" s="738">
        <v>48</v>
      </c>
      <c r="E331" s="713"/>
      <c r="F331" s="739"/>
      <c r="G331" s="738"/>
      <c r="H331" s="705">
        <f t="shared" ref="H331:H333" si="178">SUM(C331:G331)</f>
        <v>322</v>
      </c>
      <c r="I331" s="717"/>
      <c r="J331" s="714"/>
      <c r="K331" s="714"/>
      <c r="L331" s="705">
        <f t="shared" ref="L331:L333" si="179">SUM(I331:K331)</f>
        <v>0</v>
      </c>
      <c r="M331" s="706">
        <f t="shared" ref="M331:M333" si="180">SUM(H331+L331)</f>
        <v>322</v>
      </c>
      <c r="N331" s="706"/>
      <c r="O331" s="706">
        <f t="shared" ref="O331:O333" si="181">SUM(M331+N331)</f>
        <v>322</v>
      </c>
    </row>
    <row r="332" spans="1:16" s="702" customFormat="1" x14ac:dyDescent="0.25">
      <c r="A332" s="693"/>
      <c r="B332" s="774" t="s">
        <v>1219</v>
      </c>
      <c r="C332" s="737">
        <v>204</v>
      </c>
      <c r="D332" s="738">
        <v>66</v>
      </c>
      <c r="E332" s="713"/>
      <c r="F332" s="739"/>
      <c r="G332" s="738"/>
      <c r="H332" s="705">
        <f t="shared" si="178"/>
        <v>270</v>
      </c>
      <c r="I332" s="717"/>
      <c r="J332" s="714"/>
      <c r="K332" s="714"/>
      <c r="L332" s="705">
        <f t="shared" si="179"/>
        <v>0</v>
      </c>
      <c r="M332" s="706">
        <f t="shared" si="180"/>
        <v>270</v>
      </c>
      <c r="N332" s="706"/>
      <c r="O332" s="706">
        <f t="shared" si="181"/>
        <v>270</v>
      </c>
    </row>
    <row r="333" spans="1:16" s="702" customFormat="1" ht="32.25" thickBot="1" x14ac:dyDescent="0.3">
      <c r="A333" s="693"/>
      <c r="B333" s="774" t="s">
        <v>675</v>
      </c>
      <c r="C333" s="737">
        <v>2060</v>
      </c>
      <c r="D333" s="738">
        <v>330</v>
      </c>
      <c r="E333" s="713">
        <v>-4056</v>
      </c>
      <c r="F333" s="739"/>
      <c r="G333" s="738"/>
      <c r="H333" s="705">
        <f t="shared" si="178"/>
        <v>-1666</v>
      </c>
      <c r="I333" s="717">
        <v>1666</v>
      </c>
      <c r="J333" s="714"/>
      <c r="K333" s="714"/>
      <c r="L333" s="705">
        <f t="shared" si="179"/>
        <v>1666</v>
      </c>
      <c r="M333" s="706">
        <f t="shared" si="180"/>
        <v>0</v>
      </c>
      <c r="N333" s="706"/>
      <c r="O333" s="706">
        <f t="shared" si="181"/>
        <v>0</v>
      </c>
    </row>
    <row r="334" spans="1:16" ht="17.25" thickTop="1" thickBot="1" x14ac:dyDescent="0.3">
      <c r="A334" s="703"/>
      <c r="B334" s="823" t="s">
        <v>400</v>
      </c>
      <c r="C334" s="824">
        <f>+C328+C331+C332+C333</f>
        <v>48275</v>
      </c>
      <c r="D334" s="824">
        <f t="shared" ref="D334:O334" si="182">+D328+D331+D332+D333</f>
        <v>9420</v>
      </c>
      <c r="E334" s="824">
        <f t="shared" si="182"/>
        <v>34291</v>
      </c>
      <c r="F334" s="824">
        <f t="shared" si="182"/>
        <v>0</v>
      </c>
      <c r="G334" s="824">
        <f t="shared" si="182"/>
        <v>0</v>
      </c>
      <c r="H334" s="824">
        <f t="shared" si="182"/>
        <v>91986</v>
      </c>
      <c r="I334" s="824">
        <f t="shared" si="182"/>
        <v>3407</v>
      </c>
      <c r="J334" s="824">
        <f t="shared" si="182"/>
        <v>0</v>
      </c>
      <c r="K334" s="824">
        <f t="shared" si="182"/>
        <v>0</v>
      </c>
      <c r="L334" s="824">
        <f t="shared" si="182"/>
        <v>3407</v>
      </c>
      <c r="M334" s="824">
        <f t="shared" si="182"/>
        <v>95393</v>
      </c>
      <c r="N334" s="824">
        <f t="shared" si="182"/>
        <v>0</v>
      </c>
      <c r="O334" s="824">
        <f t="shared" si="182"/>
        <v>95393</v>
      </c>
    </row>
    <row r="335" spans="1:16" ht="17.25" thickTop="1" thickBot="1" x14ac:dyDescent="0.3">
      <c r="A335" s="703"/>
      <c r="B335" s="802" t="s">
        <v>407</v>
      </c>
      <c r="C335" s="803">
        <f>+C329+C331+C332+C333</f>
        <v>48275</v>
      </c>
      <c r="D335" s="803">
        <f t="shared" ref="D335:O335" si="183">+D329+D331+D332+D333</f>
        <v>9420</v>
      </c>
      <c r="E335" s="803">
        <f t="shared" si="183"/>
        <v>34291</v>
      </c>
      <c r="F335" s="803">
        <f t="shared" si="183"/>
        <v>0</v>
      </c>
      <c r="G335" s="803">
        <f t="shared" si="183"/>
        <v>0</v>
      </c>
      <c r="H335" s="803">
        <f t="shared" si="183"/>
        <v>91986</v>
      </c>
      <c r="I335" s="803">
        <f t="shared" si="183"/>
        <v>3407</v>
      </c>
      <c r="J335" s="803">
        <f t="shared" si="183"/>
        <v>0</v>
      </c>
      <c r="K335" s="803">
        <f t="shared" si="183"/>
        <v>0</v>
      </c>
      <c r="L335" s="803">
        <f t="shared" si="183"/>
        <v>3407</v>
      </c>
      <c r="M335" s="803">
        <f t="shared" si="183"/>
        <v>95393</v>
      </c>
      <c r="N335" s="803">
        <f t="shared" si="183"/>
        <v>0</v>
      </c>
      <c r="O335" s="803">
        <f t="shared" si="183"/>
        <v>95393</v>
      </c>
    </row>
    <row r="336" spans="1:16" ht="15.75" customHeight="1" thickTop="1" x14ac:dyDescent="0.25">
      <c r="A336" s="692" t="s">
        <v>16</v>
      </c>
      <c r="B336" s="804" t="s">
        <v>412</v>
      </c>
      <c r="C336" s="737"/>
      <c r="D336" s="738"/>
      <c r="E336" s="713"/>
      <c r="F336" s="739"/>
      <c r="G336" s="738"/>
      <c r="H336" s="705"/>
      <c r="I336" s="740"/>
      <c r="J336" s="739"/>
      <c r="K336" s="739"/>
      <c r="L336" s="705"/>
      <c r="M336" s="710"/>
      <c r="N336" s="710"/>
      <c r="O336" s="710"/>
    </row>
    <row r="337" spans="1:16" x14ac:dyDescent="0.25">
      <c r="A337" s="692"/>
      <c r="B337" s="774" t="s">
        <v>363</v>
      </c>
      <c r="C337" s="737">
        <v>274975</v>
      </c>
      <c r="D337" s="738">
        <v>59076</v>
      </c>
      <c r="E337" s="713">
        <v>178766</v>
      </c>
      <c r="F337" s="739"/>
      <c r="G337" s="738"/>
      <c r="H337" s="705">
        <f>SUM(C337:G337)</f>
        <v>512817</v>
      </c>
      <c r="I337" s="717">
        <v>16917</v>
      </c>
      <c r="J337" s="714"/>
      <c r="K337" s="766"/>
      <c r="L337" s="705">
        <f>SUM(I337:K337)</f>
        <v>16917</v>
      </c>
      <c r="M337" s="706">
        <f>SUM(H337+L337)</f>
        <v>529734</v>
      </c>
      <c r="N337" s="706"/>
      <c r="O337" s="706">
        <f>SUM(M337+N337)</f>
        <v>529734</v>
      </c>
    </row>
    <row r="338" spans="1:16" s="702" customFormat="1" x14ac:dyDescent="0.25">
      <c r="A338" s="693"/>
      <c r="B338" s="694" t="s">
        <v>402</v>
      </c>
      <c r="C338" s="707">
        <v>267092</v>
      </c>
      <c r="D338" s="708">
        <v>56453</v>
      </c>
      <c r="E338" s="696">
        <v>168533</v>
      </c>
      <c r="F338" s="742"/>
      <c r="G338" s="761"/>
      <c r="H338" s="762">
        <f>SUM(C338:G338)</f>
        <v>492078</v>
      </c>
      <c r="I338" s="704">
        <v>16917</v>
      </c>
      <c r="J338" s="697"/>
      <c r="K338" s="761"/>
      <c r="L338" s="698">
        <f>SUM(I338:K338)</f>
        <v>16917</v>
      </c>
      <c r="M338" s="701">
        <f>SUM(H338+L338)</f>
        <v>508995</v>
      </c>
      <c r="N338" s="701"/>
      <c r="O338" s="701">
        <f>SUM(M338+N338)</f>
        <v>508995</v>
      </c>
    </row>
    <row r="339" spans="1:16" s="702" customFormat="1" x14ac:dyDescent="0.25">
      <c r="A339" s="693"/>
      <c r="B339" s="694" t="s">
        <v>401</v>
      </c>
      <c r="C339" s="707">
        <v>7883</v>
      </c>
      <c r="D339" s="708">
        <v>2623</v>
      </c>
      <c r="E339" s="696">
        <v>10233</v>
      </c>
      <c r="F339" s="742"/>
      <c r="G339" s="763"/>
      <c r="H339" s="762">
        <f>SUM(C339:G339)</f>
        <v>20739</v>
      </c>
      <c r="I339" s="704"/>
      <c r="J339" s="697"/>
      <c r="K339" s="761"/>
      <c r="L339" s="698">
        <f>SUM(I339:K339)</f>
        <v>0</v>
      </c>
      <c r="M339" s="701">
        <f>SUM(H339+L339)</f>
        <v>20739</v>
      </c>
      <c r="N339" s="701"/>
      <c r="O339" s="701">
        <f>SUM(M339+N339)</f>
        <v>20739</v>
      </c>
    </row>
    <row r="340" spans="1:16" s="702" customFormat="1" x14ac:dyDescent="0.25">
      <c r="A340" s="693"/>
      <c r="B340" s="694" t="s">
        <v>132</v>
      </c>
      <c r="C340" s="707"/>
      <c r="D340" s="708"/>
      <c r="E340" s="696"/>
      <c r="F340" s="742"/>
      <c r="G340" s="763"/>
      <c r="H340" s="762"/>
      <c r="I340" s="704"/>
      <c r="J340" s="697"/>
      <c r="K340" s="761"/>
      <c r="L340" s="698"/>
      <c r="M340" s="701"/>
      <c r="N340" s="701"/>
      <c r="O340" s="701"/>
    </row>
    <row r="341" spans="1:16" s="702" customFormat="1" x14ac:dyDescent="0.25">
      <c r="A341" s="693"/>
      <c r="B341" s="774" t="s">
        <v>1218</v>
      </c>
      <c r="C341" s="737">
        <v>68</v>
      </c>
      <c r="D341" s="738">
        <v>12</v>
      </c>
      <c r="E341" s="713"/>
      <c r="F341" s="739"/>
      <c r="G341" s="764"/>
      <c r="H341" s="765">
        <f t="shared" ref="H341:H349" si="184">SUM(C341:G341)</f>
        <v>80</v>
      </c>
      <c r="I341" s="717"/>
      <c r="J341" s="714"/>
      <c r="K341" s="766"/>
      <c r="L341" s="705">
        <f t="shared" ref="L341:L349" si="185">SUM(I341:K341)</f>
        <v>0</v>
      </c>
      <c r="M341" s="706">
        <f t="shared" ref="M341:M349" si="186">SUM(H341+L341)</f>
        <v>80</v>
      </c>
      <c r="N341" s="706"/>
      <c r="O341" s="706">
        <f t="shared" ref="O341:O349" si="187">SUM(M341+N341)</f>
        <v>80</v>
      </c>
    </row>
    <row r="342" spans="1:16" s="702" customFormat="1" x14ac:dyDescent="0.25">
      <c r="A342" s="693"/>
      <c r="B342" s="774" t="s">
        <v>1210</v>
      </c>
      <c r="C342" s="737">
        <v>1767</v>
      </c>
      <c r="D342" s="738">
        <v>309</v>
      </c>
      <c r="E342" s="713"/>
      <c r="F342" s="739"/>
      <c r="G342" s="764"/>
      <c r="H342" s="765">
        <f t="shared" si="184"/>
        <v>2076</v>
      </c>
      <c r="I342" s="717"/>
      <c r="J342" s="714"/>
      <c r="K342" s="766"/>
      <c r="L342" s="705">
        <f t="shared" si="185"/>
        <v>0</v>
      </c>
      <c r="M342" s="706">
        <f t="shared" si="186"/>
        <v>2076</v>
      </c>
      <c r="N342" s="706"/>
      <c r="O342" s="706">
        <f t="shared" si="187"/>
        <v>2076</v>
      </c>
    </row>
    <row r="343" spans="1:16" s="702" customFormat="1" ht="47.25" x14ac:dyDescent="0.25">
      <c r="A343" s="693"/>
      <c r="B343" s="774" t="s">
        <v>1198</v>
      </c>
      <c r="C343" s="737">
        <v>1615</v>
      </c>
      <c r="D343" s="738">
        <v>282</v>
      </c>
      <c r="E343" s="713"/>
      <c r="F343" s="739"/>
      <c r="G343" s="764"/>
      <c r="H343" s="765">
        <f t="shared" si="184"/>
        <v>1897</v>
      </c>
      <c r="I343" s="717"/>
      <c r="J343" s="714"/>
      <c r="K343" s="766"/>
      <c r="L343" s="705">
        <f t="shared" si="185"/>
        <v>0</v>
      </c>
      <c r="M343" s="706">
        <f t="shared" si="186"/>
        <v>1897</v>
      </c>
      <c r="N343" s="706"/>
      <c r="O343" s="706">
        <f t="shared" si="187"/>
        <v>1897</v>
      </c>
    </row>
    <row r="344" spans="1:16" s="702" customFormat="1" ht="31.5" x14ac:dyDescent="0.25">
      <c r="A344" s="693"/>
      <c r="B344" s="774" t="s">
        <v>675</v>
      </c>
      <c r="C344" s="737">
        <v>9490</v>
      </c>
      <c r="D344" s="738">
        <v>1699</v>
      </c>
      <c r="E344" s="713">
        <v>-11189</v>
      </c>
      <c r="F344" s="739"/>
      <c r="G344" s="764"/>
      <c r="H344" s="765">
        <f t="shared" si="184"/>
        <v>0</v>
      </c>
      <c r="I344" s="717"/>
      <c r="J344" s="714"/>
      <c r="K344" s="766"/>
      <c r="L344" s="705">
        <f t="shared" si="185"/>
        <v>0</v>
      </c>
      <c r="M344" s="706">
        <f t="shared" si="186"/>
        <v>0</v>
      </c>
      <c r="N344" s="706"/>
      <c r="O344" s="706">
        <f t="shared" si="187"/>
        <v>0</v>
      </c>
    </row>
    <row r="345" spans="1:16" s="702" customFormat="1" ht="31.5" x14ac:dyDescent="0.25">
      <c r="A345" s="693"/>
      <c r="B345" s="774" t="s">
        <v>935</v>
      </c>
      <c r="C345" s="737"/>
      <c r="D345" s="738"/>
      <c r="E345" s="713">
        <f>1390+32</f>
        <v>1422</v>
      </c>
      <c r="F345" s="739"/>
      <c r="G345" s="764"/>
      <c r="H345" s="765">
        <f t="shared" si="184"/>
        <v>1422</v>
      </c>
      <c r="I345" s="717"/>
      <c r="J345" s="714"/>
      <c r="K345" s="766"/>
      <c r="L345" s="705">
        <f t="shared" si="185"/>
        <v>0</v>
      </c>
      <c r="M345" s="706">
        <f t="shared" si="186"/>
        <v>1422</v>
      </c>
      <c r="N345" s="706"/>
      <c r="O345" s="706">
        <f t="shared" si="187"/>
        <v>1422</v>
      </c>
    </row>
    <row r="346" spans="1:16" s="702" customFormat="1" x14ac:dyDescent="0.25">
      <c r="A346" s="693"/>
      <c r="B346" s="694" t="s">
        <v>133</v>
      </c>
      <c r="C346" s="737"/>
      <c r="D346" s="738"/>
      <c r="E346" s="713"/>
      <c r="F346" s="739"/>
      <c r="G346" s="764"/>
      <c r="H346" s="765"/>
      <c r="I346" s="717"/>
      <c r="J346" s="714"/>
      <c r="K346" s="766"/>
      <c r="L346" s="705"/>
      <c r="M346" s="706"/>
      <c r="N346" s="706"/>
      <c r="O346" s="706"/>
    </row>
    <row r="347" spans="1:16" s="702" customFormat="1" ht="94.5" x14ac:dyDescent="0.25">
      <c r="A347" s="693"/>
      <c r="B347" s="774" t="s">
        <v>1227</v>
      </c>
      <c r="C347" s="737"/>
      <c r="D347" s="738"/>
      <c r="E347" s="713">
        <v>75</v>
      </c>
      <c r="F347" s="739"/>
      <c r="G347" s="764"/>
      <c r="H347" s="765">
        <f t="shared" si="184"/>
        <v>75</v>
      </c>
      <c r="I347" s="717"/>
      <c r="J347" s="714"/>
      <c r="K347" s="766"/>
      <c r="L347" s="705">
        <f t="shared" si="185"/>
        <v>0</v>
      </c>
      <c r="M347" s="706">
        <f t="shared" si="186"/>
        <v>75</v>
      </c>
      <c r="N347" s="706"/>
      <c r="O347" s="706">
        <f t="shared" si="187"/>
        <v>75</v>
      </c>
    </row>
    <row r="348" spans="1:16" s="702" customFormat="1" x14ac:dyDescent="0.25">
      <c r="A348" s="693"/>
      <c r="B348" s="774" t="s">
        <v>1219</v>
      </c>
      <c r="C348" s="737">
        <v>1579</v>
      </c>
      <c r="D348" s="738">
        <v>513</v>
      </c>
      <c r="E348" s="713"/>
      <c r="F348" s="739"/>
      <c r="G348" s="764"/>
      <c r="H348" s="765">
        <f t="shared" si="184"/>
        <v>2092</v>
      </c>
      <c r="I348" s="717"/>
      <c r="J348" s="714"/>
      <c r="K348" s="766"/>
      <c r="L348" s="705">
        <f t="shared" si="185"/>
        <v>0</v>
      </c>
      <c r="M348" s="706">
        <f t="shared" si="186"/>
        <v>2092</v>
      </c>
      <c r="N348" s="706"/>
      <c r="O348" s="706">
        <f t="shared" si="187"/>
        <v>2092</v>
      </c>
    </row>
    <row r="349" spans="1:16" s="702" customFormat="1" ht="32.25" thickBot="1" x14ac:dyDescent="0.3">
      <c r="A349" s="693"/>
      <c r="B349" s="774" t="s">
        <v>935</v>
      </c>
      <c r="C349" s="737">
        <v>5532</v>
      </c>
      <c r="D349" s="738">
        <v>968</v>
      </c>
      <c r="E349" s="713">
        <v>16632</v>
      </c>
      <c r="F349" s="739"/>
      <c r="G349" s="764"/>
      <c r="H349" s="765">
        <f t="shared" si="184"/>
        <v>23132</v>
      </c>
      <c r="I349" s="717"/>
      <c r="J349" s="714"/>
      <c r="K349" s="766"/>
      <c r="L349" s="705">
        <f t="shared" si="185"/>
        <v>0</v>
      </c>
      <c r="M349" s="706">
        <f t="shared" si="186"/>
        <v>23132</v>
      </c>
      <c r="N349" s="706"/>
      <c r="O349" s="706">
        <f t="shared" si="187"/>
        <v>23132</v>
      </c>
    </row>
    <row r="350" spans="1:16" ht="17.25" thickTop="1" thickBot="1" x14ac:dyDescent="0.3">
      <c r="A350" s="703"/>
      <c r="B350" s="802" t="s">
        <v>400</v>
      </c>
      <c r="C350" s="803">
        <f>+C337+C341+C342+C343+C347+C348+C349+C344+C345</f>
        <v>295026</v>
      </c>
      <c r="D350" s="803">
        <f t="shared" ref="D350:O350" si="188">+D337+D341+D342+D343+D347+D348+D349+D344+D345</f>
        <v>62859</v>
      </c>
      <c r="E350" s="803">
        <f t="shared" si="188"/>
        <v>185706</v>
      </c>
      <c r="F350" s="803">
        <f t="shared" si="188"/>
        <v>0</v>
      </c>
      <c r="G350" s="803">
        <f t="shared" si="188"/>
        <v>0</v>
      </c>
      <c r="H350" s="803">
        <f t="shared" si="188"/>
        <v>543591</v>
      </c>
      <c r="I350" s="803">
        <f t="shared" si="188"/>
        <v>16917</v>
      </c>
      <c r="J350" s="803">
        <f t="shared" si="188"/>
        <v>0</v>
      </c>
      <c r="K350" s="803">
        <f t="shared" si="188"/>
        <v>0</v>
      </c>
      <c r="L350" s="803">
        <f t="shared" si="188"/>
        <v>16917</v>
      </c>
      <c r="M350" s="803">
        <f t="shared" si="188"/>
        <v>560508</v>
      </c>
      <c r="N350" s="803">
        <f t="shared" si="188"/>
        <v>0</v>
      </c>
      <c r="O350" s="803">
        <f t="shared" si="188"/>
        <v>560508</v>
      </c>
      <c r="P350" s="683">
        <f>O351+O352</f>
        <v>560508</v>
      </c>
    </row>
    <row r="351" spans="1:16" ht="17.25" thickTop="1" thickBot="1" x14ac:dyDescent="0.3">
      <c r="A351" s="703"/>
      <c r="B351" s="802" t="s">
        <v>399</v>
      </c>
      <c r="C351" s="803">
        <f>+C338+C341+C342+C343+C344+C345</f>
        <v>280032</v>
      </c>
      <c r="D351" s="803">
        <f t="shared" ref="D351:O351" si="189">+D338+D341+D342+D343+D344+D345</f>
        <v>58755</v>
      </c>
      <c r="E351" s="803">
        <f t="shared" si="189"/>
        <v>158766</v>
      </c>
      <c r="F351" s="803">
        <f t="shared" si="189"/>
        <v>0</v>
      </c>
      <c r="G351" s="803">
        <f t="shared" si="189"/>
        <v>0</v>
      </c>
      <c r="H351" s="803">
        <f t="shared" si="189"/>
        <v>497553</v>
      </c>
      <c r="I351" s="803">
        <f t="shared" si="189"/>
        <v>16917</v>
      </c>
      <c r="J351" s="803">
        <f t="shared" si="189"/>
        <v>0</v>
      </c>
      <c r="K351" s="803">
        <f t="shared" si="189"/>
        <v>0</v>
      </c>
      <c r="L351" s="803">
        <f t="shared" si="189"/>
        <v>16917</v>
      </c>
      <c r="M351" s="803">
        <f t="shared" si="189"/>
        <v>514470</v>
      </c>
      <c r="N351" s="803">
        <f t="shared" si="189"/>
        <v>0</v>
      </c>
      <c r="O351" s="803">
        <f t="shared" si="189"/>
        <v>514470</v>
      </c>
    </row>
    <row r="352" spans="1:16" ht="17.25" thickTop="1" thickBot="1" x14ac:dyDescent="0.3">
      <c r="A352" s="703"/>
      <c r="B352" s="802" t="s">
        <v>398</v>
      </c>
      <c r="C352" s="803">
        <f>+C339+C347+C348+C349</f>
        <v>14994</v>
      </c>
      <c r="D352" s="803">
        <f t="shared" ref="D352:O352" si="190">+D339+D347+D348+D349</f>
        <v>4104</v>
      </c>
      <c r="E352" s="803">
        <f t="shared" si="190"/>
        <v>26940</v>
      </c>
      <c r="F352" s="803">
        <f t="shared" si="190"/>
        <v>0</v>
      </c>
      <c r="G352" s="803">
        <f t="shared" si="190"/>
        <v>0</v>
      </c>
      <c r="H352" s="803">
        <f t="shared" si="190"/>
        <v>46038</v>
      </c>
      <c r="I352" s="803">
        <f t="shared" si="190"/>
        <v>0</v>
      </c>
      <c r="J352" s="803">
        <f t="shared" si="190"/>
        <v>0</v>
      </c>
      <c r="K352" s="803">
        <f t="shared" si="190"/>
        <v>0</v>
      </c>
      <c r="L352" s="803">
        <f t="shared" si="190"/>
        <v>0</v>
      </c>
      <c r="M352" s="803">
        <f t="shared" si="190"/>
        <v>46038</v>
      </c>
      <c r="N352" s="803">
        <f t="shared" si="190"/>
        <v>0</v>
      </c>
      <c r="O352" s="803">
        <f t="shared" si="190"/>
        <v>46038</v>
      </c>
    </row>
    <row r="353" spans="1:16" ht="16.5" thickTop="1" x14ac:dyDescent="0.25">
      <c r="A353" s="692" t="s">
        <v>17</v>
      </c>
      <c r="B353" s="804" t="s">
        <v>411</v>
      </c>
      <c r="C353" s="737"/>
      <c r="D353" s="738"/>
      <c r="E353" s="713"/>
      <c r="F353" s="739"/>
      <c r="G353" s="738"/>
      <c r="H353" s="705"/>
      <c r="I353" s="740"/>
      <c r="J353" s="739"/>
      <c r="K353" s="739"/>
      <c r="L353" s="705"/>
      <c r="M353" s="710"/>
      <c r="N353" s="710"/>
      <c r="O353" s="710"/>
    </row>
    <row r="354" spans="1:16" ht="16.5" thickBot="1" x14ac:dyDescent="0.3">
      <c r="A354" s="733"/>
      <c r="B354" s="812" t="s">
        <v>363</v>
      </c>
      <c r="C354" s="751">
        <v>420562</v>
      </c>
      <c r="D354" s="752">
        <v>89660</v>
      </c>
      <c r="E354" s="752">
        <v>490846</v>
      </c>
      <c r="F354" s="753"/>
      <c r="G354" s="752"/>
      <c r="H354" s="754">
        <f>SUM(C354:G354)</f>
        <v>1001068</v>
      </c>
      <c r="I354" s="820">
        <v>20347</v>
      </c>
      <c r="J354" s="753">
        <v>14384</v>
      </c>
      <c r="K354" s="753"/>
      <c r="L354" s="754">
        <f>SUM(I354:K354)</f>
        <v>34731</v>
      </c>
      <c r="M354" s="754">
        <f>SUM(H354+L354)</f>
        <v>1035799</v>
      </c>
      <c r="N354" s="754"/>
      <c r="O354" s="754">
        <f>SUM(M354+N354)</f>
        <v>1035799</v>
      </c>
      <c r="P354" s="683"/>
    </row>
    <row r="355" spans="1:16" s="702" customFormat="1" x14ac:dyDescent="0.25">
      <c r="A355" s="726"/>
      <c r="B355" s="727" t="s">
        <v>402</v>
      </c>
      <c r="C355" s="728">
        <v>410043</v>
      </c>
      <c r="D355" s="729">
        <v>86178</v>
      </c>
      <c r="E355" s="729">
        <v>484712</v>
      </c>
      <c r="F355" s="730"/>
      <c r="G355" s="729"/>
      <c r="H355" s="731">
        <f>SUM(C355:G355)</f>
        <v>980933</v>
      </c>
      <c r="I355" s="732">
        <v>18247</v>
      </c>
      <c r="J355" s="730">
        <v>14384</v>
      </c>
      <c r="K355" s="730"/>
      <c r="L355" s="731">
        <f>SUM(I355:K355)</f>
        <v>32631</v>
      </c>
      <c r="M355" s="731">
        <f>SUM(H355+L355)</f>
        <v>1013564</v>
      </c>
      <c r="N355" s="731"/>
      <c r="O355" s="731">
        <f>SUM(M355+N355)</f>
        <v>1013564</v>
      </c>
    </row>
    <row r="356" spans="1:16" s="702" customFormat="1" x14ac:dyDescent="0.25">
      <c r="A356" s="767"/>
      <c r="B356" s="694" t="s">
        <v>401</v>
      </c>
      <c r="C356" s="768">
        <v>10519</v>
      </c>
      <c r="D356" s="769">
        <v>3482</v>
      </c>
      <c r="E356" s="770">
        <v>6134</v>
      </c>
      <c r="F356" s="760"/>
      <c r="G356" s="769"/>
      <c r="H356" s="706">
        <f>SUM(C356:G356)</f>
        <v>20135</v>
      </c>
      <c r="I356" s="715">
        <v>2100</v>
      </c>
      <c r="J356" s="716"/>
      <c r="K356" s="716"/>
      <c r="L356" s="706">
        <f>SUM(I356:K356)</f>
        <v>2100</v>
      </c>
      <c r="M356" s="706">
        <f>SUM(H356+L356)</f>
        <v>22235</v>
      </c>
      <c r="N356" s="706"/>
      <c r="O356" s="706">
        <f>SUM(M356+N356)</f>
        <v>22235</v>
      </c>
    </row>
    <row r="357" spans="1:16" s="702" customFormat="1" x14ac:dyDescent="0.25">
      <c r="A357" s="736"/>
      <c r="B357" s="743" t="s">
        <v>132</v>
      </c>
      <c r="C357" s="704"/>
      <c r="D357" s="696"/>
      <c r="E357" s="696"/>
      <c r="F357" s="696"/>
      <c r="G357" s="704"/>
      <c r="H357" s="706">
        <f t="shared" ref="H357:H364" si="191">SUM(C357:G357)</f>
        <v>0</v>
      </c>
      <c r="I357" s="717"/>
      <c r="J357" s="713"/>
      <c r="K357" s="717"/>
      <c r="L357" s="706">
        <f t="shared" ref="L357:L364" si="192">SUM(I357:K357)</f>
        <v>0</v>
      </c>
      <c r="M357" s="706">
        <f t="shared" ref="M357:M364" si="193">SUM(H357+L357)</f>
        <v>0</v>
      </c>
      <c r="N357" s="706"/>
      <c r="O357" s="706">
        <f t="shared" ref="O357:O364" si="194">SUM(M357+N357)</f>
        <v>0</v>
      </c>
    </row>
    <row r="358" spans="1:16" x14ac:dyDescent="0.25">
      <c r="A358" s="771"/>
      <c r="B358" s="774" t="s">
        <v>1218</v>
      </c>
      <c r="C358" s="717">
        <v>26</v>
      </c>
      <c r="D358" s="713">
        <v>4</v>
      </c>
      <c r="E358" s="713"/>
      <c r="F358" s="713"/>
      <c r="G358" s="717"/>
      <c r="H358" s="706">
        <f t="shared" si="191"/>
        <v>30</v>
      </c>
      <c r="I358" s="717"/>
      <c r="J358" s="713"/>
      <c r="K358" s="717"/>
      <c r="L358" s="706">
        <f t="shared" si="192"/>
        <v>0</v>
      </c>
      <c r="M358" s="706">
        <f t="shared" si="193"/>
        <v>30</v>
      </c>
      <c r="N358" s="706"/>
      <c r="O358" s="706">
        <f t="shared" si="194"/>
        <v>30</v>
      </c>
    </row>
    <row r="359" spans="1:16" x14ac:dyDescent="0.25">
      <c r="A359" s="771"/>
      <c r="B359" s="774" t="s">
        <v>1210</v>
      </c>
      <c r="C359" s="717">
        <v>1805</v>
      </c>
      <c r="D359" s="713">
        <v>316</v>
      </c>
      <c r="E359" s="713"/>
      <c r="F359" s="713"/>
      <c r="G359" s="717"/>
      <c r="H359" s="706">
        <f t="shared" si="191"/>
        <v>2121</v>
      </c>
      <c r="I359" s="717"/>
      <c r="J359" s="713"/>
      <c r="K359" s="717"/>
      <c r="L359" s="706">
        <f t="shared" si="192"/>
        <v>0</v>
      </c>
      <c r="M359" s="706">
        <f t="shared" si="193"/>
        <v>2121</v>
      </c>
      <c r="N359" s="706"/>
      <c r="O359" s="706">
        <f t="shared" si="194"/>
        <v>2121</v>
      </c>
    </row>
    <row r="360" spans="1:16" ht="31.5" x14ac:dyDescent="0.25">
      <c r="A360" s="771"/>
      <c r="B360" s="774" t="s">
        <v>675</v>
      </c>
      <c r="C360" s="717"/>
      <c r="D360" s="713"/>
      <c r="E360" s="713">
        <f>-60054-1</f>
        <v>-60055</v>
      </c>
      <c r="F360" s="713"/>
      <c r="G360" s="717">
        <v>1</v>
      </c>
      <c r="H360" s="706">
        <f t="shared" si="191"/>
        <v>-60054</v>
      </c>
      <c r="I360" s="717">
        <v>50360</v>
      </c>
      <c r="J360" s="713">
        <v>9694</v>
      </c>
      <c r="K360" s="717"/>
      <c r="L360" s="706">
        <f t="shared" si="192"/>
        <v>60054</v>
      </c>
      <c r="M360" s="706">
        <f t="shared" si="193"/>
        <v>0</v>
      </c>
      <c r="N360" s="706"/>
      <c r="O360" s="706">
        <f t="shared" si="194"/>
        <v>0</v>
      </c>
    </row>
    <row r="361" spans="1:16" s="702" customFormat="1" x14ac:dyDescent="0.25">
      <c r="A361" s="736"/>
      <c r="B361" s="743" t="s">
        <v>133</v>
      </c>
      <c r="C361" s="704"/>
      <c r="D361" s="696"/>
      <c r="E361" s="696"/>
      <c r="F361" s="696"/>
      <c r="G361" s="704"/>
      <c r="H361" s="706">
        <f t="shared" si="191"/>
        <v>0</v>
      </c>
      <c r="I361" s="717"/>
      <c r="J361" s="713"/>
      <c r="K361" s="717"/>
      <c r="L361" s="706">
        <f t="shared" si="192"/>
        <v>0</v>
      </c>
      <c r="M361" s="706">
        <f t="shared" si="193"/>
        <v>0</v>
      </c>
      <c r="N361" s="706"/>
      <c r="O361" s="706">
        <f t="shared" si="194"/>
        <v>0</v>
      </c>
    </row>
    <row r="362" spans="1:16" ht="78.75" x14ac:dyDescent="0.25">
      <c r="A362" s="771"/>
      <c r="B362" s="825" t="s">
        <v>1228</v>
      </c>
      <c r="C362" s="717"/>
      <c r="D362" s="713"/>
      <c r="E362" s="713">
        <v>150</v>
      </c>
      <c r="F362" s="713"/>
      <c r="G362" s="717"/>
      <c r="H362" s="706">
        <f t="shared" si="191"/>
        <v>150</v>
      </c>
      <c r="I362" s="717"/>
      <c r="J362" s="713"/>
      <c r="K362" s="717"/>
      <c r="L362" s="706">
        <f t="shared" si="192"/>
        <v>0</v>
      </c>
      <c r="M362" s="706">
        <f t="shared" si="193"/>
        <v>150</v>
      </c>
      <c r="N362" s="706"/>
      <c r="O362" s="706">
        <f t="shared" si="194"/>
        <v>150</v>
      </c>
    </row>
    <row r="363" spans="1:16" x14ac:dyDescent="0.25">
      <c r="A363" s="771"/>
      <c r="B363" s="774" t="s">
        <v>1219</v>
      </c>
      <c r="C363" s="717">
        <v>2087</v>
      </c>
      <c r="D363" s="713">
        <v>678</v>
      </c>
      <c r="E363" s="713"/>
      <c r="F363" s="713"/>
      <c r="G363" s="717"/>
      <c r="H363" s="706">
        <f t="shared" si="191"/>
        <v>2765</v>
      </c>
      <c r="I363" s="717"/>
      <c r="J363" s="713"/>
      <c r="K363" s="717"/>
      <c r="L363" s="706">
        <f t="shared" si="192"/>
        <v>0</v>
      </c>
      <c r="M363" s="706">
        <f t="shared" si="193"/>
        <v>2765</v>
      </c>
      <c r="N363" s="706"/>
      <c r="O363" s="706">
        <f t="shared" si="194"/>
        <v>2765</v>
      </c>
    </row>
    <row r="364" spans="1:16" ht="32.25" thickBot="1" x14ac:dyDescent="0.3">
      <c r="A364" s="771"/>
      <c r="B364" s="774" t="s">
        <v>935</v>
      </c>
      <c r="C364" s="717"/>
      <c r="D364" s="713"/>
      <c r="E364" s="713">
        <f>55978+403</f>
        <v>56381</v>
      </c>
      <c r="F364" s="713"/>
      <c r="G364" s="717"/>
      <c r="H364" s="706">
        <f t="shared" si="191"/>
        <v>56381</v>
      </c>
      <c r="I364" s="717"/>
      <c r="J364" s="713"/>
      <c r="K364" s="717"/>
      <c r="L364" s="706">
        <f t="shared" si="192"/>
        <v>0</v>
      </c>
      <c r="M364" s="706">
        <f t="shared" si="193"/>
        <v>56381</v>
      </c>
      <c r="N364" s="706"/>
      <c r="O364" s="706">
        <f t="shared" si="194"/>
        <v>56381</v>
      </c>
    </row>
    <row r="365" spans="1:16" ht="17.25" thickTop="1" thickBot="1" x14ac:dyDescent="0.3">
      <c r="A365" s="703"/>
      <c r="B365" s="802" t="s">
        <v>400</v>
      </c>
      <c r="C365" s="803">
        <f>+C354+C358+C359+C360+C362+C363+C364</f>
        <v>424480</v>
      </c>
      <c r="D365" s="803">
        <f t="shared" ref="D365:O365" si="195">+D354+D358+D359+D360+D362+D363+D364</f>
        <v>90658</v>
      </c>
      <c r="E365" s="803">
        <f t="shared" si="195"/>
        <v>487322</v>
      </c>
      <c r="F365" s="803">
        <f t="shared" si="195"/>
        <v>0</v>
      </c>
      <c r="G365" s="803">
        <f t="shared" si="195"/>
        <v>1</v>
      </c>
      <c r="H365" s="803">
        <f t="shared" si="195"/>
        <v>1002461</v>
      </c>
      <c r="I365" s="803">
        <f t="shared" si="195"/>
        <v>70707</v>
      </c>
      <c r="J365" s="803">
        <f t="shared" si="195"/>
        <v>24078</v>
      </c>
      <c r="K365" s="803">
        <f t="shared" si="195"/>
        <v>0</v>
      </c>
      <c r="L365" s="803">
        <f t="shared" si="195"/>
        <v>94785</v>
      </c>
      <c r="M365" s="803">
        <f t="shared" si="195"/>
        <v>1097246</v>
      </c>
      <c r="N365" s="803">
        <f t="shared" si="195"/>
        <v>0</v>
      </c>
      <c r="O365" s="803">
        <f t="shared" si="195"/>
        <v>1097246</v>
      </c>
      <c r="P365" s="683">
        <f>O366+O367</f>
        <v>1097246</v>
      </c>
    </row>
    <row r="366" spans="1:16" ht="17.25" thickTop="1" thickBot="1" x14ac:dyDescent="0.3">
      <c r="A366" s="703"/>
      <c r="B366" s="802" t="s">
        <v>399</v>
      </c>
      <c r="C366" s="803">
        <f>+C355+C358+C359+C360</f>
        <v>411874</v>
      </c>
      <c r="D366" s="803">
        <f t="shared" ref="D366:O366" si="196">+D355+D358+D359+D360</f>
        <v>86498</v>
      </c>
      <c r="E366" s="803">
        <f t="shared" si="196"/>
        <v>424657</v>
      </c>
      <c r="F366" s="803">
        <f t="shared" si="196"/>
        <v>0</v>
      </c>
      <c r="G366" s="803">
        <f t="shared" si="196"/>
        <v>1</v>
      </c>
      <c r="H366" s="803">
        <f t="shared" si="196"/>
        <v>923030</v>
      </c>
      <c r="I366" s="803">
        <f t="shared" si="196"/>
        <v>68607</v>
      </c>
      <c r="J366" s="803">
        <f t="shared" si="196"/>
        <v>24078</v>
      </c>
      <c r="K366" s="803">
        <f t="shared" si="196"/>
        <v>0</v>
      </c>
      <c r="L366" s="803">
        <f t="shared" si="196"/>
        <v>92685</v>
      </c>
      <c r="M366" s="803">
        <f t="shared" si="196"/>
        <v>1015715</v>
      </c>
      <c r="N366" s="803">
        <f t="shared" si="196"/>
        <v>0</v>
      </c>
      <c r="O366" s="803">
        <f t="shared" si="196"/>
        <v>1015715</v>
      </c>
    </row>
    <row r="367" spans="1:16" ht="17.25" thickTop="1" thickBot="1" x14ac:dyDescent="0.3">
      <c r="A367" s="703"/>
      <c r="B367" s="802" t="s">
        <v>398</v>
      </c>
      <c r="C367" s="803">
        <f>+C356+C362+C363+C364</f>
        <v>12606</v>
      </c>
      <c r="D367" s="803">
        <f t="shared" ref="D367:O367" si="197">+D356+D362+D363+D364</f>
        <v>4160</v>
      </c>
      <c r="E367" s="803">
        <f t="shared" si="197"/>
        <v>62665</v>
      </c>
      <c r="F367" s="803">
        <f t="shared" si="197"/>
        <v>0</v>
      </c>
      <c r="G367" s="803">
        <f t="shared" si="197"/>
        <v>0</v>
      </c>
      <c r="H367" s="803">
        <f t="shared" si="197"/>
        <v>79431</v>
      </c>
      <c r="I367" s="803">
        <f t="shared" si="197"/>
        <v>2100</v>
      </c>
      <c r="J367" s="803">
        <f t="shared" si="197"/>
        <v>0</v>
      </c>
      <c r="K367" s="803">
        <f t="shared" si="197"/>
        <v>0</v>
      </c>
      <c r="L367" s="803">
        <f t="shared" si="197"/>
        <v>2100</v>
      </c>
      <c r="M367" s="803">
        <f t="shared" si="197"/>
        <v>81531</v>
      </c>
      <c r="N367" s="803">
        <f t="shared" si="197"/>
        <v>0</v>
      </c>
      <c r="O367" s="803">
        <f t="shared" si="197"/>
        <v>81531</v>
      </c>
    </row>
    <row r="368" spans="1:16" ht="33.75" customHeight="1" thickTop="1" x14ac:dyDescent="0.25">
      <c r="A368" s="692" t="s">
        <v>18</v>
      </c>
      <c r="B368" s="804" t="s">
        <v>685</v>
      </c>
      <c r="C368" s="737"/>
      <c r="D368" s="738"/>
      <c r="E368" s="713"/>
      <c r="F368" s="739"/>
      <c r="G368" s="738"/>
      <c r="H368" s="705"/>
      <c r="I368" s="740"/>
      <c r="J368" s="739"/>
      <c r="K368" s="739"/>
      <c r="L368" s="705"/>
      <c r="M368" s="710"/>
      <c r="N368" s="710"/>
      <c r="O368" s="710"/>
    </row>
    <row r="369" spans="1:15" x14ac:dyDescent="0.25">
      <c r="A369" s="735"/>
      <c r="B369" s="801" t="s">
        <v>363</v>
      </c>
      <c r="C369" s="712">
        <v>28443</v>
      </c>
      <c r="D369" s="713">
        <v>5620</v>
      </c>
      <c r="E369" s="713">
        <v>19651</v>
      </c>
      <c r="F369" s="714"/>
      <c r="G369" s="713"/>
      <c r="H369" s="705">
        <f>SUM(C369:G369)</f>
        <v>53714</v>
      </c>
      <c r="I369" s="717">
        <v>536</v>
      </c>
      <c r="J369" s="714"/>
      <c r="K369" s="714"/>
      <c r="L369" s="705">
        <f>SUM(I369:K369)</f>
        <v>536</v>
      </c>
      <c r="M369" s="705">
        <f>SUM(H369+L369)</f>
        <v>54250</v>
      </c>
      <c r="N369" s="705"/>
      <c r="O369" s="705">
        <f>SUM(M369+N369)</f>
        <v>54250</v>
      </c>
    </row>
    <row r="370" spans="1:15" s="702" customFormat="1" x14ac:dyDescent="0.25">
      <c r="A370" s="693"/>
      <c r="B370" s="772" t="s">
        <v>408</v>
      </c>
      <c r="C370" s="707">
        <v>28443</v>
      </c>
      <c r="D370" s="708">
        <v>5620</v>
      </c>
      <c r="E370" s="708">
        <v>19651</v>
      </c>
      <c r="F370" s="742"/>
      <c r="G370" s="763"/>
      <c r="H370" s="709">
        <f>SUM(C370:G370)</f>
        <v>53714</v>
      </c>
      <c r="I370" s="741">
        <v>536</v>
      </c>
      <c r="J370" s="742"/>
      <c r="K370" s="763"/>
      <c r="L370" s="710">
        <f>SUM(I370:K370)</f>
        <v>536</v>
      </c>
      <c r="M370" s="773">
        <f>SUM(H370+L370)</f>
        <v>54250</v>
      </c>
      <c r="N370" s="773"/>
      <c r="O370" s="773">
        <f>SUM(M370+N370)</f>
        <v>54250</v>
      </c>
    </row>
    <row r="371" spans="1:15" s="702" customFormat="1" x14ac:dyDescent="0.25">
      <c r="A371" s="736"/>
      <c r="B371" s="694" t="s">
        <v>133</v>
      </c>
      <c r="C371" s="695"/>
      <c r="D371" s="696"/>
      <c r="E371" s="696"/>
      <c r="F371" s="697"/>
      <c r="G371" s="761"/>
      <c r="H371" s="698"/>
      <c r="I371" s="704"/>
      <c r="J371" s="697"/>
      <c r="K371" s="761"/>
      <c r="L371" s="705"/>
      <c r="M371" s="701"/>
      <c r="N371" s="701"/>
      <c r="O371" s="701"/>
    </row>
    <row r="372" spans="1:15" s="702" customFormat="1" x14ac:dyDescent="0.25">
      <c r="A372" s="736"/>
      <c r="B372" s="774" t="s">
        <v>1210</v>
      </c>
      <c r="C372" s="712">
        <v>90</v>
      </c>
      <c r="D372" s="713">
        <v>15</v>
      </c>
      <c r="E372" s="713"/>
      <c r="F372" s="714"/>
      <c r="G372" s="766"/>
      <c r="H372" s="705">
        <f t="shared" ref="H372:H375" si="198">SUM(C372:G372)</f>
        <v>105</v>
      </c>
      <c r="I372" s="717"/>
      <c r="J372" s="714"/>
      <c r="K372" s="766"/>
      <c r="L372" s="705">
        <f t="shared" ref="L372:L375" si="199">SUM(I372:K372)</f>
        <v>0</v>
      </c>
      <c r="M372" s="706">
        <f t="shared" ref="M372:M375" si="200">SUM(H372+L372)</f>
        <v>105</v>
      </c>
      <c r="N372" s="706"/>
      <c r="O372" s="706">
        <f t="shared" ref="O372:O375" si="201">SUM(M372+N372)</f>
        <v>105</v>
      </c>
    </row>
    <row r="373" spans="1:15" s="702" customFormat="1" x14ac:dyDescent="0.25">
      <c r="A373" s="736"/>
      <c r="B373" s="774" t="s">
        <v>1219</v>
      </c>
      <c r="C373" s="712">
        <v>68</v>
      </c>
      <c r="D373" s="713">
        <v>22</v>
      </c>
      <c r="E373" s="713"/>
      <c r="F373" s="714"/>
      <c r="G373" s="766"/>
      <c r="H373" s="705">
        <f t="shared" si="198"/>
        <v>90</v>
      </c>
      <c r="I373" s="717"/>
      <c r="J373" s="714"/>
      <c r="K373" s="766"/>
      <c r="L373" s="705">
        <f t="shared" si="199"/>
        <v>0</v>
      </c>
      <c r="M373" s="706">
        <f t="shared" si="200"/>
        <v>90</v>
      </c>
      <c r="N373" s="706"/>
      <c r="O373" s="706">
        <f t="shared" si="201"/>
        <v>90</v>
      </c>
    </row>
    <row r="374" spans="1:15" s="702" customFormat="1" ht="31.5" x14ac:dyDescent="0.25">
      <c r="A374" s="736"/>
      <c r="B374" s="774" t="s">
        <v>675</v>
      </c>
      <c r="C374" s="712"/>
      <c r="D374" s="713"/>
      <c r="E374" s="713">
        <v>-1627</v>
      </c>
      <c r="F374" s="714"/>
      <c r="G374" s="766"/>
      <c r="H374" s="705">
        <f t="shared" si="198"/>
        <v>-1627</v>
      </c>
      <c r="I374" s="717">
        <v>1627</v>
      </c>
      <c r="J374" s="714"/>
      <c r="K374" s="766"/>
      <c r="L374" s="705">
        <f t="shared" si="199"/>
        <v>1627</v>
      </c>
      <c r="M374" s="706">
        <f t="shared" si="200"/>
        <v>0</v>
      </c>
      <c r="N374" s="706"/>
      <c r="O374" s="706">
        <f t="shared" si="201"/>
        <v>0</v>
      </c>
    </row>
    <row r="375" spans="1:15" s="702" customFormat="1" ht="32.25" thickBot="1" x14ac:dyDescent="0.3">
      <c r="A375" s="736"/>
      <c r="B375" s="774" t="s">
        <v>935</v>
      </c>
      <c r="C375" s="712"/>
      <c r="D375" s="713"/>
      <c r="E375" s="713">
        <v>195</v>
      </c>
      <c r="F375" s="714"/>
      <c r="G375" s="766"/>
      <c r="H375" s="705">
        <f t="shared" si="198"/>
        <v>195</v>
      </c>
      <c r="I375" s="717"/>
      <c r="J375" s="714"/>
      <c r="K375" s="766"/>
      <c r="L375" s="705">
        <f t="shared" si="199"/>
        <v>0</v>
      </c>
      <c r="M375" s="706">
        <f t="shared" si="200"/>
        <v>195</v>
      </c>
      <c r="N375" s="706"/>
      <c r="O375" s="706">
        <f t="shared" si="201"/>
        <v>195</v>
      </c>
    </row>
    <row r="376" spans="1:15" ht="17.25" thickTop="1" thickBot="1" x14ac:dyDescent="0.3">
      <c r="A376" s="703"/>
      <c r="B376" s="802" t="s">
        <v>400</v>
      </c>
      <c r="C376" s="803">
        <f>+C369+C372+C373+C374+C375</f>
        <v>28601</v>
      </c>
      <c r="D376" s="803">
        <f t="shared" ref="D376:O376" si="202">+D369+D372+D373+D374+D375</f>
        <v>5657</v>
      </c>
      <c r="E376" s="803">
        <f t="shared" si="202"/>
        <v>18219</v>
      </c>
      <c r="F376" s="803">
        <f t="shared" si="202"/>
        <v>0</v>
      </c>
      <c r="G376" s="803">
        <f t="shared" si="202"/>
        <v>0</v>
      </c>
      <c r="H376" s="803">
        <f t="shared" si="202"/>
        <v>52477</v>
      </c>
      <c r="I376" s="803">
        <f t="shared" si="202"/>
        <v>2163</v>
      </c>
      <c r="J376" s="803">
        <f t="shared" si="202"/>
        <v>0</v>
      </c>
      <c r="K376" s="803">
        <f t="shared" si="202"/>
        <v>0</v>
      </c>
      <c r="L376" s="803">
        <f t="shared" si="202"/>
        <v>2163</v>
      </c>
      <c r="M376" s="803">
        <f t="shared" si="202"/>
        <v>54640</v>
      </c>
      <c r="N376" s="803">
        <f t="shared" si="202"/>
        <v>0</v>
      </c>
      <c r="O376" s="803">
        <f t="shared" si="202"/>
        <v>54640</v>
      </c>
    </row>
    <row r="377" spans="1:15" ht="17.25" thickTop="1" thickBot="1" x14ac:dyDescent="0.3">
      <c r="A377" s="703"/>
      <c r="B377" s="802" t="s">
        <v>407</v>
      </c>
      <c r="C377" s="803">
        <f>+C370+C372+C373+C374+C375</f>
        <v>28601</v>
      </c>
      <c r="D377" s="803">
        <f t="shared" ref="D377:O377" si="203">+D370+D372+D373+D374+D375</f>
        <v>5657</v>
      </c>
      <c r="E377" s="803">
        <f t="shared" si="203"/>
        <v>18219</v>
      </c>
      <c r="F377" s="803">
        <f t="shared" si="203"/>
        <v>0</v>
      </c>
      <c r="G377" s="803">
        <f t="shared" si="203"/>
        <v>0</v>
      </c>
      <c r="H377" s="803">
        <f t="shared" si="203"/>
        <v>52477</v>
      </c>
      <c r="I377" s="803">
        <f t="shared" si="203"/>
        <v>2163</v>
      </c>
      <c r="J377" s="803">
        <f t="shared" si="203"/>
        <v>0</v>
      </c>
      <c r="K377" s="803">
        <f t="shared" si="203"/>
        <v>0</v>
      </c>
      <c r="L377" s="803">
        <f t="shared" si="203"/>
        <v>2163</v>
      </c>
      <c r="M377" s="803">
        <f t="shared" si="203"/>
        <v>54640</v>
      </c>
      <c r="N377" s="803">
        <f t="shared" si="203"/>
        <v>0</v>
      </c>
      <c r="O377" s="803">
        <f t="shared" si="203"/>
        <v>54640</v>
      </c>
    </row>
    <row r="378" spans="1:15" ht="16.5" thickTop="1" x14ac:dyDescent="0.25">
      <c r="A378" s="692" t="s">
        <v>19</v>
      </c>
      <c r="B378" s="804" t="s">
        <v>410</v>
      </c>
      <c r="C378" s="737"/>
      <c r="D378" s="738"/>
      <c r="E378" s="713"/>
      <c r="F378" s="739"/>
      <c r="G378" s="738"/>
      <c r="H378" s="705"/>
      <c r="I378" s="740"/>
      <c r="J378" s="739"/>
      <c r="K378" s="739"/>
      <c r="L378" s="705"/>
      <c r="M378" s="710"/>
      <c r="N378" s="710"/>
      <c r="O378" s="710"/>
    </row>
    <row r="379" spans="1:15" x14ac:dyDescent="0.25">
      <c r="A379" s="735"/>
      <c r="B379" s="801" t="s">
        <v>363</v>
      </c>
      <c r="C379" s="712">
        <v>156925</v>
      </c>
      <c r="D379" s="713">
        <v>33673</v>
      </c>
      <c r="E379" s="713">
        <v>190354</v>
      </c>
      <c r="F379" s="714"/>
      <c r="G379" s="713"/>
      <c r="H379" s="705">
        <f>SUM(C379:G379)</f>
        <v>380952</v>
      </c>
      <c r="I379" s="717">
        <v>9482</v>
      </c>
      <c r="J379" s="714"/>
      <c r="K379" s="714"/>
      <c r="L379" s="705">
        <f>SUM(I379:K379)</f>
        <v>9482</v>
      </c>
      <c r="M379" s="706">
        <f>SUM(H379+L379)</f>
        <v>390434</v>
      </c>
      <c r="N379" s="706"/>
      <c r="O379" s="706">
        <f>SUM(M379+N379)</f>
        <v>390434</v>
      </c>
    </row>
    <row r="380" spans="1:15" s="702" customFormat="1" x14ac:dyDescent="0.25">
      <c r="A380" s="736"/>
      <c r="B380" s="694" t="s">
        <v>408</v>
      </c>
      <c r="C380" s="695">
        <v>156925</v>
      </c>
      <c r="D380" s="696">
        <v>33673</v>
      </c>
      <c r="E380" s="696">
        <v>190354</v>
      </c>
      <c r="F380" s="697"/>
      <c r="G380" s="761"/>
      <c r="H380" s="698">
        <f>SUM(C380:G380)</f>
        <v>380952</v>
      </c>
      <c r="I380" s="704">
        <v>9482</v>
      </c>
      <c r="J380" s="697"/>
      <c r="K380" s="761"/>
      <c r="L380" s="698">
        <f>SUM(I380:K380)</f>
        <v>9482</v>
      </c>
      <c r="M380" s="701">
        <f>SUM(H380+L380)</f>
        <v>390434</v>
      </c>
      <c r="N380" s="701"/>
      <c r="O380" s="701">
        <f>SUM(M380+N380)</f>
        <v>390434</v>
      </c>
    </row>
    <row r="381" spans="1:15" s="702" customFormat="1" x14ac:dyDescent="0.25">
      <c r="A381" s="736"/>
      <c r="B381" s="694" t="s">
        <v>133</v>
      </c>
      <c r="C381" s="695"/>
      <c r="D381" s="696"/>
      <c r="E381" s="696"/>
      <c r="F381" s="697"/>
      <c r="G381" s="761"/>
      <c r="H381" s="698"/>
      <c r="I381" s="704"/>
      <c r="J381" s="697"/>
      <c r="K381" s="761"/>
      <c r="L381" s="698"/>
      <c r="M381" s="701"/>
      <c r="N381" s="701"/>
      <c r="O381" s="701"/>
    </row>
    <row r="382" spans="1:15" s="702" customFormat="1" x14ac:dyDescent="0.25">
      <c r="A382" s="736"/>
      <c r="B382" s="774" t="s">
        <v>1210</v>
      </c>
      <c r="C382" s="712">
        <v>764</v>
      </c>
      <c r="D382" s="713">
        <v>134</v>
      </c>
      <c r="E382" s="713"/>
      <c r="F382" s="714"/>
      <c r="G382" s="766"/>
      <c r="H382" s="705">
        <f t="shared" ref="H382:H385" si="204">SUM(C382:G382)</f>
        <v>898</v>
      </c>
      <c r="I382" s="717"/>
      <c r="J382" s="714"/>
      <c r="K382" s="766"/>
      <c r="L382" s="705">
        <f t="shared" ref="L382:L385" si="205">SUM(I382:K382)</f>
        <v>0</v>
      </c>
      <c r="M382" s="706">
        <f t="shared" ref="M382:M385" si="206">SUM(H382+L382)</f>
        <v>898</v>
      </c>
      <c r="N382" s="706"/>
      <c r="O382" s="706">
        <f t="shared" ref="O382:O385" si="207">SUM(M382+N382)</f>
        <v>898</v>
      </c>
    </row>
    <row r="383" spans="1:15" s="702" customFormat="1" x14ac:dyDescent="0.25">
      <c r="A383" s="736"/>
      <c r="B383" s="774" t="s">
        <v>1219</v>
      </c>
      <c r="C383" s="712">
        <v>676</v>
      </c>
      <c r="D383" s="713">
        <v>220</v>
      </c>
      <c r="E383" s="713"/>
      <c r="F383" s="714"/>
      <c r="G383" s="766"/>
      <c r="H383" s="705">
        <f t="shared" si="204"/>
        <v>896</v>
      </c>
      <c r="I383" s="717"/>
      <c r="J383" s="714"/>
      <c r="K383" s="766"/>
      <c r="L383" s="705">
        <f t="shared" si="205"/>
        <v>0</v>
      </c>
      <c r="M383" s="706">
        <f t="shared" si="206"/>
        <v>896</v>
      </c>
      <c r="N383" s="706"/>
      <c r="O383" s="706">
        <f t="shared" si="207"/>
        <v>896</v>
      </c>
    </row>
    <row r="384" spans="1:15" s="702" customFormat="1" ht="31.5" x14ac:dyDescent="0.25">
      <c r="A384" s="736"/>
      <c r="B384" s="774" t="s">
        <v>675</v>
      </c>
      <c r="C384" s="712">
        <v>9009</v>
      </c>
      <c r="D384" s="713">
        <v>1419</v>
      </c>
      <c r="E384" s="713">
        <v>-36198</v>
      </c>
      <c r="F384" s="714"/>
      <c r="G384" s="766"/>
      <c r="H384" s="705">
        <f t="shared" si="204"/>
        <v>-25770</v>
      </c>
      <c r="I384" s="717">
        <v>25770</v>
      </c>
      <c r="J384" s="714"/>
      <c r="K384" s="766"/>
      <c r="L384" s="705">
        <f t="shared" si="205"/>
        <v>25770</v>
      </c>
      <c r="M384" s="706">
        <f t="shared" si="206"/>
        <v>0</v>
      </c>
      <c r="N384" s="706"/>
      <c r="O384" s="706">
        <f t="shared" si="207"/>
        <v>0</v>
      </c>
    </row>
    <row r="385" spans="1:15" s="702" customFormat="1" ht="32.25" thickBot="1" x14ac:dyDescent="0.3">
      <c r="A385" s="736"/>
      <c r="B385" s="774" t="s">
        <v>935</v>
      </c>
      <c r="C385" s="712"/>
      <c r="D385" s="713"/>
      <c r="E385" s="713">
        <v>12287</v>
      </c>
      <c r="F385" s="714"/>
      <c r="G385" s="766"/>
      <c r="H385" s="705">
        <f t="shared" si="204"/>
        <v>12287</v>
      </c>
      <c r="I385" s="717"/>
      <c r="J385" s="714"/>
      <c r="K385" s="766"/>
      <c r="L385" s="705">
        <f t="shared" si="205"/>
        <v>0</v>
      </c>
      <c r="M385" s="706">
        <f t="shared" si="206"/>
        <v>12287</v>
      </c>
      <c r="N385" s="706"/>
      <c r="O385" s="706">
        <f t="shared" si="207"/>
        <v>12287</v>
      </c>
    </row>
    <row r="386" spans="1:15" ht="17.25" thickTop="1" thickBot="1" x14ac:dyDescent="0.3">
      <c r="A386" s="703"/>
      <c r="B386" s="802" t="s">
        <v>400</v>
      </c>
      <c r="C386" s="803">
        <f>+C379+C382+C383+C384+C385</f>
        <v>167374</v>
      </c>
      <c r="D386" s="803">
        <f t="shared" ref="D386:O386" si="208">+D379+D382+D383+D384+D385</f>
        <v>35446</v>
      </c>
      <c r="E386" s="803">
        <f t="shared" si="208"/>
        <v>166443</v>
      </c>
      <c r="F386" s="803">
        <f t="shared" si="208"/>
        <v>0</v>
      </c>
      <c r="G386" s="803">
        <f t="shared" si="208"/>
        <v>0</v>
      </c>
      <c r="H386" s="803">
        <f t="shared" si="208"/>
        <v>369263</v>
      </c>
      <c r="I386" s="803">
        <f t="shared" si="208"/>
        <v>35252</v>
      </c>
      <c r="J386" s="803">
        <f t="shared" si="208"/>
        <v>0</v>
      </c>
      <c r="K386" s="803">
        <f t="shared" si="208"/>
        <v>0</v>
      </c>
      <c r="L386" s="803">
        <f t="shared" si="208"/>
        <v>35252</v>
      </c>
      <c r="M386" s="803">
        <f t="shared" si="208"/>
        <v>404515</v>
      </c>
      <c r="N386" s="803">
        <f t="shared" si="208"/>
        <v>0</v>
      </c>
      <c r="O386" s="803">
        <f t="shared" si="208"/>
        <v>404515</v>
      </c>
    </row>
    <row r="387" spans="1:15" ht="17.25" thickTop="1" thickBot="1" x14ac:dyDescent="0.3">
      <c r="A387" s="703"/>
      <c r="B387" s="802" t="s">
        <v>407</v>
      </c>
      <c r="C387" s="803">
        <f>+C380+C382+C383+C384+C385</f>
        <v>167374</v>
      </c>
      <c r="D387" s="803">
        <f t="shared" ref="D387:O387" si="209">+D380+D382+D383+D384+D385</f>
        <v>35446</v>
      </c>
      <c r="E387" s="803">
        <f t="shared" si="209"/>
        <v>166443</v>
      </c>
      <c r="F387" s="803">
        <f t="shared" si="209"/>
        <v>0</v>
      </c>
      <c r="G387" s="803">
        <f t="shared" si="209"/>
        <v>0</v>
      </c>
      <c r="H387" s="803">
        <f t="shared" si="209"/>
        <v>369263</v>
      </c>
      <c r="I387" s="803">
        <f t="shared" si="209"/>
        <v>35252</v>
      </c>
      <c r="J387" s="803">
        <f t="shared" si="209"/>
        <v>0</v>
      </c>
      <c r="K387" s="803">
        <f t="shared" si="209"/>
        <v>0</v>
      </c>
      <c r="L387" s="803">
        <f t="shared" si="209"/>
        <v>35252</v>
      </c>
      <c r="M387" s="803">
        <f t="shared" si="209"/>
        <v>404515</v>
      </c>
      <c r="N387" s="803">
        <f t="shared" si="209"/>
        <v>0</v>
      </c>
      <c r="O387" s="803">
        <f t="shared" si="209"/>
        <v>404515</v>
      </c>
    </row>
    <row r="388" spans="1:15" ht="16.5" thickTop="1" x14ac:dyDescent="0.25">
      <c r="A388" s="692" t="s">
        <v>20</v>
      </c>
      <c r="B388" s="804" t="s">
        <v>409</v>
      </c>
      <c r="C388" s="737"/>
      <c r="D388" s="738"/>
      <c r="E388" s="713"/>
      <c r="F388" s="739"/>
      <c r="G388" s="738"/>
      <c r="H388" s="705"/>
      <c r="I388" s="740"/>
      <c r="J388" s="739"/>
      <c r="K388" s="739"/>
      <c r="L388" s="705"/>
      <c r="M388" s="710"/>
      <c r="N388" s="710"/>
      <c r="O388" s="710"/>
    </row>
    <row r="389" spans="1:15" ht="16.5" thickBot="1" x14ac:dyDescent="0.3">
      <c r="A389" s="733"/>
      <c r="B389" s="812" t="s">
        <v>363</v>
      </c>
      <c r="C389" s="751">
        <v>483026</v>
      </c>
      <c r="D389" s="752">
        <v>101012</v>
      </c>
      <c r="E389" s="752">
        <v>573347</v>
      </c>
      <c r="F389" s="753"/>
      <c r="G389" s="752"/>
      <c r="H389" s="754">
        <f>SUM(C389:G389)</f>
        <v>1157385</v>
      </c>
      <c r="I389" s="820">
        <v>15118</v>
      </c>
      <c r="J389" s="753"/>
      <c r="K389" s="753"/>
      <c r="L389" s="754">
        <f>SUM(I389:K389)</f>
        <v>15118</v>
      </c>
      <c r="M389" s="754">
        <f>SUM(H389+L389)</f>
        <v>1172503</v>
      </c>
      <c r="N389" s="754"/>
      <c r="O389" s="754">
        <f>SUM(M389+N389)</f>
        <v>1172503</v>
      </c>
    </row>
    <row r="390" spans="1:15" s="702" customFormat="1" x14ac:dyDescent="0.25">
      <c r="A390" s="726"/>
      <c r="B390" s="727" t="s">
        <v>408</v>
      </c>
      <c r="C390" s="728">
        <v>483026</v>
      </c>
      <c r="D390" s="729">
        <v>101012</v>
      </c>
      <c r="E390" s="729">
        <v>573347</v>
      </c>
      <c r="F390" s="730"/>
      <c r="G390" s="729"/>
      <c r="H390" s="731">
        <f>SUM(C390:G390)</f>
        <v>1157385</v>
      </c>
      <c r="I390" s="732">
        <v>15118</v>
      </c>
      <c r="J390" s="730"/>
      <c r="K390" s="730"/>
      <c r="L390" s="731">
        <f>SUM(I390:K390)</f>
        <v>15118</v>
      </c>
      <c r="M390" s="731">
        <f>SUM(H390+L390)</f>
        <v>1172503</v>
      </c>
      <c r="N390" s="731"/>
      <c r="O390" s="731">
        <f>SUM(M390+N390)</f>
        <v>1172503</v>
      </c>
    </row>
    <row r="391" spans="1:15" s="702" customFormat="1" x14ac:dyDescent="0.25">
      <c r="A391" s="736"/>
      <c r="B391" s="694" t="s">
        <v>133</v>
      </c>
      <c r="C391" s="695"/>
      <c r="D391" s="696"/>
      <c r="E391" s="696"/>
      <c r="F391" s="697"/>
      <c r="G391" s="761"/>
      <c r="H391" s="698"/>
      <c r="I391" s="704"/>
      <c r="J391" s="697"/>
      <c r="K391" s="761"/>
      <c r="L391" s="698"/>
      <c r="M391" s="701"/>
      <c r="N391" s="701"/>
      <c r="O391" s="701"/>
    </row>
    <row r="392" spans="1:15" s="702" customFormat="1" x14ac:dyDescent="0.25">
      <c r="A392" s="736"/>
      <c r="B392" s="774" t="s">
        <v>1218</v>
      </c>
      <c r="C392" s="712">
        <v>74</v>
      </c>
      <c r="D392" s="713">
        <v>13</v>
      </c>
      <c r="E392" s="713"/>
      <c r="F392" s="714"/>
      <c r="G392" s="766"/>
      <c r="H392" s="705">
        <f t="shared" ref="H392:H396" si="210">SUM(C392:G392)</f>
        <v>87</v>
      </c>
      <c r="I392" s="717"/>
      <c r="J392" s="714"/>
      <c r="K392" s="766"/>
      <c r="L392" s="705">
        <f t="shared" ref="L392:L396" si="211">SUM(I392:K392)</f>
        <v>0</v>
      </c>
      <c r="M392" s="706">
        <f t="shared" ref="M392:M396" si="212">SUM(H392+L392)</f>
        <v>87</v>
      </c>
      <c r="N392" s="706"/>
      <c r="O392" s="706">
        <f t="shared" ref="O392:O396" si="213">SUM(M392+N392)</f>
        <v>87</v>
      </c>
    </row>
    <row r="393" spans="1:15" s="702" customFormat="1" ht="16.5" thickBot="1" x14ac:dyDescent="0.3">
      <c r="A393" s="969"/>
      <c r="B393" s="970" t="s">
        <v>1210</v>
      </c>
      <c r="C393" s="971">
        <v>1644</v>
      </c>
      <c r="D393" s="971">
        <v>288</v>
      </c>
      <c r="E393" s="971"/>
      <c r="F393" s="971"/>
      <c r="G393" s="971"/>
      <c r="H393" s="971">
        <f t="shared" si="210"/>
        <v>1932</v>
      </c>
      <c r="I393" s="971"/>
      <c r="J393" s="971"/>
      <c r="K393" s="971"/>
      <c r="L393" s="971">
        <f t="shared" si="211"/>
        <v>0</v>
      </c>
      <c r="M393" s="971">
        <f t="shared" si="212"/>
        <v>1932</v>
      </c>
      <c r="N393" s="971"/>
      <c r="O393" s="972">
        <f t="shared" si="213"/>
        <v>1932</v>
      </c>
    </row>
    <row r="394" spans="1:15" s="702" customFormat="1" x14ac:dyDescent="0.25">
      <c r="A394" s="973"/>
      <c r="B394" s="974" t="s">
        <v>1219</v>
      </c>
      <c r="C394" s="975">
        <v>1798</v>
      </c>
      <c r="D394" s="975">
        <v>585</v>
      </c>
      <c r="E394" s="975"/>
      <c r="F394" s="975"/>
      <c r="G394" s="975"/>
      <c r="H394" s="975">
        <f t="shared" si="210"/>
        <v>2383</v>
      </c>
      <c r="I394" s="975"/>
      <c r="J394" s="975"/>
      <c r="K394" s="975"/>
      <c r="L394" s="975">
        <f t="shared" si="211"/>
        <v>0</v>
      </c>
      <c r="M394" s="975">
        <f t="shared" si="212"/>
        <v>2383</v>
      </c>
      <c r="N394" s="975"/>
      <c r="O394" s="976">
        <f t="shared" si="213"/>
        <v>2383</v>
      </c>
    </row>
    <row r="395" spans="1:15" s="702" customFormat="1" ht="31.5" x14ac:dyDescent="0.25">
      <c r="A395" s="736"/>
      <c r="B395" s="774" t="s">
        <v>675</v>
      </c>
      <c r="C395" s="712">
        <v>10539</v>
      </c>
      <c r="D395" s="713">
        <v>1845</v>
      </c>
      <c r="E395" s="713">
        <v>-36911</v>
      </c>
      <c r="F395" s="714"/>
      <c r="G395" s="766"/>
      <c r="H395" s="705">
        <f t="shared" si="210"/>
        <v>-24527</v>
      </c>
      <c r="I395" s="717">
        <v>15445</v>
      </c>
      <c r="J395" s="714">
        <v>9082</v>
      </c>
      <c r="K395" s="766"/>
      <c r="L395" s="705">
        <f t="shared" si="211"/>
        <v>24527</v>
      </c>
      <c r="M395" s="706">
        <f t="shared" si="212"/>
        <v>0</v>
      </c>
      <c r="N395" s="706"/>
      <c r="O395" s="706">
        <f t="shared" si="213"/>
        <v>0</v>
      </c>
    </row>
    <row r="396" spans="1:15" s="702" customFormat="1" ht="32.25" thickBot="1" x14ac:dyDescent="0.3">
      <c r="A396" s="736"/>
      <c r="B396" s="774" t="s">
        <v>935</v>
      </c>
      <c r="C396" s="712">
        <v>9465</v>
      </c>
      <c r="D396" s="713">
        <v>1657</v>
      </c>
      <c r="E396" s="713">
        <v>129669</v>
      </c>
      <c r="F396" s="714"/>
      <c r="G396" s="766"/>
      <c r="H396" s="705">
        <f t="shared" si="210"/>
        <v>140791</v>
      </c>
      <c r="I396" s="717"/>
      <c r="J396" s="714"/>
      <c r="K396" s="766"/>
      <c r="L396" s="705">
        <f t="shared" si="211"/>
        <v>0</v>
      </c>
      <c r="M396" s="706">
        <f t="shared" si="212"/>
        <v>140791</v>
      </c>
      <c r="N396" s="706"/>
      <c r="O396" s="706">
        <f t="shared" si="213"/>
        <v>140791</v>
      </c>
    </row>
    <row r="397" spans="1:15" ht="17.25" thickTop="1" thickBot="1" x14ac:dyDescent="0.3">
      <c r="A397" s="703"/>
      <c r="B397" s="802" t="s">
        <v>400</v>
      </c>
      <c r="C397" s="803">
        <f>+C389+C392+C393+C394+C395+C396</f>
        <v>506546</v>
      </c>
      <c r="D397" s="803">
        <f t="shared" ref="D397:O397" si="214">+D389+D392+D393+D394+D395+D396</f>
        <v>105400</v>
      </c>
      <c r="E397" s="803">
        <f t="shared" si="214"/>
        <v>666105</v>
      </c>
      <c r="F397" s="803">
        <f t="shared" si="214"/>
        <v>0</v>
      </c>
      <c r="G397" s="803">
        <f t="shared" si="214"/>
        <v>0</v>
      </c>
      <c r="H397" s="803">
        <f t="shared" si="214"/>
        <v>1278051</v>
      </c>
      <c r="I397" s="803">
        <f t="shared" si="214"/>
        <v>30563</v>
      </c>
      <c r="J397" s="803">
        <f t="shared" si="214"/>
        <v>9082</v>
      </c>
      <c r="K397" s="803">
        <f t="shared" si="214"/>
        <v>0</v>
      </c>
      <c r="L397" s="803">
        <f t="shared" si="214"/>
        <v>39645</v>
      </c>
      <c r="M397" s="803">
        <f t="shared" si="214"/>
        <v>1317696</v>
      </c>
      <c r="N397" s="803">
        <f t="shared" si="214"/>
        <v>0</v>
      </c>
      <c r="O397" s="803">
        <f t="shared" si="214"/>
        <v>1317696</v>
      </c>
    </row>
    <row r="398" spans="1:15" ht="17.25" thickTop="1" thickBot="1" x14ac:dyDescent="0.3">
      <c r="A398" s="703"/>
      <c r="B398" s="802" t="s">
        <v>407</v>
      </c>
      <c r="C398" s="803">
        <f>+C390+C392+C393+C394+C395+C396</f>
        <v>506546</v>
      </c>
      <c r="D398" s="803">
        <f t="shared" ref="D398:O398" si="215">+D390+D392+D393+D394+D395+D396</f>
        <v>105400</v>
      </c>
      <c r="E398" s="803">
        <f t="shared" si="215"/>
        <v>666105</v>
      </c>
      <c r="F398" s="803">
        <f t="shared" si="215"/>
        <v>0</v>
      </c>
      <c r="G398" s="803">
        <f t="shared" si="215"/>
        <v>0</v>
      </c>
      <c r="H398" s="803">
        <f t="shared" si="215"/>
        <v>1278051</v>
      </c>
      <c r="I398" s="803">
        <f t="shared" si="215"/>
        <v>30563</v>
      </c>
      <c r="J398" s="803">
        <f t="shared" si="215"/>
        <v>9082</v>
      </c>
      <c r="K398" s="803">
        <f t="shared" si="215"/>
        <v>0</v>
      </c>
      <c r="L398" s="803">
        <f t="shared" si="215"/>
        <v>39645</v>
      </c>
      <c r="M398" s="803">
        <f t="shared" si="215"/>
        <v>1317696</v>
      </c>
      <c r="N398" s="803">
        <f t="shared" si="215"/>
        <v>0</v>
      </c>
      <c r="O398" s="803">
        <f t="shared" si="215"/>
        <v>1317696</v>
      </c>
    </row>
    <row r="399" spans="1:15" ht="16.5" thickTop="1" x14ac:dyDescent="0.25">
      <c r="A399" s="692" t="s">
        <v>21</v>
      </c>
      <c r="B399" s="804" t="s">
        <v>674</v>
      </c>
      <c r="C399" s="737"/>
      <c r="D399" s="738"/>
      <c r="E399" s="713"/>
      <c r="F399" s="739"/>
      <c r="G399" s="738"/>
      <c r="H399" s="705"/>
      <c r="I399" s="740"/>
      <c r="J399" s="739"/>
      <c r="K399" s="739"/>
      <c r="L399" s="705"/>
      <c r="M399" s="710"/>
      <c r="N399" s="710"/>
      <c r="O399" s="710"/>
    </row>
    <row r="400" spans="1:15" s="702" customFormat="1" x14ac:dyDescent="0.25">
      <c r="A400" s="736"/>
      <c r="B400" s="774" t="s">
        <v>363</v>
      </c>
      <c r="C400" s="712">
        <v>106122</v>
      </c>
      <c r="D400" s="713">
        <v>20719</v>
      </c>
      <c r="E400" s="713">
        <v>83560</v>
      </c>
      <c r="F400" s="714"/>
      <c r="G400" s="766"/>
      <c r="H400" s="705">
        <f t="shared" ref="H400:H406" si="216">SUM(C400:G400)</f>
        <v>210401</v>
      </c>
      <c r="I400" s="717">
        <v>7039</v>
      </c>
      <c r="J400" s="714"/>
      <c r="K400" s="766"/>
      <c r="L400" s="705">
        <f t="shared" ref="L400:L406" si="217">SUM(I400:K400)</f>
        <v>7039</v>
      </c>
      <c r="M400" s="706">
        <f t="shared" ref="M400:M406" si="218">SUM(H400+L400)</f>
        <v>217440</v>
      </c>
      <c r="N400" s="706"/>
      <c r="O400" s="706">
        <f t="shared" ref="O400:O406" si="219">SUM(M400+N400)</f>
        <v>217440</v>
      </c>
    </row>
    <row r="401" spans="1:15" s="702" customFormat="1" x14ac:dyDescent="0.25">
      <c r="A401" s="767"/>
      <c r="B401" s="694" t="s">
        <v>878</v>
      </c>
      <c r="C401" s="768">
        <v>106122</v>
      </c>
      <c r="D401" s="769">
        <v>20719</v>
      </c>
      <c r="E401" s="770">
        <v>83560</v>
      </c>
      <c r="F401" s="760"/>
      <c r="G401" s="769"/>
      <c r="H401" s="698">
        <f t="shared" si="216"/>
        <v>210401</v>
      </c>
      <c r="I401" s="704">
        <v>7039</v>
      </c>
      <c r="J401" s="697"/>
      <c r="K401" s="697"/>
      <c r="L401" s="705">
        <f t="shared" si="217"/>
        <v>7039</v>
      </c>
      <c r="M401" s="701">
        <f t="shared" si="218"/>
        <v>217440</v>
      </c>
      <c r="N401" s="701"/>
      <c r="O401" s="701">
        <f t="shared" si="219"/>
        <v>217440</v>
      </c>
    </row>
    <row r="402" spans="1:15" s="702" customFormat="1" x14ac:dyDescent="0.25">
      <c r="A402" s="736"/>
      <c r="B402" s="743" t="s">
        <v>133</v>
      </c>
      <c r="C402" s="695"/>
      <c r="D402" s="696"/>
      <c r="E402" s="696"/>
      <c r="F402" s="697"/>
      <c r="G402" s="761"/>
      <c r="H402" s="698"/>
      <c r="I402" s="704"/>
      <c r="J402" s="697"/>
      <c r="K402" s="761"/>
      <c r="L402" s="705"/>
      <c r="M402" s="698"/>
      <c r="N402" s="698"/>
      <c r="O402" s="698"/>
    </row>
    <row r="403" spans="1:15" s="702" customFormat="1" x14ac:dyDescent="0.25">
      <c r="A403" s="736"/>
      <c r="B403" s="774" t="s">
        <v>1210</v>
      </c>
      <c r="C403" s="712">
        <v>259</v>
      </c>
      <c r="D403" s="713">
        <v>45</v>
      </c>
      <c r="E403" s="713"/>
      <c r="F403" s="714"/>
      <c r="G403" s="766"/>
      <c r="H403" s="705">
        <f t="shared" si="216"/>
        <v>304</v>
      </c>
      <c r="I403" s="717"/>
      <c r="J403" s="714"/>
      <c r="K403" s="766"/>
      <c r="L403" s="705">
        <f t="shared" si="217"/>
        <v>0</v>
      </c>
      <c r="M403" s="705">
        <f t="shared" si="218"/>
        <v>304</v>
      </c>
      <c r="N403" s="705"/>
      <c r="O403" s="705">
        <f t="shared" si="219"/>
        <v>304</v>
      </c>
    </row>
    <row r="404" spans="1:15" s="702" customFormat="1" x14ac:dyDescent="0.25">
      <c r="A404" s="736"/>
      <c r="B404" s="774" t="s">
        <v>1219</v>
      </c>
      <c r="C404" s="712">
        <v>340</v>
      </c>
      <c r="D404" s="713">
        <v>112</v>
      </c>
      <c r="E404" s="713"/>
      <c r="F404" s="714"/>
      <c r="G404" s="766"/>
      <c r="H404" s="705">
        <f t="shared" si="216"/>
        <v>452</v>
      </c>
      <c r="I404" s="717"/>
      <c r="J404" s="714"/>
      <c r="K404" s="766"/>
      <c r="L404" s="705">
        <f t="shared" si="217"/>
        <v>0</v>
      </c>
      <c r="M404" s="706">
        <f t="shared" si="218"/>
        <v>452</v>
      </c>
      <c r="N404" s="706"/>
      <c r="O404" s="706">
        <f t="shared" si="219"/>
        <v>452</v>
      </c>
    </row>
    <row r="405" spans="1:15" s="702" customFormat="1" ht="31.5" x14ac:dyDescent="0.25">
      <c r="A405" s="736"/>
      <c r="B405" s="774" t="s">
        <v>675</v>
      </c>
      <c r="C405" s="712"/>
      <c r="D405" s="713"/>
      <c r="E405" s="713">
        <v>-1076</v>
      </c>
      <c r="F405" s="714"/>
      <c r="G405" s="766"/>
      <c r="H405" s="705">
        <f t="shared" si="216"/>
        <v>-1076</v>
      </c>
      <c r="I405" s="717">
        <v>1076</v>
      </c>
      <c r="J405" s="714"/>
      <c r="K405" s="766"/>
      <c r="L405" s="705">
        <f t="shared" si="217"/>
        <v>1076</v>
      </c>
      <c r="M405" s="706">
        <f t="shared" si="218"/>
        <v>0</v>
      </c>
      <c r="N405" s="706"/>
      <c r="O405" s="706">
        <f t="shared" si="219"/>
        <v>0</v>
      </c>
    </row>
    <row r="406" spans="1:15" s="702" customFormat="1" ht="32.25" thickBot="1" x14ac:dyDescent="0.3">
      <c r="A406" s="736"/>
      <c r="B406" s="774" t="s">
        <v>935</v>
      </c>
      <c r="C406" s="712"/>
      <c r="D406" s="713"/>
      <c r="E406" s="713">
        <v>60851</v>
      </c>
      <c r="F406" s="714"/>
      <c r="G406" s="766"/>
      <c r="H406" s="705">
        <f t="shared" si="216"/>
        <v>60851</v>
      </c>
      <c r="I406" s="717"/>
      <c r="J406" s="714"/>
      <c r="K406" s="766"/>
      <c r="L406" s="705">
        <f t="shared" si="217"/>
        <v>0</v>
      </c>
      <c r="M406" s="706">
        <f t="shared" si="218"/>
        <v>60851</v>
      </c>
      <c r="N406" s="706"/>
      <c r="O406" s="706">
        <f t="shared" si="219"/>
        <v>60851</v>
      </c>
    </row>
    <row r="407" spans="1:15" ht="17.25" thickTop="1" thickBot="1" x14ac:dyDescent="0.3">
      <c r="A407" s="703"/>
      <c r="B407" s="802" t="s">
        <v>400</v>
      </c>
      <c r="C407" s="803">
        <f>+C400+C403+C404+C405+C406</f>
        <v>106721</v>
      </c>
      <c r="D407" s="803">
        <f t="shared" ref="D407:O407" si="220">+D400+D403+D404+D405+D406</f>
        <v>20876</v>
      </c>
      <c r="E407" s="803">
        <f t="shared" si="220"/>
        <v>143335</v>
      </c>
      <c r="F407" s="803">
        <f t="shared" si="220"/>
        <v>0</v>
      </c>
      <c r="G407" s="803">
        <f t="shared" si="220"/>
        <v>0</v>
      </c>
      <c r="H407" s="803">
        <f t="shared" si="220"/>
        <v>270932</v>
      </c>
      <c r="I407" s="803">
        <f t="shared" si="220"/>
        <v>8115</v>
      </c>
      <c r="J407" s="803">
        <f t="shared" si="220"/>
        <v>0</v>
      </c>
      <c r="K407" s="803">
        <f t="shared" si="220"/>
        <v>0</v>
      </c>
      <c r="L407" s="803">
        <f t="shared" si="220"/>
        <v>8115</v>
      </c>
      <c r="M407" s="803">
        <f t="shared" si="220"/>
        <v>279047</v>
      </c>
      <c r="N407" s="803">
        <f t="shared" si="220"/>
        <v>0</v>
      </c>
      <c r="O407" s="803">
        <f t="shared" si="220"/>
        <v>279047</v>
      </c>
    </row>
    <row r="408" spans="1:15" ht="17.25" thickTop="1" thickBot="1" x14ac:dyDescent="0.3">
      <c r="A408" s="703"/>
      <c r="B408" s="802" t="s">
        <v>407</v>
      </c>
      <c r="C408" s="803">
        <f>+C401+C403+C404+C405+C406</f>
        <v>106721</v>
      </c>
      <c r="D408" s="803">
        <f t="shared" ref="D408:O408" si="221">+D401+D403+D404+D405+D406</f>
        <v>20876</v>
      </c>
      <c r="E408" s="803">
        <f t="shared" si="221"/>
        <v>143335</v>
      </c>
      <c r="F408" s="803">
        <f t="shared" si="221"/>
        <v>0</v>
      </c>
      <c r="G408" s="803">
        <f t="shared" si="221"/>
        <v>0</v>
      </c>
      <c r="H408" s="803">
        <f t="shared" si="221"/>
        <v>270932</v>
      </c>
      <c r="I408" s="803">
        <f t="shared" si="221"/>
        <v>8115</v>
      </c>
      <c r="J408" s="803">
        <f t="shared" si="221"/>
        <v>0</v>
      </c>
      <c r="K408" s="803">
        <f t="shared" si="221"/>
        <v>0</v>
      </c>
      <c r="L408" s="803">
        <f t="shared" si="221"/>
        <v>8115</v>
      </c>
      <c r="M408" s="803">
        <f t="shared" si="221"/>
        <v>279047</v>
      </c>
      <c r="N408" s="803">
        <f t="shared" si="221"/>
        <v>0</v>
      </c>
      <c r="O408" s="803">
        <f t="shared" si="221"/>
        <v>279047</v>
      </c>
    </row>
    <row r="409" spans="1:15" ht="16.5" thickTop="1" x14ac:dyDescent="0.25">
      <c r="A409" s="692" t="s">
        <v>672</v>
      </c>
      <c r="B409" s="804" t="s">
        <v>406</v>
      </c>
      <c r="C409" s="737"/>
      <c r="D409" s="713"/>
      <c r="E409" s="713"/>
      <c r="F409" s="714"/>
      <c r="G409" s="738"/>
      <c r="H409" s="705"/>
      <c r="I409" s="740"/>
      <c r="J409" s="739"/>
      <c r="K409" s="739"/>
      <c r="L409" s="705"/>
      <c r="M409" s="710"/>
      <c r="N409" s="710"/>
      <c r="O409" s="710"/>
    </row>
    <row r="410" spans="1:15" x14ac:dyDescent="0.25">
      <c r="A410" s="692"/>
      <c r="B410" s="774" t="s">
        <v>363</v>
      </c>
      <c r="C410" s="737">
        <v>113258</v>
      </c>
      <c r="D410" s="713">
        <v>22472</v>
      </c>
      <c r="E410" s="713">
        <v>150939</v>
      </c>
      <c r="F410" s="714"/>
      <c r="G410" s="738"/>
      <c r="H410" s="705">
        <f>SUM(C410:G410)</f>
        <v>286669</v>
      </c>
      <c r="I410" s="717">
        <v>10219</v>
      </c>
      <c r="J410" s="714"/>
      <c r="K410" s="714"/>
      <c r="L410" s="705">
        <f>SUM(I410:K410)</f>
        <v>10219</v>
      </c>
      <c r="M410" s="706">
        <f>SUM(H410+L410)</f>
        <v>296888</v>
      </c>
      <c r="N410" s="706"/>
      <c r="O410" s="706">
        <f>SUM(M410+N410)</f>
        <v>296888</v>
      </c>
    </row>
    <row r="411" spans="1:15" s="702" customFormat="1" x14ac:dyDescent="0.25">
      <c r="A411" s="693"/>
      <c r="B411" s="694" t="s">
        <v>402</v>
      </c>
      <c r="C411" s="707">
        <v>100584</v>
      </c>
      <c r="D411" s="696">
        <v>19769</v>
      </c>
      <c r="E411" s="696">
        <v>126950</v>
      </c>
      <c r="F411" s="697"/>
      <c r="G411" s="708"/>
      <c r="H411" s="698">
        <f>SUM(C411:G411)</f>
        <v>247303</v>
      </c>
      <c r="I411" s="704">
        <v>351</v>
      </c>
      <c r="J411" s="697"/>
      <c r="K411" s="697"/>
      <c r="L411" s="698">
        <f>SUM(I411:K411)</f>
        <v>351</v>
      </c>
      <c r="M411" s="701">
        <f>SUM(H411+L411)</f>
        <v>247654</v>
      </c>
      <c r="N411" s="701"/>
      <c r="O411" s="701">
        <f>SUM(M411+N411)</f>
        <v>247654</v>
      </c>
    </row>
    <row r="412" spans="1:15" s="702" customFormat="1" x14ac:dyDescent="0.25">
      <c r="A412" s="693"/>
      <c r="B412" s="694" t="s">
        <v>401</v>
      </c>
      <c r="C412" s="707">
        <v>12674</v>
      </c>
      <c r="D412" s="696">
        <v>2703</v>
      </c>
      <c r="E412" s="696">
        <v>23989</v>
      </c>
      <c r="F412" s="697"/>
      <c r="G412" s="708"/>
      <c r="H412" s="698">
        <f>SUM(C412:G412)</f>
        <v>39366</v>
      </c>
      <c r="I412" s="704">
        <v>9868</v>
      </c>
      <c r="J412" s="697"/>
      <c r="K412" s="697"/>
      <c r="L412" s="698">
        <f>SUM(I412:K412)</f>
        <v>9868</v>
      </c>
      <c r="M412" s="701">
        <f>SUM(H412+L412)</f>
        <v>49234</v>
      </c>
      <c r="N412" s="701"/>
      <c r="O412" s="701">
        <f>SUM(M412+N412)</f>
        <v>49234</v>
      </c>
    </row>
    <row r="413" spans="1:15" s="702" customFormat="1" x14ac:dyDescent="0.25">
      <c r="A413" s="693"/>
      <c r="B413" s="694" t="s">
        <v>132</v>
      </c>
      <c r="C413" s="707"/>
      <c r="D413" s="696"/>
      <c r="E413" s="696"/>
      <c r="F413" s="697"/>
      <c r="G413" s="708"/>
      <c r="H413" s="698"/>
      <c r="I413" s="704"/>
      <c r="J413" s="697"/>
      <c r="K413" s="697"/>
      <c r="L413" s="698"/>
      <c r="M413" s="701"/>
      <c r="N413" s="701"/>
      <c r="O413" s="701"/>
    </row>
    <row r="414" spans="1:15" s="702" customFormat="1" x14ac:dyDescent="0.25">
      <c r="A414" s="693"/>
      <c r="B414" s="774" t="s">
        <v>1210</v>
      </c>
      <c r="C414" s="737">
        <v>455</v>
      </c>
      <c r="D414" s="713">
        <v>80</v>
      </c>
      <c r="E414" s="713"/>
      <c r="F414" s="714"/>
      <c r="G414" s="738"/>
      <c r="H414" s="705">
        <f t="shared" ref="H414:H420" si="222">SUM(C414:G414)</f>
        <v>535</v>
      </c>
      <c r="I414" s="717"/>
      <c r="J414" s="714"/>
      <c r="K414" s="714"/>
      <c r="L414" s="705">
        <f t="shared" ref="L414:L420" si="223">SUM(I414:K414)</f>
        <v>0</v>
      </c>
      <c r="M414" s="706">
        <f t="shared" ref="M414:M420" si="224">SUM(H414+L414)</f>
        <v>535</v>
      </c>
      <c r="N414" s="706"/>
      <c r="O414" s="706">
        <f t="shared" ref="O414:O420" si="225">SUM(M414+N414)</f>
        <v>535</v>
      </c>
    </row>
    <row r="415" spans="1:15" s="702" customFormat="1" x14ac:dyDescent="0.25">
      <c r="A415" s="693"/>
      <c r="B415" s="694" t="s">
        <v>133</v>
      </c>
      <c r="C415" s="737"/>
      <c r="D415" s="713"/>
      <c r="E415" s="713"/>
      <c r="F415" s="714"/>
      <c r="G415" s="738"/>
      <c r="H415" s="705"/>
      <c r="I415" s="717"/>
      <c r="J415" s="714"/>
      <c r="K415" s="714"/>
      <c r="L415" s="705"/>
      <c r="M415" s="706"/>
      <c r="N415" s="706"/>
      <c r="O415" s="706"/>
    </row>
    <row r="416" spans="1:15" s="702" customFormat="1" ht="81.75" customHeight="1" x14ac:dyDescent="0.25">
      <c r="A416" s="693"/>
      <c r="B416" s="774" t="s">
        <v>1213</v>
      </c>
      <c r="C416" s="737"/>
      <c r="D416" s="713"/>
      <c r="E416" s="713">
        <v>150</v>
      </c>
      <c r="F416" s="714"/>
      <c r="G416" s="738"/>
      <c r="H416" s="705">
        <f t="shared" si="222"/>
        <v>150</v>
      </c>
      <c r="I416" s="717"/>
      <c r="J416" s="714"/>
      <c r="K416" s="714"/>
      <c r="L416" s="705">
        <f t="shared" si="223"/>
        <v>0</v>
      </c>
      <c r="M416" s="706">
        <f t="shared" si="224"/>
        <v>150</v>
      </c>
      <c r="N416" s="706"/>
      <c r="O416" s="706">
        <f t="shared" si="225"/>
        <v>150</v>
      </c>
    </row>
    <row r="417" spans="1:16" s="702" customFormat="1" ht="47.25" x14ac:dyDescent="0.25">
      <c r="A417" s="693"/>
      <c r="B417" s="774" t="s">
        <v>1214</v>
      </c>
      <c r="C417" s="737"/>
      <c r="D417" s="713"/>
      <c r="E417" s="713">
        <v>400</v>
      </c>
      <c r="F417" s="714"/>
      <c r="G417" s="738"/>
      <c r="H417" s="705">
        <f t="shared" si="222"/>
        <v>400</v>
      </c>
      <c r="I417" s="717"/>
      <c r="J417" s="714"/>
      <c r="K417" s="714"/>
      <c r="L417" s="705">
        <f t="shared" si="223"/>
        <v>0</v>
      </c>
      <c r="M417" s="706">
        <f t="shared" si="224"/>
        <v>400</v>
      </c>
      <c r="N417" s="706"/>
      <c r="O417" s="706">
        <f t="shared" si="225"/>
        <v>400</v>
      </c>
    </row>
    <row r="418" spans="1:16" s="702" customFormat="1" x14ac:dyDescent="0.25">
      <c r="A418" s="693"/>
      <c r="B418" s="774" t="s">
        <v>1219</v>
      </c>
      <c r="C418" s="737">
        <v>587</v>
      </c>
      <c r="D418" s="713">
        <v>191</v>
      </c>
      <c r="E418" s="713"/>
      <c r="F418" s="714"/>
      <c r="G418" s="738"/>
      <c r="H418" s="705">
        <f t="shared" si="222"/>
        <v>778</v>
      </c>
      <c r="I418" s="717"/>
      <c r="J418" s="714"/>
      <c r="K418" s="714"/>
      <c r="L418" s="705">
        <f t="shared" si="223"/>
        <v>0</v>
      </c>
      <c r="M418" s="706">
        <f t="shared" si="224"/>
        <v>778</v>
      </c>
      <c r="N418" s="706"/>
      <c r="O418" s="706">
        <f t="shared" si="225"/>
        <v>778</v>
      </c>
    </row>
    <row r="419" spans="1:16" s="702" customFormat="1" ht="31.5" x14ac:dyDescent="0.25">
      <c r="A419" s="693"/>
      <c r="B419" s="774" t="s">
        <v>675</v>
      </c>
      <c r="C419" s="737"/>
      <c r="D419" s="713"/>
      <c r="E419" s="713">
        <v>-4922</v>
      </c>
      <c r="F419" s="714"/>
      <c r="G419" s="738"/>
      <c r="H419" s="705">
        <f t="shared" si="222"/>
        <v>-4922</v>
      </c>
      <c r="I419" s="717">
        <v>4922</v>
      </c>
      <c r="J419" s="714"/>
      <c r="K419" s="714"/>
      <c r="L419" s="705">
        <f t="shared" si="223"/>
        <v>4922</v>
      </c>
      <c r="M419" s="706">
        <f t="shared" si="224"/>
        <v>0</v>
      </c>
      <c r="N419" s="706"/>
      <c r="O419" s="706">
        <f t="shared" si="225"/>
        <v>0</v>
      </c>
    </row>
    <row r="420" spans="1:16" s="702" customFormat="1" ht="32.25" thickBot="1" x14ac:dyDescent="0.3">
      <c r="A420" s="693"/>
      <c r="B420" s="774" t="s">
        <v>935</v>
      </c>
      <c r="C420" s="737"/>
      <c r="D420" s="713"/>
      <c r="E420" s="713">
        <v>4430</v>
      </c>
      <c r="F420" s="714"/>
      <c r="G420" s="738"/>
      <c r="H420" s="705">
        <f t="shared" si="222"/>
        <v>4430</v>
      </c>
      <c r="I420" s="717"/>
      <c r="J420" s="714"/>
      <c r="K420" s="714"/>
      <c r="L420" s="705">
        <f t="shared" si="223"/>
        <v>0</v>
      </c>
      <c r="M420" s="706">
        <f t="shared" si="224"/>
        <v>4430</v>
      </c>
      <c r="N420" s="706"/>
      <c r="O420" s="706">
        <f t="shared" si="225"/>
        <v>4430</v>
      </c>
    </row>
    <row r="421" spans="1:16" ht="17.25" thickTop="1" thickBot="1" x14ac:dyDescent="0.3">
      <c r="A421" s="703"/>
      <c r="B421" s="802" t="s">
        <v>400</v>
      </c>
      <c r="C421" s="803">
        <f>+C410+C414+C416+C420+C419+C418+C417</f>
        <v>114300</v>
      </c>
      <c r="D421" s="803">
        <f t="shared" ref="D421:O421" si="226">+D410+D414+D416+D420+D419+D418+D417</f>
        <v>22743</v>
      </c>
      <c r="E421" s="803">
        <f t="shared" si="226"/>
        <v>150997</v>
      </c>
      <c r="F421" s="803">
        <f t="shared" si="226"/>
        <v>0</v>
      </c>
      <c r="G421" s="803">
        <f t="shared" si="226"/>
        <v>0</v>
      </c>
      <c r="H421" s="803">
        <f t="shared" si="226"/>
        <v>288040</v>
      </c>
      <c r="I421" s="803">
        <f t="shared" si="226"/>
        <v>15141</v>
      </c>
      <c r="J421" s="803">
        <f t="shared" si="226"/>
        <v>0</v>
      </c>
      <c r="K421" s="803">
        <f t="shared" si="226"/>
        <v>0</v>
      </c>
      <c r="L421" s="803">
        <f t="shared" si="226"/>
        <v>15141</v>
      </c>
      <c r="M421" s="803">
        <f t="shared" si="226"/>
        <v>303181</v>
      </c>
      <c r="N421" s="803">
        <f t="shared" si="226"/>
        <v>0</v>
      </c>
      <c r="O421" s="803">
        <f t="shared" si="226"/>
        <v>303181</v>
      </c>
      <c r="P421" s="683">
        <f>O422+O423</f>
        <v>303181</v>
      </c>
    </row>
    <row r="422" spans="1:16" ht="17.25" thickTop="1" thickBot="1" x14ac:dyDescent="0.3">
      <c r="A422" s="703"/>
      <c r="B422" s="802" t="s">
        <v>399</v>
      </c>
      <c r="C422" s="803">
        <f>+C411+C414</f>
        <v>101039</v>
      </c>
      <c r="D422" s="803">
        <f t="shared" ref="D422:O422" si="227">+D411+D414</f>
        <v>19849</v>
      </c>
      <c r="E422" s="803">
        <f t="shared" si="227"/>
        <v>126950</v>
      </c>
      <c r="F422" s="803">
        <f t="shared" si="227"/>
        <v>0</v>
      </c>
      <c r="G422" s="803">
        <f t="shared" si="227"/>
        <v>0</v>
      </c>
      <c r="H422" s="803">
        <f t="shared" si="227"/>
        <v>247838</v>
      </c>
      <c r="I422" s="803">
        <f t="shared" si="227"/>
        <v>351</v>
      </c>
      <c r="J422" s="803">
        <f t="shared" si="227"/>
        <v>0</v>
      </c>
      <c r="K422" s="803">
        <f t="shared" si="227"/>
        <v>0</v>
      </c>
      <c r="L422" s="803">
        <f t="shared" si="227"/>
        <v>351</v>
      </c>
      <c r="M422" s="803">
        <f t="shared" si="227"/>
        <v>248189</v>
      </c>
      <c r="N422" s="803">
        <f t="shared" si="227"/>
        <v>0</v>
      </c>
      <c r="O422" s="803">
        <f t="shared" si="227"/>
        <v>248189</v>
      </c>
    </row>
    <row r="423" spans="1:16" ht="17.25" thickTop="1" thickBot="1" x14ac:dyDescent="0.3">
      <c r="A423" s="703"/>
      <c r="B423" s="802" t="s">
        <v>398</v>
      </c>
      <c r="C423" s="803">
        <f>+C412+C416+C417+C418+C419+C420</f>
        <v>13261</v>
      </c>
      <c r="D423" s="803">
        <f t="shared" ref="D423:O423" si="228">+D412+D416+D417+D418+D419+D420</f>
        <v>2894</v>
      </c>
      <c r="E423" s="803">
        <f t="shared" si="228"/>
        <v>24047</v>
      </c>
      <c r="F423" s="803">
        <f t="shared" si="228"/>
        <v>0</v>
      </c>
      <c r="G423" s="803">
        <f t="shared" si="228"/>
        <v>0</v>
      </c>
      <c r="H423" s="803">
        <f t="shared" si="228"/>
        <v>40202</v>
      </c>
      <c r="I423" s="803">
        <f t="shared" si="228"/>
        <v>14790</v>
      </c>
      <c r="J423" s="803">
        <f t="shared" si="228"/>
        <v>0</v>
      </c>
      <c r="K423" s="803">
        <f t="shared" si="228"/>
        <v>0</v>
      </c>
      <c r="L423" s="803">
        <f t="shared" si="228"/>
        <v>14790</v>
      </c>
      <c r="M423" s="803">
        <f t="shared" si="228"/>
        <v>54992</v>
      </c>
      <c r="N423" s="803">
        <f t="shared" si="228"/>
        <v>0</v>
      </c>
      <c r="O423" s="803">
        <f t="shared" si="228"/>
        <v>54992</v>
      </c>
    </row>
    <row r="424" spans="1:16" ht="17.25" thickTop="1" thickBot="1" x14ac:dyDescent="0.3">
      <c r="A424" s="703"/>
      <c r="B424" s="802" t="s">
        <v>405</v>
      </c>
      <c r="C424" s="824">
        <f t="shared" ref="C424:O424" si="229">SUM(C334+C350+C365+C386+C397+C407+C421+C376)</f>
        <v>1691323</v>
      </c>
      <c r="D424" s="824">
        <f t="shared" si="229"/>
        <v>353059</v>
      </c>
      <c r="E424" s="824">
        <f t="shared" si="229"/>
        <v>1852418</v>
      </c>
      <c r="F424" s="824">
        <f t="shared" si="229"/>
        <v>0</v>
      </c>
      <c r="G424" s="824">
        <f t="shared" si="229"/>
        <v>1</v>
      </c>
      <c r="H424" s="824">
        <f t="shared" si="229"/>
        <v>3896801</v>
      </c>
      <c r="I424" s="824">
        <f t="shared" si="229"/>
        <v>182265</v>
      </c>
      <c r="J424" s="824">
        <f t="shared" si="229"/>
        <v>33160</v>
      </c>
      <c r="K424" s="824">
        <f t="shared" si="229"/>
        <v>0</v>
      </c>
      <c r="L424" s="824">
        <f t="shared" si="229"/>
        <v>215425</v>
      </c>
      <c r="M424" s="824">
        <f t="shared" si="229"/>
        <v>4112226</v>
      </c>
      <c r="N424" s="824">
        <f t="shared" si="229"/>
        <v>0</v>
      </c>
      <c r="O424" s="824">
        <f t="shared" si="229"/>
        <v>4112226</v>
      </c>
    </row>
    <row r="425" spans="1:16" ht="17.25" thickTop="1" thickBot="1" x14ac:dyDescent="0.3">
      <c r="A425" s="703"/>
      <c r="B425" s="802" t="s">
        <v>404</v>
      </c>
      <c r="C425" s="824">
        <f t="shared" ref="C425:O425" si="230">SUM(C269+C313+C324+C424)</f>
        <v>6262540</v>
      </c>
      <c r="D425" s="824">
        <f t="shared" si="230"/>
        <v>1313199</v>
      </c>
      <c r="E425" s="824">
        <f t="shared" si="230"/>
        <v>5180481</v>
      </c>
      <c r="F425" s="824">
        <f t="shared" si="230"/>
        <v>25658</v>
      </c>
      <c r="G425" s="824">
        <f t="shared" si="230"/>
        <v>1</v>
      </c>
      <c r="H425" s="824">
        <f t="shared" si="230"/>
        <v>12781879</v>
      </c>
      <c r="I425" s="824">
        <f t="shared" si="230"/>
        <v>267574</v>
      </c>
      <c r="J425" s="824">
        <f t="shared" si="230"/>
        <v>33160</v>
      </c>
      <c r="K425" s="824">
        <f t="shared" si="230"/>
        <v>0</v>
      </c>
      <c r="L425" s="824">
        <f t="shared" si="230"/>
        <v>300734</v>
      </c>
      <c r="M425" s="824">
        <f t="shared" si="230"/>
        <v>13082613</v>
      </c>
      <c r="N425" s="824">
        <f t="shared" si="230"/>
        <v>0</v>
      </c>
      <c r="O425" s="824">
        <f t="shared" si="230"/>
        <v>13082613</v>
      </c>
    </row>
    <row r="426" spans="1:16" ht="17.25" thickTop="1" thickBot="1" x14ac:dyDescent="0.3">
      <c r="A426" s="775" t="s">
        <v>673</v>
      </c>
      <c r="B426" s="826" t="s">
        <v>403</v>
      </c>
      <c r="C426" s="827"/>
      <c r="D426" s="828"/>
      <c r="E426" s="828"/>
      <c r="F426" s="829"/>
      <c r="G426" s="828"/>
      <c r="H426" s="830"/>
      <c r="I426" s="831"/>
      <c r="J426" s="829"/>
      <c r="K426" s="829"/>
      <c r="L426" s="830"/>
      <c r="M426" s="830"/>
      <c r="N426" s="830"/>
      <c r="O426" s="830"/>
    </row>
    <row r="427" spans="1:16" x14ac:dyDescent="0.25">
      <c r="A427" s="734"/>
      <c r="B427" s="813" t="s">
        <v>363</v>
      </c>
      <c r="C427" s="755">
        <v>2055684</v>
      </c>
      <c r="D427" s="756">
        <v>433586</v>
      </c>
      <c r="E427" s="756">
        <v>416839</v>
      </c>
      <c r="F427" s="757">
        <v>10000</v>
      </c>
      <c r="G427" s="756"/>
      <c r="H427" s="758">
        <f>SUM(C427:G427)</f>
        <v>2916109</v>
      </c>
      <c r="I427" s="759">
        <v>102143</v>
      </c>
      <c r="J427" s="757">
        <v>4384</v>
      </c>
      <c r="K427" s="757"/>
      <c r="L427" s="758">
        <f>SUM(I427:K427)</f>
        <v>106527</v>
      </c>
      <c r="M427" s="758">
        <f>SUM(H427+L427)</f>
        <v>3022636</v>
      </c>
      <c r="N427" s="758"/>
      <c r="O427" s="758">
        <f>SUM(M427+N427)</f>
        <v>3022636</v>
      </c>
    </row>
    <row r="428" spans="1:16" s="702" customFormat="1" x14ac:dyDescent="0.25">
      <c r="A428" s="693"/>
      <c r="B428" s="772" t="s">
        <v>402</v>
      </c>
      <c r="C428" s="707">
        <v>919964</v>
      </c>
      <c r="D428" s="708">
        <v>215761</v>
      </c>
      <c r="E428" s="708">
        <v>217237</v>
      </c>
      <c r="F428" s="742">
        <v>10000</v>
      </c>
      <c r="G428" s="708"/>
      <c r="H428" s="709">
        <f>SUM(C428:G428)</f>
        <v>1362962</v>
      </c>
      <c r="I428" s="741">
        <v>61879</v>
      </c>
      <c r="J428" s="742">
        <v>2551</v>
      </c>
      <c r="K428" s="742"/>
      <c r="L428" s="709">
        <f>SUM(I428:K428)</f>
        <v>64430</v>
      </c>
      <c r="M428" s="773">
        <f>SUM(H428+L428)</f>
        <v>1427392</v>
      </c>
      <c r="N428" s="773"/>
      <c r="O428" s="773">
        <f>SUM(M428+N428)</f>
        <v>1427392</v>
      </c>
    </row>
    <row r="429" spans="1:16" s="702" customFormat="1" x14ac:dyDescent="0.25">
      <c r="A429" s="693"/>
      <c r="B429" s="694" t="s">
        <v>401</v>
      </c>
      <c r="C429" s="707">
        <v>493786</v>
      </c>
      <c r="D429" s="708">
        <v>78915</v>
      </c>
      <c r="E429" s="696">
        <v>31933</v>
      </c>
      <c r="F429" s="742"/>
      <c r="G429" s="708"/>
      <c r="H429" s="698">
        <f>SUM(C429:G429)</f>
        <v>604634</v>
      </c>
      <c r="I429" s="704"/>
      <c r="J429" s="697"/>
      <c r="K429" s="697"/>
      <c r="L429" s="698">
        <f>SUM(I429:K429)</f>
        <v>0</v>
      </c>
      <c r="M429" s="701">
        <f>SUM(H429+L429)</f>
        <v>604634</v>
      </c>
      <c r="N429" s="701"/>
      <c r="O429" s="701">
        <f>SUM(M429+N429)</f>
        <v>604634</v>
      </c>
    </row>
    <row r="430" spans="1:16" s="702" customFormat="1" ht="16.5" thickBot="1" x14ac:dyDescent="0.3">
      <c r="A430" s="719"/>
      <c r="B430" s="720" t="s">
        <v>469</v>
      </c>
      <c r="C430" s="721">
        <v>641934</v>
      </c>
      <c r="D430" s="722">
        <v>138910</v>
      </c>
      <c r="E430" s="722">
        <v>167669</v>
      </c>
      <c r="F430" s="723"/>
      <c r="G430" s="722"/>
      <c r="H430" s="724">
        <f>SUM(C430:G430)</f>
        <v>948513</v>
      </c>
      <c r="I430" s="725">
        <v>40264</v>
      </c>
      <c r="J430" s="723">
        <v>1833</v>
      </c>
      <c r="K430" s="723"/>
      <c r="L430" s="724">
        <f>SUM(I430:K430)</f>
        <v>42097</v>
      </c>
      <c r="M430" s="724">
        <f>SUM(H430+L430)</f>
        <v>990610</v>
      </c>
      <c r="N430" s="724"/>
      <c r="O430" s="724">
        <f>SUM(M430+N430)</f>
        <v>990610</v>
      </c>
    </row>
    <row r="431" spans="1:16" s="702" customFormat="1" x14ac:dyDescent="0.25">
      <c r="A431" s="726"/>
      <c r="B431" s="727" t="s">
        <v>132</v>
      </c>
      <c r="C431" s="728"/>
      <c r="D431" s="729"/>
      <c r="E431" s="729"/>
      <c r="F431" s="730"/>
      <c r="G431" s="729"/>
      <c r="H431" s="731"/>
      <c r="I431" s="732"/>
      <c r="J431" s="730"/>
      <c r="K431" s="730"/>
      <c r="L431" s="731"/>
      <c r="M431" s="731"/>
      <c r="N431" s="731"/>
      <c r="O431" s="731"/>
    </row>
    <row r="432" spans="1:16" s="702" customFormat="1" x14ac:dyDescent="0.25">
      <c r="A432" s="693"/>
      <c r="B432" s="774" t="s">
        <v>1218</v>
      </c>
      <c r="C432" s="737">
        <v>244</v>
      </c>
      <c r="D432" s="738">
        <v>43</v>
      </c>
      <c r="E432" s="713"/>
      <c r="F432" s="739"/>
      <c r="G432" s="738"/>
      <c r="H432" s="705">
        <f t="shared" ref="H432:H437" si="231">SUM(C432:G432)</f>
        <v>287</v>
      </c>
      <c r="I432" s="717"/>
      <c r="J432" s="714"/>
      <c r="K432" s="714"/>
      <c r="L432" s="705">
        <f t="shared" ref="L432:L434" si="232">SUM(I432:K432)</f>
        <v>0</v>
      </c>
      <c r="M432" s="706">
        <f t="shared" ref="M432:M434" si="233">SUM(H432+L432)</f>
        <v>287</v>
      </c>
      <c r="N432" s="706"/>
      <c r="O432" s="706">
        <f t="shared" ref="O432:O434" si="234">SUM(M432+N432)</f>
        <v>287</v>
      </c>
    </row>
    <row r="433" spans="1:16" s="702" customFormat="1" ht="31.5" x14ac:dyDescent="0.25">
      <c r="A433" s="693"/>
      <c r="B433" s="774" t="s">
        <v>675</v>
      </c>
      <c r="C433" s="737"/>
      <c r="D433" s="738"/>
      <c r="E433" s="713">
        <v>-4033</v>
      </c>
      <c r="F433" s="739"/>
      <c r="G433" s="738"/>
      <c r="H433" s="705">
        <f t="shared" si="231"/>
        <v>-4033</v>
      </c>
      <c r="I433" s="717"/>
      <c r="J433" s="714">
        <v>4033</v>
      </c>
      <c r="K433" s="714"/>
      <c r="L433" s="705">
        <f t="shared" si="232"/>
        <v>4033</v>
      </c>
      <c r="M433" s="706">
        <f t="shared" si="233"/>
        <v>0</v>
      </c>
      <c r="N433" s="706"/>
      <c r="O433" s="706">
        <f t="shared" si="234"/>
        <v>0</v>
      </c>
    </row>
    <row r="434" spans="1:16" s="702" customFormat="1" ht="31.5" x14ac:dyDescent="0.25">
      <c r="A434" s="693"/>
      <c r="B434" s="774" t="s">
        <v>1229</v>
      </c>
      <c r="C434" s="737"/>
      <c r="D434" s="738"/>
      <c r="E434" s="713">
        <v>315</v>
      </c>
      <c r="F434" s="739"/>
      <c r="G434" s="738"/>
      <c r="H434" s="705">
        <f t="shared" si="231"/>
        <v>315</v>
      </c>
      <c r="I434" s="717"/>
      <c r="J434" s="714"/>
      <c r="K434" s="714"/>
      <c r="L434" s="705">
        <f t="shared" si="232"/>
        <v>0</v>
      </c>
      <c r="M434" s="706">
        <f t="shared" si="233"/>
        <v>315</v>
      </c>
      <c r="N434" s="706"/>
      <c r="O434" s="706">
        <f t="shared" si="234"/>
        <v>315</v>
      </c>
    </row>
    <row r="435" spans="1:16" s="702" customFormat="1" x14ac:dyDescent="0.25">
      <c r="A435" s="693"/>
      <c r="B435" s="694" t="s">
        <v>133</v>
      </c>
      <c r="C435" s="737"/>
      <c r="D435" s="738"/>
      <c r="E435" s="713"/>
      <c r="F435" s="739"/>
      <c r="G435" s="738"/>
      <c r="H435" s="705"/>
      <c r="I435" s="717"/>
      <c r="J435" s="714"/>
      <c r="K435" s="714"/>
      <c r="L435" s="705"/>
      <c r="M435" s="706"/>
      <c r="N435" s="706"/>
      <c r="O435" s="706"/>
    </row>
    <row r="436" spans="1:16" s="702" customFormat="1" ht="47.25" x14ac:dyDescent="0.25">
      <c r="A436" s="693"/>
      <c r="B436" s="634" t="s">
        <v>1293</v>
      </c>
      <c r="C436" s="737">
        <v>26906</v>
      </c>
      <c r="D436" s="738">
        <v>4746</v>
      </c>
      <c r="E436" s="713"/>
      <c r="F436" s="739"/>
      <c r="G436" s="738"/>
      <c r="H436" s="705">
        <f t="shared" si="231"/>
        <v>31652</v>
      </c>
      <c r="I436" s="717"/>
      <c r="J436" s="714"/>
      <c r="K436" s="714"/>
      <c r="L436" s="705">
        <f t="shared" ref="L436:L437" si="235">SUM(I436:K436)</f>
        <v>0</v>
      </c>
      <c r="M436" s="706">
        <f t="shared" ref="M436:M437" si="236">SUM(H436+L436)</f>
        <v>31652</v>
      </c>
      <c r="N436" s="706"/>
      <c r="O436" s="706">
        <f t="shared" ref="O436:O437" si="237">SUM(M436+N436)</f>
        <v>31652</v>
      </c>
    </row>
    <row r="437" spans="1:16" s="702" customFormat="1" x14ac:dyDescent="0.25">
      <c r="A437" s="693"/>
      <c r="B437" s="774"/>
      <c r="C437" s="737"/>
      <c r="D437" s="738"/>
      <c r="E437" s="713"/>
      <c r="F437" s="739"/>
      <c r="G437" s="738"/>
      <c r="H437" s="705">
        <f t="shared" si="231"/>
        <v>0</v>
      </c>
      <c r="I437" s="717"/>
      <c r="J437" s="714"/>
      <c r="K437" s="714"/>
      <c r="L437" s="705">
        <f t="shared" si="235"/>
        <v>0</v>
      </c>
      <c r="M437" s="706">
        <f t="shared" si="236"/>
        <v>0</v>
      </c>
      <c r="N437" s="706"/>
      <c r="O437" s="706">
        <f t="shared" si="237"/>
        <v>0</v>
      </c>
    </row>
    <row r="438" spans="1:16" s="702" customFormat="1" x14ac:dyDescent="0.25">
      <c r="A438" s="693"/>
      <c r="B438" s="694" t="s">
        <v>349</v>
      </c>
      <c r="C438" s="737"/>
      <c r="D438" s="738"/>
      <c r="E438" s="713"/>
      <c r="F438" s="739"/>
      <c r="G438" s="738"/>
      <c r="H438" s="705"/>
      <c r="I438" s="717"/>
      <c r="J438" s="714"/>
      <c r="K438" s="714"/>
      <c r="L438" s="705"/>
      <c r="M438" s="706"/>
      <c r="N438" s="706"/>
      <c r="O438" s="706"/>
    </row>
    <row r="439" spans="1:16" s="702" customFormat="1" ht="32.25" thickBot="1" x14ac:dyDescent="0.3">
      <c r="A439" s="693"/>
      <c r="B439" s="774" t="s">
        <v>675</v>
      </c>
      <c r="C439" s="737"/>
      <c r="D439" s="738"/>
      <c r="E439" s="713">
        <v>-2897</v>
      </c>
      <c r="F439" s="739"/>
      <c r="G439" s="738"/>
      <c r="H439" s="705">
        <f t="shared" ref="H439" si="238">SUM(C439:G439)</f>
        <v>-2897</v>
      </c>
      <c r="I439" s="717"/>
      <c r="J439" s="714">
        <v>2897</v>
      </c>
      <c r="K439" s="714"/>
      <c r="L439" s="705">
        <f t="shared" ref="L439" si="239">SUM(I439:K439)</f>
        <v>2897</v>
      </c>
      <c r="M439" s="706">
        <f t="shared" ref="M439" si="240">SUM(H439+L439)</f>
        <v>0</v>
      </c>
      <c r="N439" s="706"/>
      <c r="O439" s="706">
        <f t="shared" ref="O439" si="241">SUM(M439+N439)</f>
        <v>0</v>
      </c>
    </row>
    <row r="440" spans="1:16" s="833" customFormat="1" ht="17.25" thickTop="1" thickBot="1" x14ac:dyDescent="0.3">
      <c r="A440" s="703"/>
      <c r="B440" s="802" t="s">
        <v>400</v>
      </c>
      <c r="C440" s="803">
        <f>+C427+C432+C433+C434+C436+C439+C437</f>
        <v>2082834</v>
      </c>
      <c r="D440" s="803">
        <f t="shared" ref="D440:O440" si="242">+D427+D432+D433+D434+D436+D439+D437</f>
        <v>438375</v>
      </c>
      <c r="E440" s="803">
        <f t="shared" si="242"/>
        <v>410224</v>
      </c>
      <c r="F440" s="803">
        <f t="shared" si="242"/>
        <v>10000</v>
      </c>
      <c r="G440" s="803">
        <f t="shared" si="242"/>
        <v>0</v>
      </c>
      <c r="H440" s="803">
        <f t="shared" si="242"/>
        <v>2941433</v>
      </c>
      <c r="I440" s="803">
        <f t="shared" si="242"/>
        <v>102143</v>
      </c>
      <c r="J440" s="803">
        <f t="shared" si="242"/>
        <v>11314</v>
      </c>
      <c r="K440" s="803">
        <f t="shared" si="242"/>
        <v>0</v>
      </c>
      <c r="L440" s="803">
        <f t="shared" si="242"/>
        <v>113457</v>
      </c>
      <c r="M440" s="803">
        <f t="shared" si="242"/>
        <v>3054890</v>
      </c>
      <c r="N440" s="803">
        <f t="shared" si="242"/>
        <v>0</v>
      </c>
      <c r="O440" s="803">
        <f t="shared" si="242"/>
        <v>3054890</v>
      </c>
      <c r="P440" s="832">
        <f>+O441+O442+O443</f>
        <v>3054890</v>
      </c>
    </row>
    <row r="441" spans="1:16" ht="17.25" thickTop="1" thickBot="1" x14ac:dyDescent="0.3">
      <c r="A441" s="703"/>
      <c r="B441" s="802" t="s">
        <v>399</v>
      </c>
      <c r="C441" s="803">
        <f t="shared" ref="C441:O441" si="243">+C428+C432+C433+C434</f>
        <v>920208</v>
      </c>
      <c r="D441" s="803">
        <f t="shared" si="243"/>
        <v>215804</v>
      </c>
      <c r="E441" s="803">
        <f t="shared" si="243"/>
        <v>213519</v>
      </c>
      <c r="F441" s="803">
        <f t="shared" si="243"/>
        <v>10000</v>
      </c>
      <c r="G441" s="803">
        <f t="shared" si="243"/>
        <v>0</v>
      </c>
      <c r="H441" s="803">
        <f t="shared" si="243"/>
        <v>1359531</v>
      </c>
      <c r="I441" s="803">
        <f t="shared" si="243"/>
        <v>61879</v>
      </c>
      <c r="J441" s="803">
        <f t="shared" si="243"/>
        <v>6584</v>
      </c>
      <c r="K441" s="803">
        <f t="shared" si="243"/>
        <v>0</v>
      </c>
      <c r="L441" s="803">
        <f t="shared" si="243"/>
        <v>68463</v>
      </c>
      <c r="M441" s="803">
        <f t="shared" si="243"/>
        <v>1427994</v>
      </c>
      <c r="N441" s="803">
        <f t="shared" si="243"/>
        <v>0</v>
      </c>
      <c r="O441" s="803">
        <f t="shared" si="243"/>
        <v>1427994</v>
      </c>
    </row>
    <row r="442" spans="1:16" ht="17.25" thickTop="1" thickBot="1" x14ac:dyDescent="0.3">
      <c r="A442" s="703"/>
      <c r="B442" s="802" t="s">
        <v>398</v>
      </c>
      <c r="C442" s="803">
        <f>+C429+C436+C437</f>
        <v>520692</v>
      </c>
      <c r="D442" s="803">
        <f t="shared" ref="D442:O442" si="244">+D429+D436+D437</f>
        <v>83661</v>
      </c>
      <c r="E442" s="803">
        <f t="shared" si="244"/>
        <v>31933</v>
      </c>
      <c r="F442" s="803">
        <f t="shared" si="244"/>
        <v>0</v>
      </c>
      <c r="G442" s="803">
        <f t="shared" si="244"/>
        <v>0</v>
      </c>
      <c r="H442" s="803">
        <f t="shared" si="244"/>
        <v>636286</v>
      </c>
      <c r="I442" s="803">
        <f t="shared" si="244"/>
        <v>0</v>
      </c>
      <c r="J442" s="803">
        <f t="shared" si="244"/>
        <v>0</v>
      </c>
      <c r="K442" s="803">
        <f t="shared" si="244"/>
        <v>0</v>
      </c>
      <c r="L442" s="803">
        <f t="shared" si="244"/>
        <v>0</v>
      </c>
      <c r="M442" s="803">
        <f t="shared" si="244"/>
        <v>636286</v>
      </c>
      <c r="N442" s="803">
        <f t="shared" si="244"/>
        <v>0</v>
      </c>
      <c r="O442" s="803">
        <f t="shared" si="244"/>
        <v>636286</v>
      </c>
    </row>
    <row r="443" spans="1:16" ht="33" thickTop="1" thickBot="1" x14ac:dyDescent="0.3">
      <c r="A443" s="703"/>
      <c r="B443" s="802" t="s">
        <v>468</v>
      </c>
      <c r="C443" s="803">
        <f t="shared" ref="C443:O443" si="245">+C430+C439</f>
        <v>641934</v>
      </c>
      <c r="D443" s="803">
        <f t="shared" si="245"/>
        <v>138910</v>
      </c>
      <c r="E443" s="803">
        <f t="shared" si="245"/>
        <v>164772</v>
      </c>
      <c r="F443" s="803">
        <f t="shared" si="245"/>
        <v>0</v>
      </c>
      <c r="G443" s="803">
        <f t="shared" si="245"/>
        <v>0</v>
      </c>
      <c r="H443" s="803">
        <f t="shared" si="245"/>
        <v>945616</v>
      </c>
      <c r="I443" s="803">
        <f t="shared" si="245"/>
        <v>40264</v>
      </c>
      <c r="J443" s="803">
        <f t="shared" si="245"/>
        <v>4730</v>
      </c>
      <c r="K443" s="803">
        <f t="shared" si="245"/>
        <v>0</v>
      </c>
      <c r="L443" s="803">
        <f t="shared" si="245"/>
        <v>44994</v>
      </c>
      <c r="M443" s="803">
        <f t="shared" si="245"/>
        <v>990610</v>
      </c>
      <c r="N443" s="803">
        <f t="shared" si="245"/>
        <v>0</v>
      </c>
      <c r="O443" s="803">
        <f t="shared" si="245"/>
        <v>990610</v>
      </c>
    </row>
    <row r="444" spans="1:16" s="833" customFormat="1" ht="17.25" thickTop="1" thickBot="1" x14ac:dyDescent="0.3">
      <c r="A444" s="703"/>
      <c r="B444" s="802" t="s">
        <v>396</v>
      </c>
      <c r="C444" s="824">
        <f t="shared" ref="C444:O444" si="246">SUM(C425+C440)</f>
        <v>8345374</v>
      </c>
      <c r="D444" s="824">
        <f t="shared" si="246"/>
        <v>1751574</v>
      </c>
      <c r="E444" s="824">
        <f t="shared" si="246"/>
        <v>5590705</v>
      </c>
      <c r="F444" s="824">
        <f t="shared" si="246"/>
        <v>35658</v>
      </c>
      <c r="G444" s="824">
        <f t="shared" si="246"/>
        <v>1</v>
      </c>
      <c r="H444" s="824">
        <f t="shared" si="246"/>
        <v>15723312</v>
      </c>
      <c r="I444" s="824">
        <f t="shared" si="246"/>
        <v>369717</v>
      </c>
      <c r="J444" s="824">
        <f t="shared" si="246"/>
        <v>44474</v>
      </c>
      <c r="K444" s="824">
        <f t="shared" si="246"/>
        <v>0</v>
      </c>
      <c r="L444" s="824">
        <f t="shared" si="246"/>
        <v>414191</v>
      </c>
      <c r="M444" s="824">
        <f t="shared" si="246"/>
        <v>16137503</v>
      </c>
      <c r="N444" s="824">
        <f t="shared" si="246"/>
        <v>0</v>
      </c>
      <c r="O444" s="824">
        <f t="shared" si="246"/>
        <v>16137503</v>
      </c>
    </row>
    <row r="445" spans="1:16" s="833" customFormat="1" ht="17.25" thickTop="1" thickBot="1" x14ac:dyDescent="0.3">
      <c r="A445" s="703"/>
      <c r="B445" s="802" t="s">
        <v>363</v>
      </c>
      <c r="C445" s="824">
        <f t="shared" ref="C445:O445" si="247">SUM(C8+C21+C39+C52+C65+C78+C91+C104+C118+C131+C144+C157+C171+C184+C196+C209+C222+C233+C244+C257+C271+C286+C300+C315+C328+C337+C354+C379+C389+C400+C410+C427+C369)</f>
        <v>8152520</v>
      </c>
      <c r="D445" s="824">
        <f t="shared" si="247"/>
        <v>1712937</v>
      </c>
      <c r="E445" s="824">
        <f t="shared" si="247"/>
        <v>5347662</v>
      </c>
      <c r="F445" s="824">
        <f t="shared" si="247"/>
        <v>26116</v>
      </c>
      <c r="G445" s="824">
        <f t="shared" si="247"/>
        <v>0</v>
      </c>
      <c r="H445" s="824">
        <f t="shared" si="247"/>
        <v>15239235</v>
      </c>
      <c r="I445" s="824">
        <f t="shared" si="247"/>
        <v>244191</v>
      </c>
      <c r="J445" s="824">
        <f t="shared" si="247"/>
        <v>18768</v>
      </c>
      <c r="K445" s="824">
        <f t="shared" si="247"/>
        <v>0</v>
      </c>
      <c r="L445" s="824">
        <f t="shared" si="247"/>
        <v>262959</v>
      </c>
      <c r="M445" s="824">
        <f t="shared" si="247"/>
        <v>15502194</v>
      </c>
      <c r="N445" s="824">
        <f t="shared" si="247"/>
        <v>0</v>
      </c>
      <c r="O445" s="824">
        <f t="shared" si="247"/>
        <v>15502194</v>
      </c>
    </row>
    <row r="446" spans="1:16" ht="24" customHeight="1" thickTop="1" x14ac:dyDescent="0.25">
      <c r="A446" s="718"/>
      <c r="B446" s="776" t="s">
        <v>132</v>
      </c>
      <c r="C446" s="806"/>
      <c r="D446" s="807"/>
      <c r="E446" s="807"/>
      <c r="F446" s="807"/>
      <c r="G446" s="807"/>
      <c r="H446" s="809"/>
      <c r="I446" s="810"/>
      <c r="J446" s="808"/>
      <c r="K446" s="808"/>
      <c r="L446" s="809"/>
      <c r="M446" s="809"/>
      <c r="N446" s="809"/>
      <c r="O446" s="809"/>
    </row>
    <row r="447" spans="1:16" s="781" customFormat="1" x14ac:dyDescent="0.25">
      <c r="A447" s="777"/>
      <c r="B447" s="778" t="s">
        <v>1218</v>
      </c>
      <c r="C447" s="779">
        <f t="shared" ref="C447:O447" si="248">C12+C25+C43+C56+C69+C82+C95+C108+C122+C135+C148+C161+C175+C188+C200+C213+C248+C261+C275+C290+C304+C319+C341+C358+C432</f>
        <v>2434</v>
      </c>
      <c r="D447" s="779">
        <f t="shared" si="248"/>
        <v>426</v>
      </c>
      <c r="E447" s="779">
        <f t="shared" si="248"/>
        <v>0</v>
      </c>
      <c r="F447" s="779">
        <f t="shared" si="248"/>
        <v>0</v>
      </c>
      <c r="G447" s="779">
        <f t="shared" si="248"/>
        <v>0</v>
      </c>
      <c r="H447" s="780">
        <f t="shared" si="248"/>
        <v>2860</v>
      </c>
      <c r="I447" s="780">
        <f t="shared" si="248"/>
        <v>0</v>
      </c>
      <c r="J447" s="780">
        <f t="shared" si="248"/>
        <v>0</v>
      </c>
      <c r="K447" s="780">
        <f t="shared" si="248"/>
        <v>0</v>
      </c>
      <c r="L447" s="780">
        <f t="shared" si="248"/>
        <v>0</v>
      </c>
      <c r="M447" s="780">
        <f t="shared" si="248"/>
        <v>2860</v>
      </c>
      <c r="N447" s="780">
        <f t="shared" si="248"/>
        <v>0</v>
      </c>
      <c r="O447" s="780">
        <f t="shared" si="248"/>
        <v>2860</v>
      </c>
    </row>
    <row r="448" spans="1:16" s="781" customFormat="1" ht="31.5" x14ac:dyDescent="0.25">
      <c r="A448" s="777"/>
      <c r="B448" s="778" t="s">
        <v>1220</v>
      </c>
      <c r="C448" s="779">
        <f t="shared" ref="C448:O448" si="249">C26+C44+C57+C70+C83+C96+C109+C276+C291+C305</f>
        <v>13050</v>
      </c>
      <c r="D448" s="779">
        <f t="shared" si="249"/>
        <v>2284</v>
      </c>
      <c r="E448" s="779">
        <f t="shared" si="249"/>
        <v>0</v>
      </c>
      <c r="F448" s="779">
        <f t="shared" si="249"/>
        <v>0</v>
      </c>
      <c r="G448" s="779">
        <f t="shared" si="249"/>
        <v>0</v>
      </c>
      <c r="H448" s="780">
        <f t="shared" si="249"/>
        <v>15334</v>
      </c>
      <c r="I448" s="780">
        <f t="shared" si="249"/>
        <v>0</v>
      </c>
      <c r="J448" s="780">
        <f t="shared" si="249"/>
        <v>0</v>
      </c>
      <c r="K448" s="780">
        <f t="shared" si="249"/>
        <v>0</v>
      </c>
      <c r="L448" s="780">
        <f t="shared" si="249"/>
        <v>0</v>
      </c>
      <c r="M448" s="780">
        <f t="shared" si="249"/>
        <v>15334</v>
      </c>
      <c r="N448" s="780">
        <f t="shared" si="249"/>
        <v>0</v>
      </c>
      <c r="O448" s="780">
        <f t="shared" si="249"/>
        <v>15334</v>
      </c>
    </row>
    <row r="449" spans="1:15" s="781" customFormat="1" ht="31.5" x14ac:dyDescent="0.25">
      <c r="A449" s="777"/>
      <c r="B449" s="778" t="s">
        <v>1208</v>
      </c>
      <c r="C449" s="779">
        <f t="shared" ref="C449:O449" si="250">C277</f>
        <v>985</v>
      </c>
      <c r="D449" s="779">
        <f t="shared" si="250"/>
        <v>172</v>
      </c>
      <c r="E449" s="779">
        <f t="shared" si="250"/>
        <v>0</v>
      </c>
      <c r="F449" s="779">
        <f t="shared" si="250"/>
        <v>0</v>
      </c>
      <c r="G449" s="779">
        <f t="shared" si="250"/>
        <v>0</v>
      </c>
      <c r="H449" s="780">
        <f t="shared" si="250"/>
        <v>1157</v>
      </c>
      <c r="I449" s="780">
        <f t="shared" si="250"/>
        <v>0</v>
      </c>
      <c r="J449" s="780">
        <f t="shared" si="250"/>
        <v>0</v>
      </c>
      <c r="K449" s="780">
        <f t="shared" si="250"/>
        <v>0</v>
      </c>
      <c r="L449" s="780">
        <f t="shared" si="250"/>
        <v>0</v>
      </c>
      <c r="M449" s="780">
        <f t="shared" si="250"/>
        <v>1157</v>
      </c>
      <c r="N449" s="780">
        <f t="shared" si="250"/>
        <v>0</v>
      </c>
      <c r="O449" s="780">
        <f t="shared" si="250"/>
        <v>1157</v>
      </c>
    </row>
    <row r="450" spans="1:15" s="781" customFormat="1" x14ac:dyDescent="0.25">
      <c r="A450" s="777"/>
      <c r="B450" s="778" t="s">
        <v>1210</v>
      </c>
      <c r="C450" s="779">
        <f t="shared" ref="C450:O450" si="251">C342+C359+C414</f>
        <v>4027</v>
      </c>
      <c r="D450" s="779">
        <f t="shared" si="251"/>
        <v>705</v>
      </c>
      <c r="E450" s="779">
        <f t="shared" si="251"/>
        <v>0</v>
      </c>
      <c r="F450" s="779">
        <f t="shared" si="251"/>
        <v>0</v>
      </c>
      <c r="G450" s="779">
        <f t="shared" si="251"/>
        <v>0</v>
      </c>
      <c r="H450" s="780">
        <f t="shared" si="251"/>
        <v>4732</v>
      </c>
      <c r="I450" s="780">
        <f t="shared" si="251"/>
        <v>0</v>
      </c>
      <c r="J450" s="780">
        <f t="shared" si="251"/>
        <v>0</v>
      </c>
      <c r="K450" s="780">
        <f t="shared" si="251"/>
        <v>0</v>
      </c>
      <c r="L450" s="780">
        <f t="shared" si="251"/>
        <v>0</v>
      </c>
      <c r="M450" s="780">
        <f t="shared" si="251"/>
        <v>4732</v>
      </c>
      <c r="N450" s="780">
        <f t="shared" si="251"/>
        <v>0</v>
      </c>
      <c r="O450" s="780">
        <f t="shared" si="251"/>
        <v>4732</v>
      </c>
    </row>
    <row r="451" spans="1:15" s="781" customFormat="1" ht="47.25" x14ac:dyDescent="0.25">
      <c r="A451" s="777"/>
      <c r="B451" s="778" t="s">
        <v>1198</v>
      </c>
      <c r="C451" s="779">
        <f t="shared" ref="C451:O451" si="252">C13+C27+C123+C136+C149+C162+C201+C214+C292+C343</f>
        <v>11362</v>
      </c>
      <c r="D451" s="779">
        <f t="shared" si="252"/>
        <v>1988</v>
      </c>
      <c r="E451" s="779">
        <f t="shared" si="252"/>
        <v>0</v>
      </c>
      <c r="F451" s="779">
        <f t="shared" si="252"/>
        <v>0</v>
      </c>
      <c r="G451" s="779">
        <f t="shared" si="252"/>
        <v>0</v>
      </c>
      <c r="H451" s="780">
        <f t="shared" si="252"/>
        <v>13350</v>
      </c>
      <c r="I451" s="780">
        <f t="shared" si="252"/>
        <v>0</v>
      </c>
      <c r="J451" s="780">
        <f t="shared" si="252"/>
        <v>0</v>
      </c>
      <c r="K451" s="780">
        <f t="shared" si="252"/>
        <v>0</v>
      </c>
      <c r="L451" s="780">
        <f t="shared" si="252"/>
        <v>0</v>
      </c>
      <c r="M451" s="780">
        <f t="shared" si="252"/>
        <v>13350</v>
      </c>
      <c r="N451" s="780">
        <f t="shared" si="252"/>
        <v>0</v>
      </c>
      <c r="O451" s="780">
        <f t="shared" si="252"/>
        <v>13350</v>
      </c>
    </row>
    <row r="452" spans="1:15" s="781" customFormat="1" ht="31.5" x14ac:dyDescent="0.25">
      <c r="A452" s="777"/>
      <c r="B452" s="778" t="s">
        <v>675</v>
      </c>
      <c r="C452" s="779">
        <f>C278+C306+C320+C344+C360+C164+C30+C433</f>
        <v>5008</v>
      </c>
      <c r="D452" s="779">
        <f t="shared" ref="D452:O452" si="253">D278+D306+D320+D344+D360+D164+D30+D433</f>
        <v>1564</v>
      </c>
      <c r="E452" s="779">
        <f t="shared" si="253"/>
        <v>-90933</v>
      </c>
      <c r="F452" s="779">
        <f t="shared" si="253"/>
        <v>9540</v>
      </c>
      <c r="G452" s="779">
        <f t="shared" si="253"/>
        <v>1</v>
      </c>
      <c r="H452" s="780">
        <f t="shared" si="253"/>
        <v>-74820</v>
      </c>
      <c r="I452" s="780">
        <f t="shared" si="253"/>
        <v>61093</v>
      </c>
      <c r="J452" s="780">
        <f t="shared" si="253"/>
        <v>13727</v>
      </c>
      <c r="K452" s="780">
        <f t="shared" si="253"/>
        <v>0</v>
      </c>
      <c r="L452" s="780">
        <f t="shared" si="253"/>
        <v>74820</v>
      </c>
      <c r="M452" s="780">
        <f t="shared" si="253"/>
        <v>0</v>
      </c>
      <c r="N452" s="780">
        <f t="shared" si="253"/>
        <v>0</v>
      </c>
      <c r="O452" s="780">
        <f t="shared" si="253"/>
        <v>0</v>
      </c>
    </row>
    <row r="453" spans="1:15" s="781" customFormat="1" ht="31.5" x14ac:dyDescent="0.25">
      <c r="A453" s="777"/>
      <c r="B453" s="778" t="s">
        <v>935</v>
      </c>
      <c r="C453" s="779">
        <f>C14+C28+C45+C58+C71+C84+C97+C110+C124+C137+C150+C163+C176+C189+C202+C215+C226+C237+C249+C262+C293+C307+C321+C345+C279+C434</f>
        <v>61457</v>
      </c>
      <c r="D453" s="779">
        <f t="shared" ref="D453:O453" si="254">D14+D28+D45+D58+D71+D84+D97+D110+D124+D137+D150+D163+D176+D189+D202+D215+D226+D237+D249+D262+D293+D307+D321+D345+D279+D434</f>
        <v>10916</v>
      </c>
      <c r="E453" s="779">
        <f t="shared" si="254"/>
        <v>142739</v>
      </c>
      <c r="F453" s="779">
        <f t="shared" si="254"/>
        <v>2</v>
      </c>
      <c r="G453" s="779">
        <f t="shared" si="254"/>
        <v>0</v>
      </c>
      <c r="H453" s="780">
        <f t="shared" si="254"/>
        <v>215114</v>
      </c>
      <c r="I453" s="780">
        <f t="shared" si="254"/>
        <v>13927</v>
      </c>
      <c r="J453" s="780">
        <f t="shared" si="254"/>
        <v>0</v>
      </c>
      <c r="K453" s="780">
        <f t="shared" si="254"/>
        <v>0</v>
      </c>
      <c r="L453" s="780">
        <f t="shared" si="254"/>
        <v>13927</v>
      </c>
      <c r="M453" s="780">
        <f t="shared" si="254"/>
        <v>229041</v>
      </c>
      <c r="N453" s="780">
        <f t="shared" si="254"/>
        <v>0</v>
      </c>
      <c r="O453" s="780">
        <f t="shared" si="254"/>
        <v>229041</v>
      </c>
    </row>
    <row r="454" spans="1:15" s="781" customFormat="1" ht="78.75" x14ac:dyDescent="0.25">
      <c r="A454" s="777"/>
      <c r="B454" s="778" t="s">
        <v>1230</v>
      </c>
      <c r="C454" s="779">
        <f t="shared" ref="C454:O454" si="255">C29</f>
        <v>0</v>
      </c>
      <c r="D454" s="779">
        <f t="shared" si="255"/>
        <v>0</v>
      </c>
      <c r="E454" s="779">
        <f t="shared" si="255"/>
        <v>-2556</v>
      </c>
      <c r="F454" s="779">
        <f t="shared" si="255"/>
        <v>0</v>
      </c>
      <c r="G454" s="779">
        <f t="shared" si="255"/>
        <v>0</v>
      </c>
      <c r="H454" s="780">
        <f t="shared" si="255"/>
        <v>-2556</v>
      </c>
      <c r="I454" s="780">
        <f t="shared" si="255"/>
        <v>0</v>
      </c>
      <c r="J454" s="780">
        <f t="shared" si="255"/>
        <v>0</v>
      </c>
      <c r="K454" s="780">
        <f t="shared" si="255"/>
        <v>0</v>
      </c>
      <c r="L454" s="780">
        <f t="shared" si="255"/>
        <v>0</v>
      </c>
      <c r="M454" s="780">
        <f t="shared" si="255"/>
        <v>-2556</v>
      </c>
      <c r="N454" s="780">
        <f t="shared" si="255"/>
        <v>0</v>
      </c>
      <c r="O454" s="780">
        <f t="shared" si="255"/>
        <v>-2556</v>
      </c>
    </row>
    <row r="455" spans="1:15" s="781" customFormat="1" x14ac:dyDescent="0.25">
      <c r="A455" s="777"/>
      <c r="B455" s="782" t="s">
        <v>133</v>
      </c>
      <c r="C455" s="779"/>
      <c r="D455" s="779"/>
      <c r="E455" s="779"/>
      <c r="F455" s="779"/>
      <c r="G455" s="783"/>
      <c r="H455" s="780"/>
      <c r="I455" s="779"/>
      <c r="J455" s="779"/>
      <c r="K455" s="784"/>
      <c r="L455" s="780"/>
      <c r="M455" s="780"/>
      <c r="N455" s="780"/>
      <c r="O455" s="780"/>
    </row>
    <row r="456" spans="1:15" s="781" customFormat="1" x14ac:dyDescent="0.25">
      <c r="A456" s="777"/>
      <c r="B456" s="778" t="s">
        <v>1218</v>
      </c>
      <c r="C456" s="779">
        <f t="shared" ref="C456:O456" si="256">C392</f>
        <v>74</v>
      </c>
      <c r="D456" s="779">
        <f t="shared" si="256"/>
        <v>13</v>
      </c>
      <c r="E456" s="779">
        <f t="shared" si="256"/>
        <v>0</v>
      </c>
      <c r="F456" s="779">
        <f t="shared" si="256"/>
        <v>0</v>
      </c>
      <c r="G456" s="779">
        <f t="shared" si="256"/>
        <v>0</v>
      </c>
      <c r="H456" s="780">
        <f t="shared" si="256"/>
        <v>87</v>
      </c>
      <c r="I456" s="780">
        <f t="shared" si="256"/>
        <v>0</v>
      </c>
      <c r="J456" s="780">
        <f t="shared" si="256"/>
        <v>0</v>
      </c>
      <c r="K456" s="780">
        <f t="shared" si="256"/>
        <v>0</v>
      </c>
      <c r="L456" s="780">
        <f t="shared" si="256"/>
        <v>0</v>
      </c>
      <c r="M456" s="780">
        <f t="shared" si="256"/>
        <v>87</v>
      </c>
      <c r="N456" s="780">
        <f t="shared" si="256"/>
        <v>0</v>
      </c>
      <c r="O456" s="780">
        <f t="shared" si="256"/>
        <v>87</v>
      </c>
    </row>
    <row r="457" spans="1:15" s="781" customFormat="1" x14ac:dyDescent="0.25">
      <c r="A457" s="777"/>
      <c r="B457" s="778" t="s">
        <v>1210</v>
      </c>
      <c r="C457" s="779">
        <f t="shared" ref="C457:O457" si="257">C331+C372+C382+C393+C403</f>
        <v>3031</v>
      </c>
      <c r="D457" s="779">
        <f t="shared" si="257"/>
        <v>530</v>
      </c>
      <c r="E457" s="779">
        <f t="shared" si="257"/>
        <v>0</v>
      </c>
      <c r="F457" s="779">
        <f t="shared" si="257"/>
        <v>0</v>
      </c>
      <c r="G457" s="779">
        <f t="shared" si="257"/>
        <v>0</v>
      </c>
      <c r="H457" s="780">
        <f t="shared" si="257"/>
        <v>3561</v>
      </c>
      <c r="I457" s="780">
        <f t="shared" si="257"/>
        <v>0</v>
      </c>
      <c r="J457" s="780">
        <f t="shared" si="257"/>
        <v>0</v>
      </c>
      <c r="K457" s="780">
        <f t="shared" si="257"/>
        <v>0</v>
      </c>
      <c r="L457" s="780">
        <f t="shared" si="257"/>
        <v>0</v>
      </c>
      <c r="M457" s="780">
        <f t="shared" si="257"/>
        <v>3561</v>
      </c>
      <c r="N457" s="780">
        <f t="shared" si="257"/>
        <v>0</v>
      </c>
      <c r="O457" s="780">
        <f t="shared" si="257"/>
        <v>3561</v>
      </c>
    </row>
    <row r="458" spans="1:15" s="781" customFormat="1" x14ac:dyDescent="0.25">
      <c r="A458" s="777"/>
      <c r="B458" s="778" t="s">
        <v>1216</v>
      </c>
      <c r="C458" s="779">
        <f t="shared" ref="C458:O458" si="258">C32+C178+C251+C347+C416</f>
        <v>0</v>
      </c>
      <c r="D458" s="779">
        <f t="shared" si="258"/>
        <v>0</v>
      </c>
      <c r="E458" s="779">
        <f t="shared" si="258"/>
        <v>485</v>
      </c>
      <c r="F458" s="779">
        <f t="shared" si="258"/>
        <v>0</v>
      </c>
      <c r="G458" s="779">
        <f t="shared" si="258"/>
        <v>0</v>
      </c>
      <c r="H458" s="780">
        <f t="shared" si="258"/>
        <v>485</v>
      </c>
      <c r="I458" s="780">
        <f t="shared" si="258"/>
        <v>0</v>
      </c>
      <c r="J458" s="780">
        <f t="shared" si="258"/>
        <v>0</v>
      </c>
      <c r="K458" s="780">
        <f t="shared" si="258"/>
        <v>0</v>
      </c>
      <c r="L458" s="780">
        <f t="shared" si="258"/>
        <v>0</v>
      </c>
      <c r="M458" s="780">
        <f t="shared" si="258"/>
        <v>485</v>
      </c>
      <c r="N458" s="780">
        <f t="shared" si="258"/>
        <v>0</v>
      </c>
      <c r="O458" s="780">
        <f t="shared" si="258"/>
        <v>485</v>
      </c>
    </row>
    <row r="459" spans="1:15" s="781" customFormat="1" ht="16.5" thickBot="1" x14ac:dyDescent="0.3">
      <c r="A459" s="785"/>
      <c r="B459" s="786" t="s">
        <v>958</v>
      </c>
      <c r="C459" s="787">
        <f t="shared" ref="C459:O459" si="259">C417</f>
        <v>0</v>
      </c>
      <c r="D459" s="787">
        <f t="shared" si="259"/>
        <v>0</v>
      </c>
      <c r="E459" s="787">
        <f t="shared" si="259"/>
        <v>400</v>
      </c>
      <c r="F459" s="787">
        <f t="shared" si="259"/>
        <v>0</v>
      </c>
      <c r="G459" s="787">
        <f t="shared" si="259"/>
        <v>0</v>
      </c>
      <c r="H459" s="788">
        <f t="shared" si="259"/>
        <v>400</v>
      </c>
      <c r="I459" s="788">
        <f t="shared" si="259"/>
        <v>0</v>
      </c>
      <c r="J459" s="788">
        <f t="shared" si="259"/>
        <v>0</v>
      </c>
      <c r="K459" s="788">
        <f t="shared" si="259"/>
        <v>0</v>
      </c>
      <c r="L459" s="788">
        <f t="shared" si="259"/>
        <v>0</v>
      </c>
      <c r="M459" s="788">
        <f t="shared" si="259"/>
        <v>400</v>
      </c>
      <c r="N459" s="788">
        <f t="shared" si="259"/>
        <v>0</v>
      </c>
      <c r="O459" s="788">
        <f t="shared" si="259"/>
        <v>400</v>
      </c>
    </row>
    <row r="460" spans="1:15" s="781" customFormat="1" ht="31.5" x14ac:dyDescent="0.25">
      <c r="A460" s="789"/>
      <c r="B460" s="790" t="s">
        <v>1231</v>
      </c>
      <c r="C460" s="791">
        <f t="shared" ref="C460:O460" si="260">C362</f>
        <v>0</v>
      </c>
      <c r="D460" s="791">
        <f t="shared" si="260"/>
        <v>0</v>
      </c>
      <c r="E460" s="791">
        <f t="shared" si="260"/>
        <v>150</v>
      </c>
      <c r="F460" s="791">
        <f t="shared" si="260"/>
        <v>0</v>
      </c>
      <c r="G460" s="791">
        <f t="shared" si="260"/>
        <v>0</v>
      </c>
      <c r="H460" s="792">
        <f t="shared" si="260"/>
        <v>150</v>
      </c>
      <c r="I460" s="792">
        <f t="shared" si="260"/>
        <v>0</v>
      </c>
      <c r="J460" s="792">
        <f t="shared" si="260"/>
        <v>0</v>
      </c>
      <c r="K460" s="792">
        <f t="shared" si="260"/>
        <v>0</v>
      </c>
      <c r="L460" s="792">
        <f t="shared" si="260"/>
        <v>0</v>
      </c>
      <c r="M460" s="792">
        <f t="shared" si="260"/>
        <v>150</v>
      </c>
      <c r="N460" s="792">
        <f t="shared" si="260"/>
        <v>0</v>
      </c>
      <c r="O460" s="792">
        <f t="shared" si="260"/>
        <v>150</v>
      </c>
    </row>
    <row r="461" spans="1:15" s="781" customFormat="1" x14ac:dyDescent="0.25">
      <c r="A461" s="777"/>
      <c r="B461" s="778" t="s">
        <v>1219</v>
      </c>
      <c r="C461" s="779">
        <f t="shared" ref="C461:O461" si="261">C16+C33+C47+C60+C73+C86+C99+C112+C126+C139+C152+C166+C179+C191+C204+C217+C228+C239+C252+C264+C281+C295+C309+C323+C332+C348+C363+C373+C383+C394+C404+C418</f>
        <v>27915</v>
      </c>
      <c r="D461" s="779">
        <f t="shared" si="261"/>
        <v>9074</v>
      </c>
      <c r="E461" s="779">
        <f t="shared" si="261"/>
        <v>0</v>
      </c>
      <c r="F461" s="779">
        <f t="shared" si="261"/>
        <v>0</v>
      </c>
      <c r="G461" s="779">
        <f t="shared" si="261"/>
        <v>0</v>
      </c>
      <c r="H461" s="780">
        <f t="shared" si="261"/>
        <v>36989</v>
      </c>
      <c r="I461" s="780">
        <f t="shared" si="261"/>
        <v>0</v>
      </c>
      <c r="J461" s="780">
        <f t="shared" si="261"/>
        <v>0</v>
      </c>
      <c r="K461" s="780">
        <f t="shared" si="261"/>
        <v>0</v>
      </c>
      <c r="L461" s="780">
        <f t="shared" si="261"/>
        <v>0</v>
      </c>
      <c r="M461" s="780">
        <f t="shared" si="261"/>
        <v>36989</v>
      </c>
      <c r="N461" s="780">
        <f t="shared" si="261"/>
        <v>0</v>
      </c>
      <c r="O461" s="780">
        <f t="shared" si="261"/>
        <v>36989</v>
      </c>
    </row>
    <row r="462" spans="1:15" s="781" customFormat="1" ht="32.25" thickBot="1" x14ac:dyDescent="0.3">
      <c r="A462" s="785"/>
      <c r="B462" s="786" t="s">
        <v>675</v>
      </c>
      <c r="C462" s="787">
        <f t="shared" ref="C462:O462" si="262">C333+C374+C384+C395+C405+C419</f>
        <v>21608</v>
      </c>
      <c r="D462" s="787">
        <f t="shared" si="262"/>
        <v>3594</v>
      </c>
      <c r="E462" s="787">
        <f t="shared" si="262"/>
        <v>-84790</v>
      </c>
      <c r="F462" s="787">
        <f t="shared" si="262"/>
        <v>0</v>
      </c>
      <c r="G462" s="787">
        <f t="shared" si="262"/>
        <v>0</v>
      </c>
      <c r="H462" s="788">
        <f t="shared" si="262"/>
        <v>-59588</v>
      </c>
      <c r="I462" s="788">
        <f t="shared" si="262"/>
        <v>50506</v>
      </c>
      <c r="J462" s="788">
        <f t="shared" si="262"/>
        <v>9082</v>
      </c>
      <c r="K462" s="788">
        <f t="shared" si="262"/>
        <v>0</v>
      </c>
      <c r="L462" s="788">
        <f t="shared" si="262"/>
        <v>59588</v>
      </c>
      <c r="M462" s="788">
        <f t="shared" si="262"/>
        <v>0</v>
      </c>
      <c r="N462" s="788">
        <f t="shared" si="262"/>
        <v>0</v>
      </c>
      <c r="O462" s="788">
        <f t="shared" si="262"/>
        <v>0</v>
      </c>
    </row>
    <row r="463" spans="1:15" s="781" customFormat="1" ht="31.5" x14ac:dyDescent="0.25">
      <c r="A463" s="789"/>
      <c r="B463" s="790" t="s">
        <v>935</v>
      </c>
      <c r="C463" s="791">
        <f t="shared" ref="C463:O463" si="263">C349+C364+C375+C385+C396+C406+C420+C436</f>
        <v>41903</v>
      </c>
      <c r="D463" s="791">
        <f t="shared" si="263"/>
        <v>7371</v>
      </c>
      <c r="E463" s="791">
        <f t="shared" si="263"/>
        <v>280445</v>
      </c>
      <c r="F463" s="791">
        <f t="shared" si="263"/>
        <v>0</v>
      </c>
      <c r="G463" s="791">
        <f t="shared" si="263"/>
        <v>0</v>
      </c>
      <c r="H463" s="792">
        <f t="shared" si="263"/>
        <v>329719</v>
      </c>
      <c r="I463" s="792">
        <f t="shared" si="263"/>
        <v>0</v>
      </c>
      <c r="J463" s="792">
        <f t="shared" si="263"/>
        <v>0</v>
      </c>
      <c r="K463" s="792">
        <f t="shared" si="263"/>
        <v>0</v>
      </c>
      <c r="L463" s="792">
        <f t="shared" si="263"/>
        <v>0</v>
      </c>
      <c r="M463" s="792">
        <f t="shared" si="263"/>
        <v>329719</v>
      </c>
      <c r="N463" s="792">
        <f t="shared" si="263"/>
        <v>0</v>
      </c>
      <c r="O463" s="792">
        <f t="shared" si="263"/>
        <v>329719</v>
      </c>
    </row>
    <row r="464" spans="1:15" s="781" customFormat="1" x14ac:dyDescent="0.25">
      <c r="A464" s="777"/>
      <c r="B464" s="793" t="s">
        <v>349</v>
      </c>
      <c r="C464" s="779"/>
      <c r="D464" s="779"/>
      <c r="E464" s="779"/>
      <c r="F464" s="779"/>
      <c r="G464" s="779"/>
      <c r="H464" s="780"/>
      <c r="I464" s="780"/>
      <c r="J464" s="780"/>
      <c r="K464" s="780"/>
      <c r="L464" s="780"/>
      <c r="M464" s="780"/>
      <c r="N464" s="780"/>
      <c r="O464" s="780"/>
    </row>
    <row r="465" spans="1:16" s="781" customFormat="1" ht="32.25" thickBot="1" x14ac:dyDescent="0.3">
      <c r="A465" s="777"/>
      <c r="B465" s="778" t="s">
        <v>675</v>
      </c>
      <c r="C465" s="779">
        <f t="shared" ref="C465:O465" si="264">C439</f>
        <v>0</v>
      </c>
      <c r="D465" s="779">
        <f t="shared" si="264"/>
        <v>0</v>
      </c>
      <c r="E465" s="779">
        <f t="shared" si="264"/>
        <v>-2897</v>
      </c>
      <c r="F465" s="779">
        <f t="shared" si="264"/>
        <v>0</v>
      </c>
      <c r="G465" s="779">
        <f t="shared" si="264"/>
        <v>0</v>
      </c>
      <c r="H465" s="780">
        <f t="shared" si="264"/>
        <v>-2897</v>
      </c>
      <c r="I465" s="780">
        <f t="shared" si="264"/>
        <v>0</v>
      </c>
      <c r="J465" s="780">
        <f t="shared" si="264"/>
        <v>2897</v>
      </c>
      <c r="K465" s="780">
        <f t="shared" si="264"/>
        <v>0</v>
      </c>
      <c r="L465" s="780">
        <f t="shared" si="264"/>
        <v>2897</v>
      </c>
      <c r="M465" s="780">
        <f t="shared" si="264"/>
        <v>0</v>
      </c>
      <c r="N465" s="780">
        <f t="shared" si="264"/>
        <v>0</v>
      </c>
      <c r="O465" s="780">
        <f t="shared" si="264"/>
        <v>0</v>
      </c>
    </row>
    <row r="466" spans="1:16" ht="17.25" thickTop="1" thickBot="1" x14ac:dyDescent="0.3">
      <c r="A466" s="703"/>
      <c r="B466" s="802" t="s">
        <v>396</v>
      </c>
      <c r="C466" s="824">
        <f t="shared" ref="C466:O466" si="265">SUM(C445:C465)</f>
        <v>8345374</v>
      </c>
      <c r="D466" s="824">
        <f t="shared" si="265"/>
        <v>1751574</v>
      </c>
      <c r="E466" s="824">
        <f t="shared" si="265"/>
        <v>5590705</v>
      </c>
      <c r="F466" s="824">
        <f t="shared" si="265"/>
        <v>35658</v>
      </c>
      <c r="G466" s="824">
        <f t="shared" si="265"/>
        <v>1</v>
      </c>
      <c r="H466" s="824">
        <f t="shared" si="265"/>
        <v>15723312</v>
      </c>
      <c r="I466" s="824">
        <f t="shared" si="265"/>
        <v>369717</v>
      </c>
      <c r="J466" s="824">
        <f t="shared" si="265"/>
        <v>44474</v>
      </c>
      <c r="K466" s="824">
        <f t="shared" si="265"/>
        <v>0</v>
      </c>
      <c r="L466" s="824">
        <f t="shared" si="265"/>
        <v>414191</v>
      </c>
      <c r="M466" s="824">
        <f t="shared" si="265"/>
        <v>16137503</v>
      </c>
      <c r="N466" s="824">
        <f t="shared" si="265"/>
        <v>0</v>
      </c>
      <c r="O466" s="824">
        <f t="shared" si="265"/>
        <v>16137503</v>
      </c>
      <c r="P466" s="683">
        <f>+O467+O468+O469</f>
        <v>16137503</v>
      </c>
    </row>
    <row r="467" spans="1:16" ht="17.25" thickTop="1" thickBot="1" x14ac:dyDescent="0.3">
      <c r="A467" s="703"/>
      <c r="B467" s="802" t="s">
        <v>399</v>
      </c>
      <c r="C467" s="803">
        <f t="shared" ref="C467:O467" si="266">SUM(C18+C35+C49+C62+C75+C88+C101+C114+C128+C141+C154+C168+C181+C193+C206+C219+C230+C241+C254+C266+C283+C297+C311+C325+C351+C366+C422+C441)</f>
        <v>5996951</v>
      </c>
      <c r="D467" s="803">
        <f t="shared" si="266"/>
        <v>1266453</v>
      </c>
      <c r="E467" s="803">
        <f t="shared" si="266"/>
        <v>4167643</v>
      </c>
      <c r="F467" s="803">
        <f t="shared" si="266"/>
        <v>35658</v>
      </c>
      <c r="G467" s="803">
        <f t="shared" si="266"/>
        <v>1</v>
      </c>
      <c r="H467" s="803">
        <f t="shared" si="266"/>
        <v>11466706</v>
      </c>
      <c r="I467" s="803">
        <f t="shared" si="266"/>
        <v>233063</v>
      </c>
      <c r="J467" s="803">
        <f t="shared" si="266"/>
        <v>30662</v>
      </c>
      <c r="K467" s="803">
        <f t="shared" si="266"/>
        <v>0</v>
      </c>
      <c r="L467" s="803">
        <f t="shared" si="266"/>
        <v>263725</v>
      </c>
      <c r="M467" s="803">
        <f t="shared" si="266"/>
        <v>11730431</v>
      </c>
      <c r="N467" s="803">
        <f t="shared" si="266"/>
        <v>0</v>
      </c>
      <c r="O467" s="803">
        <f t="shared" si="266"/>
        <v>11730431</v>
      </c>
    </row>
    <row r="468" spans="1:16" ht="17.25" thickTop="1" thickBot="1" x14ac:dyDescent="0.3">
      <c r="A468" s="703"/>
      <c r="B468" s="802" t="s">
        <v>398</v>
      </c>
      <c r="C468" s="803">
        <f t="shared" ref="C468:O468" si="267">SUM(C19+C36+C50+C63+C76+C89+C102+C115+C129+C142+C155+C169+C182+C194+C207+C220+C231+C242+C255+C267+C284+C298+C312+C326+C335+C352+C367+C387+C398+C423+C408+C442+C377)</f>
        <v>1706489</v>
      </c>
      <c r="D468" s="803">
        <f t="shared" si="267"/>
        <v>346211</v>
      </c>
      <c r="E468" s="803">
        <f t="shared" si="267"/>
        <v>1258290</v>
      </c>
      <c r="F468" s="803">
        <f t="shared" si="267"/>
        <v>0</v>
      </c>
      <c r="G468" s="803">
        <f t="shared" si="267"/>
        <v>0</v>
      </c>
      <c r="H468" s="803">
        <f t="shared" si="267"/>
        <v>3310990</v>
      </c>
      <c r="I468" s="803">
        <f t="shared" si="267"/>
        <v>96390</v>
      </c>
      <c r="J468" s="803">
        <f t="shared" si="267"/>
        <v>9082</v>
      </c>
      <c r="K468" s="803">
        <f t="shared" si="267"/>
        <v>0</v>
      </c>
      <c r="L468" s="803">
        <f t="shared" si="267"/>
        <v>105472</v>
      </c>
      <c r="M468" s="803">
        <f t="shared" si="267"/>
        <v>3416462</v>
      </c>
      <c r="N468" s="803">
        <f t="shared" si="267"/>
        <v>0</v>
      </c>
      <c r="O468" s="803">
        <f t="shared" si="267"/>
        <v>3416462</v>
      </c>
    </row>
    <row r="469" spans="1:16" ht="33" thickTop="1" thickBot="1" x14ac:dyDescent="0.3">
      <c r="A469" s="703"/>
      <c r="B469" s="802" t="s">
        <v>468</v>
      </c>
      <c r="C469" s="803">
        <f t="shared" ref="C469:O469" si="268">SUM(C443)</f>
        <v>641934</v>
      </c>
      <c r="D469" s="803">
        <f t="shared" si="268"/>
        <v>138910</v>
      </c>
      <c r="E469" s="803">
        <f t="shared" si="268"/>
        <v>164772</v>
      </c>
      <c r="F469" s="803">
        <f t="shared" si="268"/>
        <v>0</v>
      </c>
      <c r="G469" s="803">
        <f t="shared" si="268"/>
        <v>0</v>
      </c>
      <c r="H469" s="803">
        <f t="shared" si="268"/>
        <v>945616</v>
      </c>
      <c r="I469" s="803">
        <f t="shared" si="268"/>
        <v>40264</v>
      </c>
      <c r="J469" s="803">
        <f t="shared" si="268"/>
        <v>4730</v>
      </c>
      <c r="K469" s="803">
        <f t="shared" si="268"/>
        <v>0</v>
      </c>
      <c r="L469" s="803">
        <f t="shared" si="268"/>
        <v>44994</v>
      </c>
      <c r="M469" s="803">
        <f t="shared" si="268"/>
        <v>990610</v>
      </c>
      <c r="N469" s="803">
        <f t="shared" si="268"/>
        <v>0</v>
      </c>
      <c r="O469" s="803">
        <f t="shared" si="268"/>
        <v>990610</v>
      </c>
    </row>
    <row r="470" spans="1:16" ht="16.5" thickTop="1" x14ac:dyDescent="0.25"/>
    <row r="471" spans="1:16" x14ac:dyDescent="0.25">
      <c r="C471" s="683">
        <f t="shared" ref="C471:O471" si="269">SUM(C466-C445)</f>
        <v>192854</v>
      </c>
      <c r="D471" s="683">
        <f t="shared" si="269"/>
        <v>38637</v>
      </c>
      <c r="E471" s="683">
        <f t="shared" si="269"/>
        <v>243043</v>
      </c>
      <c r="F471" s="683">
        <f t="shared" si="269"/>
        <v>9542</v>
      </c>
      <c r="G471" s="683">
        <f t="shared" si="269"/>
        <v>1</v>
      </c>
      <c r="H471" s="683">
        <f t="shared" si="269"/>
        <v>484077</v>
      </c>
      <c r="I471" s="683">
        <f t="shared" si="269"/>
        <v>125526</v>
      </c>
      <c r="J471" s="683">
        <f t="shared" si="269"/>
        <v>25706</v>
      </c>
      <c r="K471" s="683">
        <f t="shared" si="269"/>
        <v>0</v>
      </c>
      <c r="L471" s="683">
        <f t="shared" si="269"/>
        <v>151232</v>
      </c>
      <c r="M471" s="683">
        <f t="shared" si="269"/>
        <v>635309</v>
      </c>
      <c r="N471" s="683">
        <f t="shared" si="269"/>
        <v>0</v>
      </c>
      <c r="O471" s="683">
        <f t="shared" si="269"/>
        <v>635309</v>
      </c>
    </row>
    <row r="473" spans="1:16" x14ac:dyDescent="0.25">
      <c r="B473" s="794" t="s">
        <v>879</v>
      </c>
      <c r="C473" s="683">
        <f>+C466</f>
        <v>8345374</v>
      </c>
      <c r="D473" s="683">
        <f t="shared" ref="C473:N476" si="270">+D466</f>
        <v>1751574</v>
      </c>
      <c r="E473" s="683">
        <f t="shared" si="270"/>
        <v>5590705</v>
      </c>
      <c r="F473" s="683">
        <f t="shared" si="270"/>
        <v>35658</v>
      </c>
      <c r="G473" s="683">
        <f t="shared" si="270"/>
        <v>1</v>
      </c>
      <c r="H473" s="683">
        <f t="shared" si="270"/>
        <v>15723312</v>
      </c>
      <c r="I473" s="683">
        <f t="shared" si="270"/>
        <v>369717</v>
      </c>
      <c r="J473" s="683">
        <f t="shared" si="270"/>
        <v>44474</v>
      </c>
      <c r="K473" s="683">
        <f t="shared" si="270"/>
        <v>0</v>
      </c>
      <c r="L473" s="683">
        <f t="shared" si="270"/>
        <v>414191</v>
      </c>
      <c r="M473" s="683">
        <f t="shared" si="270"/>
        <v>16137503</v>
      </c>
      <c r="N473" s="683">
        <f t="shared" si="270"/>
        <v>0</v>
      </c>
      <c r="O473" s="683">
        <f>+O466</f>
        <v>16137503</v>
      </c>
    </row>
    <row r="474" spans="1:16" x14ac:dyDescent="0.25">
      <c r="B474" s="794" t="s">
        <v>880</v>
      </c>
      <c r="C474" s="683">
        <f t="shared" si="270"/>
        <v>5996951</v>
      </c>
      <c r="D474" s="683">
        <f t="shared" si="270"/>
        <v>1266453</v>
      </c>
      <c r="E474" s="683">
        <f t="shared" si="270"/>
        <v>4167643</v>
      </c>
      <c r="F474" s="683">
        <f t="shared" si="270"/>
        <v>35658</v>
      </c>
      <c r="G474" s="683">
        <f t="shared" si="270"/>
        <v>1</v>
      </c>
      <c r="H474" s="683">
        <f t="shared" si="270"/>
        <v>11466706</v>
      </c>
      <c r="I474" s="683">
        <f t="shared" si="270"/>
        <v>233063</v>
      </c>
      <c r="J474" s="683">
        <f t="shared" si="270"/>
        <v>30662</v>
      </c>
      <c r="K474" s="683">
        <f t="shared" si="270"/>
        <v>0</v>
      </c>
      <c r="L474" s="683">
        <f t="shared" si="270"/>
        <v>263725</v>
      </c>
      <c r="M474" s="683">
        <f t="shared" si="270"/>
        <v>11730431</v>
      </c>
      <c r="N474" s="683">
        <f t="shared" si="270"/>
        <v>0</v>
      </c>
      <c r="O474" s="683">
        <f>+O467</f>
        <v>11730431</v>
      </c>
    </row>
    <row r="475" spans="1:16" x14ac:dyDescent="0.25">
      <c r="B475" s="794" t="s">
        <v>398</v>
      </c>
      <c r="C475" s="683">
        <f t="shared" si="270"/>
        <v>1706489</v>
      </c>
      <c r="D475" s="683">
        <f t="shared" si="270"/>
        <v>346211</v>
      </c>
      <c r="E475" s="683">
        <f t="shared" si="270"/>
        <v>1258290</v>
      </c>
      <c r="F475" s="683">
        <f t="shared" si="270"/>
        <v>0</v>
      </c>
      <c r="G475" s="683">
        <f t="shared" si="270"/>
        <v>0</v>
      </c>
      <c r="H475" s="683">
        <f t="shared" si="270"/>
        <v>3310990</v>
      </c>
      <c r="I475" s="683">
        <f t="shared" si="270"/>
        <v>96390</v>
      </c>
      <c r="J475" s="683">
        <f t="shared" si="270"/>
        <v>9082</v>
      </c>
      <c r="K475" s="683">
        <f t="shared" si="270"/>
        <v>0</v>
      </c>
      <c r="L475" s="683">
        <f t="shared" si="270"/>
        <v>105472</v>
      </c>
      <c r="M475" s="683">
        <f t="shared" si="270"/>
        <v>3416462</v>
      </c>
      <c r="N475" s="683">
        <f t="shared" si="270"/>
        <v>0</v>
      </c>
      <c r="O475" s="683">
        <f>+O468</f>
        <v>3416462</v>
      </c>
    </row>
    <row r="476" spans="1:16" x14ac:dyDescent="0.25">
      <c r="B476" s="794" t="s">
        <v>881</v>
      </c>
      <c r="C476" s="683">
        <f t="shared" si="270"/>
        <v>641934</v>
      </c>
      <c r="D476" s="683">
        <f t="shared" si="270"/>
        <v>138910</v>
      </c>
      <c r="E476" s="683">
        <f t="shared" si="270"/>
        <v>164772</v>
      </c>
      <c r="F476" s="683">
        <f t="shared" si="270"/>
        <v>0</v>
      </c>
      <c r="G476" s="683">
        <f t="shared" si="270"/>
        <v>0</v>
      </c>
      <c r="H476" s="683">
        <f t="shared" si="270"/>
        <v>945616</v>
      </c>
      <c r="I476" s="683">
        <f t="shared" si="270"/>
        <v>40264</v>
      </c>
      <c r="J476" s="683">
        <f t="shared" si="270"/>
        <v>4730</v>
      </c>
      <c r="K476" s="683">
        <f t="shared" si="270"/>
        <v>0</v>
      </c>
      <c r="L476" s="683">
        <f t="shared" si="270"/>
        <v>44994</v>
      </c>
      <c r="M476" s="683">
        <f t="shared" si="270"/>
        <v>990610</v>
      </c>
      <c r="N476" s="683">
        <f t="shared" si="270"/>
        <v>0</v>
      </c>
      <c r="O476" s="683">
        <f>+O469</f>
        <v>990610</v>
      </c>
    </row>
    <row r="477" spans="1:16" x14ac:dyDescent="0.25">
      <c r="C477" s="683">
        <f>SUM(C474:C476)-C471</f>
        <v>8152520</v>
      </c>
      <c r="D477" s="683">
        <f t="shared" ref="D477:O477" si="271">SUM(D474:D476)-D471</f>
        <v>1712937</v>
      </c>
      <c r="E477" s="683">
        <f t="shared" si="271"/>
        <v>5347662</v>
      </c>
      <c r="F477" s="683">
        <f t="shared" si="271"/>
        <v>26116</v>
      </c>
      <c r="G477" s="683">
        <f>SUM(G474:G476)-G471</f>
        <v>0</v>
      </c>
      <c r="H477" s="683">
        <f t="shared" si="271"/>
        <v>15239235</v>
      </c>
      <c r="I477" s="683">
        <f t="shared" si="271"/>
        <v>244191</v>
      </c>
      <c r="J477" s="683">
        <f t="shared" si="271"/>
        <v>18768</v>
      </c>
      <c r="K477" s="683">
        <f t="shared" si="271"/>
        <v>0</v>
      </c>
      <c r="L477" s="683">
        <f t="shared" si="271"/>
        <v>262959</v>
      </c>
      <c r="M477" s="683">
        <f t="shared" si="271"/>
        <v>15502194</v>
      </c>
      <c r="N477" s="683">
        <f t="shared" si="271"/>
        <v>0</v>
      </c>
      <c r="O477" s="683">
        <f t="shared" si="271"/>
        <v>15502194</v>
      </c>
    </row>
    <row r="478" spans="1:16" x14ac:dyDescent="0.25">
      <c r="C478" s="683"/>
      <c r="D478" s="683"/>
      <c r="E478" s="683"/>
      <c r="F478" s="683"/>
      <c r="G478" s="683"/>
      <c r="H478" s="683"/>
      <c r="I478" s="683"/>
      <c r="J478" s="683"/>
      <c r="K478" s="683"/>
      <c r="L478" s="683"/>
      <c r="M478" s="683"/>
      <c r="N478" s="683"/>
      <c r="O478" s="683"/>
    </row>
    <row r="479" spans="1:16" x14ac:dyDescent="0.25">
      <c r="C479" s="683">
        <f>SUM(C480:C482)</f>
        <v>192854</v>
      </c>
      <c r="D479" s="683">
        <f t="shared" ref="D479:O479" si="272">SUM(D480:D482)</f>
        <v>38637</v>
      </c>
      <c r="E479" s="683">
        <f t="shared" si="272"/>
        <v>243043</v>
      </c>
      <c r="F479" s="683">
        <f t="shared" si="272"/>
        <v>9542</v>
      </c>
      <c r="G479" s="683">
        <f t="shared" si="272"/>
        <v>1</v>
      </c>
      <c r="H479" s="683">
        <f t="shared" si="272"/>
        <v>484077</v>
      </c>
      <c r="I479" s="683">
        <f t="shared" si="272"/>
        <v>125526</v>
      </c>
      <c r="J479" s="683">
        <f t="shared" si="272"/>
        <v>25706</v>
      </c>
      <c r="K479" s="683">
        <f t="shared" si="272"/>
        <v>0</v>
      </c>
      <c r="L479" s="683">
        <f t="shared" si="272"/>
        <v>151232</v>
      </c>
      <c r="M479" s="683">
        <f t="shared" si="272"/>
        <v>635309</v>
      </c>
      <c r="N479" s="683">
        <f t="shared" si="272"/>
        <v>0</v>
      </c>
      <c r="O479" s="683">
        <f t="shared" si="272"/>
        <v>635309</v>
      </c>
    </row>
    <row r="480" spans="1:16" x14ac:dyDescent="0.25">
      <c r="B480" s="794" t="s">
        <v>880</v>
      </c>
      <c r="C480" s="683">
        <f t="shared" ref="C480:O480" si="273">SUM(C447:C454)</f>
        <v>98323</v>
      </c>
      <c r="D480" s="683">
        <f t="shared" si="273"/>
        <v>18055</v>
      </c>
      <c r="E480" s="683">
        <f t="shared" si="273"/>
        <v>49250</v>
      </c>
      <c r="F480" s="683">
        <f t="shared" si="273"/>
        <v>9542</v>
      </c>
      <c r="G480" s="683">
        <f t="shared" si="273"/>
        <v>1</v>
      </c>
      <c r="H480" s="683">
        <f t="shared" si="273"/>
        <v>175171</v>
      </c>
      <c r="I480" s="683">
        <f t="shared" si="273"/>
        <v>75020</v>
      </c>
      <c r="J480" s="683">
        <f t="shared" si="273"/>
        <v>13727</v>
      </c>
      <c r="K480" s="683">
        <f t="shared" si="273"/>
        <v>0</v>
      </c>
      <c r="L480" s="683">
        <f t="shared" si="273"/>
        <v>88747</v>
      </c>
      <c r="M480" s="683">
        <f t="shared" si="273"/>
        <v>263918</v>
      </c>
      <c r="N480" s="683">
        <f t="shared" si="273"/>
        <v>0</v>
      </c>
      <c r="O480" s="683">
        <f t="shared" si="273"/>
        <v>263918</v>
      </c>
    </row>
    <row r="481" spans="2:15" x14ac:dyDescent="0.25">
      <c r="B481" s="794" t="s">
        <v>398</v>
      </c>
      <c r="C481" s="683">
        <f t="shared" ref="C481:O481" si="274">SUM(C456:C463)</f>
        <v>94531</v>
      </c>
      <c r="D481" s="683">
        <f t="shared" si="274"/>
        <v>20582</v>
      </c>
      <c r="E481" s="683">
        <f t="shared" si="274"/>
        <v>196690</v>
      </c>
      <c r="F481" s="683">
        <f t="shared" si="274"/>
        <v>0</v>
      </c>
      <c r="G481" s="683">
        <f t="shared" si="274"/>
        <v>0</v>
      </c>
      <c r="H481" s="683">
        <f t="shared" si="274"/>
        <v>311803</v>
      </c>
      <c r="I481" s="683">
        <f t="shared" si="274"/>
        <v>50506</v>
      </c>
      <c r="J481" s="683">
        <f t="shared" si="274"/>
        <v>9082</v>
      </c>
      <c r="K481" s="683">
        <f t="shared" si="274"/>
        <v>0</v>
      </c>
      <c r="L481" s="683">
        <f t="shared" si="274"/>
        <v>59588</v>
      </c>
      <c r="M481" s="683">
        <f t="shared" si="274"/>
        <v>371391</v>
      </c>
      <c r="N481" s="683">
        <f t="shared" si="274"/>
        <v>0</v>
      </c>
      <c r="O481" s="683">
        <f t="shared" si="274"/>
        <v>371391</v>
      </c>
    </row>
    <row r="482" spans="2:15" x14ac:dyDescent="0.25">
      <c r="B482" s="794" t="s">
        <v>881</v>
      </c>
      <c r="C482" s="683">
        <f t="shared" ref="C482:O482" si="275">SUM(C465)</f>
        <v>0</v>
      </c>
      <c r="D482" s="683">
        <f t="shared" si="275"/>
        <v>0</v>
      </c>
      <c r="E482" s="683">
        <f t="shared" si="275"/>
        <v>-2897</v>
      </c>
      <c r="F482" s="683">
        <f t="shared" si="275"/>
        <v>0</v>
      </c>
      <c r="G482" s="683">
        <f t="shared" si="275"/>
        <v>0</v>
      </c>
      <c r="H482" s="683">
        <f t="shared" si="275"/>
        <v>-2897</v>
      </c>
      <c r="I482" s="683">
        <f t="shared" si="275"/>
        <v>0</v>
      </c>
      <c r="J482" s="683">
        <f t="shared" si="275"/>
        <v>2897</v>
      </c>
      <c r="K482" s="683">
        <f t="shared" si="275"/>
        <v>0</v>
      </c>
      <c r="L482" s="683">
        <f t="shared" si="275"/>
        <v>2897</v>
      </c>
      <c r="M482" s="683">
        <f t="shared" si="275"/>
        <v>0</v>
      </c>
      <c r="N482" s="683">
        <f t="shared" si="275"/>
        <v>0</v>
      </c>
      <c r="O482" s="683">
        <f t="shared" si="275"/>
        <v>0</v>
      </c>
    </row>
    <row r="484" spans="2:15" x14ac:dyDescent="0.25">
      <c r="C484" s="683">
        <f>+C474-C480</f>
        <v>5898628</v>
      </c>
      <c r="D484" s="683">
        <f t="shared" ref="D484:O486" si="276">+D474-D480</f>
        <v>1248398</v>
      </c>
      <c r="E484" s="683">
        <f t="shared" si="276"/>
        <v>4118393</v>
      </c>
      <c r="F484" s="683">
        <f t="shared" si="276"/>
        <v>26116</v>
      </c>
      <c r="G484" s="683">
        <f t="shared" si="276"/>
        <v>0</v>
      </c>
      <c r="H484" s="683">
        <f t="shared" si="276"/>
        <v>11291535</v>
      </c>
      <c r="I484" s="683">
        <f t="shared" si="276"/>
        <v>158043</v>
      </c>
      <c r="J484" s="683">
        <f t="shared" si="276"/>
        <v>16935</v>
      </c>
      <c r="K484" s="683">
        <f t="shared" si="276"/>
        <v>0</v>
      </c>
      <c r="L484" s="683">
        <f t="shared" si="276"/>
        <v>174978</v>
      </c>
      <c r="M484" s="683">
        <f t="shared" si="276"/>
        <v>11466513</v>
      </c>
      <c r="N484" s="683">
        <f t="shared" si="276"/>
        <v>0</v>
      </c>
      <c r="O484" s="683">
        <f t="shared" si="276"/>
        <v>11466513</v>
      </c>
    </row>
    <row r="485" spans="2:15" x14ac:dyDescent="0.25">
      <c r="C485" s="683">
        <f>+C475-C481</f>
        <v>1611958</v>
      </c>
      <c r="D485" s="683">
        <f t="shared" si="276"/>
        <v>325629</v>
      </c>
      <c r="E485" s="683">
        <f t="shared" si="276"/>
        <v>1061600</v>
      </c>
      <c r="F485" s="683">
        <f t="shared" si="276"/>
        <v>0</v>
      </c>
      <c r="G485" s="683">
        <f t="shared" si="276"/>
        <v>0</v>
      </c>
      <c r="H485" s="683">
        <f t="shared" si="276"/>
        <v>2999187</v>
      </c>
      <c r="I485" s="683">
        <f t="shared" si="276"/>
        <v>45884</v>
      </c>
      <c r="J485" s="683">
        <f t="shared" si="276"/>
        <v>0</v>
      </c>
      <c r="K485" s="683">
        <f t="shared" si="276"/>
        <v>0</v>
      </c>
      <c r="L485" s="683">
        <f t="shared" si="276"/>
        <v>45884</v>
      </c>
      <c r="M485" s="683">
        <f t="shared" si="276"/>
        <v>3045071</v>
      </c>
      <c r="N485" s="683">
        <f t="shared" si="276"/>
        <v>0</v>
      </c>
      <c r="O485" s="683">
        <f t="shared" si="276"/>
        <v>3045071</v>
      </c>
    </row>
    <row r="486" spans="2:15" x14ac:dyDescent="0.25">
      <c r="C486" s="683">
        <f>+C476-C482</f>
        <v>641934</v>
      </c>
      <c r="D486" s="683">
        <f t="shared" si="276"/>
        <v>138910</v>
      </c>
      <c r="E486" s="683">
        <f t="shared" si="276"/>
        <v>167669</v>
      </c>
      <c r="F486" s="683">
        <f t="shared" si="276"/>
        <v>0</v>
      </c>
      <c r="G486" s="683">
        <f t="shared" si="276"/>
        <v>0</v>
      </c>
      <c r="H486" s="683">
        <f t="shared" si="276"/>
        <v>948513</v>
      </c>
      <c r="I486" s="683">
        <f t="shared" si="276"/>
        <v>40264</v>
      </c>
      <c r="J486" s="683">
        <f t="shared" si="276"/>
        <v>1833</v>
      </c>
      <c r="K486" s="683">
        <f t="shared" si="276"/>
        <v>0</v>
      </c>
      <c r="L486" s="683">
        <f t="shared" si="276"/>
        <v>42097</v>
      </c>
      <c r="M486" s="683">
        <f t="shared" si="276"/>
        <v>990610</v>
      </c>
      <c r="N486" s="683">
        <f t="shared" si="276"/>
        <v>0</v>
      </c>
      <c r="O486" s="683">
        <f t="shared" si="276"/>
        <v>990610</v>
      </c>
    </row>
  </sheetData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Header>&amp;CKöltségvetési szervek 2019. évi kiadási előirányzat (eFt-ban)&amp;R&amp;"Times New Roman CE,Félkövér"7.melléklet a 6/2020.(II.24.) önkormányzati rendelethez&amp;"Times New Roman CE,Normál"
 8. melléklet az 5/2019 (II.15.) önkormányzati rendelethez</oddHeader>
  </headerFooter>
  <rowBreaks count="3" manualBreakCount="3">
    <brk id="37" max="14" man="1"/>
    <brk id="239" max="14" man="1"/>
    <brk id="277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F7093-87E2-4684-8764-B2A41DB3D937}">
  <sheetPr>
    <tabColor rgb="FF00B0F0"/>
    <pageSetUpPr fitToPage="1"/>
  </sheetPr>
  <dimension ref="A1:R2100"/>
  <sheetViews>
    <sheetView topLeftCell="F1" zoomScale="75" zoomScaleNormal="75" workbookViewId="0">
      <selection activeCell="F1" sqref="A1:XFD1048576"/>
    </sheetView>
  </sheetViews>
  <sheetFormatPr defaultRowHeight="15" x14ac:dyDescent="0.25"/>
  <cols>
    <col min="1" max="1" width="31.125" style="873" customWidth="1"/>
    <col min="2" max="2" width="15.125" style="873" customWidth="1"/>
    <col min="3" max="3" width="15.75" style="873" customWidth="1"/>
    <col min="4" max="8" width="15.125" style="873" customWidth="1"/>
    <col min="9" max="10" width="15.75" style="873" customWidth="1"/>
    <col min="11" max="18" width="15.125" style="873" customWidth="1"/>
    <col min="19" max="16384" width="9" style="873"/>
  </cols>
  <sheetData>
    <row r="1" spans="1:18" ht="69" customHeight="1" thickTop="1" thickBot="1" x14ac:dyDescent="0.3">
      <c r="A1" s="834" t="s">
        <v>446</v>
      </c>
      <c r="B1" s="1028" t="s">
        <v>1232</v>
      </c>
      <c r="C1" s="1029"/>
      <c r="D1" s="1030"/>
      <c r="E1" s="870" t="s">
        <v>1233</v>
      </c>
      <c r="F1" s="871" t="s">
        <v>1232</v>
      </c>
      <c r="G1" s="871" t="s">
        <v>1234</v>
      </c>
      <c r="H1" s="871" t="s">
        <v>1235</v>
      </c>
      <c r="I1" s="1031" t="s">
        <v>1232</v>
      </c>
      <c r="J1" s="1030"/>
      <c r="K1" s="872" t="s">
        <v>1236</v>
      </c>
      <c r="L1" s="871" t="s">
        <v>1235</v>
      </c>
      <c r="M1" s="871"/>
      <c r="N1" s="871" t="s">
        <v>1235</v>
      </c>
      <c r="O1" s="871"/>
      <c r="P1" s="871" t="s">
        <v>1235</v>
      </c>
      <c r="Q1" s="871" t="s">
        <v>1237</v>
      </c>
      <c r="R1" s="871" t="s">
        <v>1235</v>
      </c>
    </row>
    <row r="2" spans="1:18" ht="17.25" thickTop="1" thickBot="1" x14ac:dyDescent="0.3">
      <c r="A2" s="835"/>
      <c r="B2" s="836" t="s">
        <v>1238</v>
      </c>
      <c r="C2" s="836" t="s">
        <v>1239</v>
      </c>
      <c r="D2" s="836" t="s">
        <v>1240</v>
      </c>
      <c r="E2" s="837" t="s">
        <v>1240</v>
      </c>
      <c r="F2" s="836" t="s">
        <v>1240</v>
      </c>
      <c r="G2" s="836" t="s">
        <v>1241</v>
      </c>
      <c r="H2" s="836" t="s">
        <v>1241</v>
      </c>
      <c r="I2" s="838" t="s">
        <v>1242</v>
      </c>
      <c r="J2" s="838" t="s">
        <v>1243</v>
      </c>
      <c r="K2" s="839" t="s">
        <v>1244</v>
      </c>
      <c r="L2" s="839" t="s">
        <v>1244</v>
      </c>
      <c r="M2" s="836" t="s">
        <v>1245</v>
      </c>
      <c r="N2" s="836" t="s">
        <v>1245</v>
      </c>
      <c r="O2" s="839" t="s">
        <v>1246</v>
      </c>
      <c r="P2" s="839" t="s">
        <v>1246</v>
      </c>
      <c r="Q2" s="839" t="s">
        <v>1247</v>
      </c>
      <c r="R2" s="839" t="s">
        <v>1248</v>
      </c>
    </row>
    <row r="3" spans="1:18" ht="16.5" thickTop="1" x14ac:dyDescent="0.25">
      <c r="A3" s="840" t="s">
        <v>432</v>
      </c>
      <c r="B3" s="841">
        <v>124.8</v>
      </c>
      <c r="C3" s="842">
        <v>124.8</v>
      </c>
      <c r="D3" s="843">
        <v>124.8</v>
      </c>
      <c r="E3" s="844"/>
      <c r="F3" s="842">
        <f>E3+D3</f>
        <v>124.8</v>
      </c>
      <c r="G3" s="842"/>
      <c r="H3" s="842">
        <f>G3+F3</f>
        <v>124.8</v>
      </c>
      <c r="I3" s="842">
        <v>124.8</v>
      </c>
      <c r="J3" s="842">
        <v>124.8</v>
      </c>
      <c r="K3" s="842"/>
      <c r="L3" s="842">
        <f>K3+J3</f>
        <v>124.8</v>
      </c>
      <c r="M3" s="842"/>
      <c r="N3" s="842">
        <f>M3+L3</f>
        <v>124.8</v>
      </c>
      <c r="O3" s="842"/>
      <c r="P3" s="842">
        <f>O3+N3</f>
        <v>124.8</v>
      </c>
      <c r="Q3" s="842"/>
      <c r="R3" s="842">
        <f>Q3+P3</f>
        <v>124.8</v>
      </c>
    </row>
    <row r="4" spans="1:18" ht="32.25" thickBot="1" x14ac:dyDescent="0.3">
      <c r="A4" s="845" t="s">
        <v>431</v>
      </c>
      <c r="B4" s="841">
        <v>25.5</v>
      </c>
      <c r="C4" s="842">
        <v>25.5</v>
      </c>
      <c r="D4" s="846">
        <v>25.5</v>
      </c>
      <c r="E4" s="847"/>
      <c r="F4" s="842">
        <f>E4+D4</f>
        <v>25.5</v>
      </c>
      <c r="G4" s="842"/>
      <c r="H4" s="842">
        <f>G4+F4</f>
        <v>25.5</v>
      </c>
      <c r="I4" s="842">
        <v>25.5</v>
      </c>
      <c r="J4" s="842">
        <v>25.5</v>
      </c>
      <c r="K4" s="842"/>
      <c r="L4" s="842">
        <f>K4+J4</f>
        <v>25.5</v>
      </c>
      <c r="M4" s="842"/>
      <c r="N4" s="842">
        <f>M4+L4</f>
        <v>25.5</v>
      </c>
      <c r="O4" s="842"/>
      <c r="P4" s="842">
        <f>O4+N4</f>
        <v>25.5</v>
      </c>
      <c r="Q4" s="842"/>
      <c r="R4" s="842">
        <f>Q4+P4</f>
        <v>25.5</v>
      </c>
    </row>
    <row r="5" spans="1:18" ht="17.25" thickTop="1" thickBot="1" x14ac:dyDescent="0.3">
      <c r="A5" s="835" t="s">
        <v>1249</v>
      </c>
      <c r="B5" s="848">
        <f t="shared" ref="B5:R5" si="0">SUM(B3:B4)</f>
        <v>150.30000000000001</v>
      </c>
      <c r="C5" s="848">
        <f t="shared" si="0"/>
        <v>150.30000000000001</v>
      </c>
      <c r="D5" s="848">
        <f t="shared" si="0"/>
        <v>150.30000000000001</v>
      </c>
      <c r="E5" s="849">
        <f>SUM(E3:E4)</f>
        <v>0</v>
      </c>
      <c r="F5" s="848">
        <f t="shared" si="0"/>
        <v>150.30000000000001</v>
      </c>
      <c r="G5" s="848">
        <f>SUM(G3:G4)</f>
        <v>0</v>
      </c>
      <c r="H5" s="848">
        <f>SUM(H3:H4)</f>
        <v>150.30000000000001</v>
      </c>
      <c r="I5" s="848">
        <f t="shared" si="0"/>
        <v>150.30000000000001</v>
      </c>
      <c r="J5" s="848">
        <f t="shared" si="0"/>
        <v>150.30000000000001</v>
      </c>
      <c r="K5" s="848">
        <f t="shared" si="0"/>
        <v>0</v>
      </c>
      <c r="L5" s="848">
        <f t="shared" si="0"/>
        <v>150.30000000000001</v>
      </c>
      <c r="M5" s="848">
        <f t="shared" si="0"/>
        <v>0</v>
      </c>
      <c r="N5" s="848">
        <f t="shared" si="0"/>
        <v>150.30000000000001</v>
      </c>
      <c r="O5" s="848">
        <f t="shared" si="0"/>
        <v>0</v>
      </c>
      <c r="P5" s="848">
        <f t="shared" si="0"/>
        <v>150.30000000000001</v>
      </c>
      <c r="Q5" s="848">
        <f t="shared" si="0"/>
        <v>0</v>
      </c>
      <c r="R5" s="848">
        <f t="shared" si="0"/>
        <v>150.30000000000001</v>
      </c>
    </row>
    <row r="6" spans="1:18" ht="16.5" thickTop="1" x14ac:dyDescent="0.25">
      <c r="A6" s="850" t="s">
        <v>429</v>
      </c>
      <c r="B6" s="841">
        <v>22.75</v>
      </c>
      <c r="C6" s="842">
        <v>22.75</v>
      </c>
      <c r="D6" s="842">
        <v>22.75</v>
      </c>
      <c r="E6" s="842"/>
      <c r="F6" s="842">
        <f>E6+D6</f>
        <v>22.75</v>
      </c>
      <c r="G6" s="842"/>
      <c r="H6" s="842">
        <f>G6+F6</f>
        <v>22.75</v>
      </c>
      <c r="I6" s="842">
        <v>22.75</v>
      </c>
      <c r="J6" s="842">
        <v>22.75</v>
      </c>
      <c r="K6" s="842"/>
      <c r="L6" s="842">
        <f>K6+J6</f>
        <v>22.75</v>
      </c>
      <c r="M6" s="842"/>
      <c r="N6" s="842">
        <f>M6+L6</f>
        <v>22.75</v>
      </c>
      <c r="O6" s="842"/>
      <c r="P6" s="842">
        <f>O6+N6</f>
        <v>22.75</v>
      </c>
      <c r="Q6" s="842"/>
      <c r="R6" s="842">
        <f>Q6+P6</f>
        <v>22.75</v>
      </c>
    </row>
    <row r="7" spans="1:18" ht="15.75" x14ac:dyDescent="0.25">
      <c r="A7" s="850" t="s">
        <v>1250</v>
      </c>
      <c r="B7" s="841">
        <v>22.75</v>
      </c>
      <c r="C7" s="842">
        <v>22.75</v>
      </c>
      <c r="D7" s="842">
        <v>22.75</v>
      </c>
      <c r="E7" s="842"/>
      <c r="F7" s="842">
        <f t="shared" ref="F7:F11" si="1">E7+D7</f>
        <v>22.75</v>
      </c>
      <c r="G7" s="842"/>
      <c r="H7" s="842">
        <f t="shared" ref="H7:H11" si="2">G7+F7</f>
        <v>22.75</v>
      </c>
      <c r="I7" s="842">
        <v>22.75</v>
      </c>
      <c r="J7" s="842">
        <v>22.75</v>
      </c>
      <c r="K7" s="842"/>
      <c r="L7" s="842">
        <f t="shared" ref="L7:L11" si="3">K7+J7</f>
        <v>22.75</v>
      </c>
      <c r="M7" s="842"/>
      <c r="N7" s="842">
        <f t="shared" ref="N7:N11" si="4">M7+L7</f>
        <v>22.75</v>
      </c>
      <c r="O7" s="842"/>
      <c r="P7" s="842">
        <f t="shared" ref="P7:P11" si="5">O7+N7</f>
        <v>22.75</v>
      </c>
      <c r="Q7" s="842"/>
      <c r="R7" s="842">
        <f t="shared" ref="R7:R11" si="6">Q7+P7</f>
        <v>22.75</v>
      </c>
    </row>
    <row r="8" spans="1:18" ht="15.75" x14ac:dyDescent="0.25">
      <c r="A8" s="850" t="s">
        <v>428</v>
      </c>
      <c r="B8" s="841">
        <v>22.75</v>
      </c>
      <c r="C8" s="842">
        <v>22.75</v>
      </c>
      <c r="D8" s="842">
        <v>22.75</v>
      </c>
      <c r="E8" s="842"/>
      <c r="F8" s="842">
        <f t="shared" si="1"/>
        <v>22.75</v>
      </c>
      <c r="G8" s="842"/>
      <c r="H8" s="842">
        <f t="shared" si="2"/>
        <v>22.75</v>
      </c>
      <c r="I8" s="842">
        <v>22.75</v>
      </c>
      <c r="J8" s="842">
        <v>22.75</v>
      </c>
      <c r="K8" s="842"/>
      <c r="L8" s="842">
        <f t="shared" si="3"/>
        <v>22.75</v>
      </c>
      <c r="M8" s="842"/>
      <c r="N8" s="842">
        <f t="shared" si="4"/>
        <v>22.75</v>
      </c>
      <c r="O8" s="842"/>
      <c r="P8" s="842">
        <f t="shared" si="5"/>
        <v>22.75</v>
      </c>
      <c r="Q8" s="842"/>
      <c r="R8" s="842">
        <f t="shared" si="6"/>
        <v>22.75</v>
      </c>
    </row>
    <row r="9" spans="1:18" ht="15.75" x14ac:dyDescent="0.25">
      <c r="A9" s="850" t="s">
        <v>1251</v>
      </c>
      <c r="B9" s="841">
        <v>13</v>
      </c>
      <c r="C9" s="842">
        <v>13</v>
      </c>
      <c r="D9" s="842">
        <v>13</v>
      </c>
      <c r="E9" s="842"/>
      <c r="F9" s="842">
        <f t="shared" si="1"/>
        <v>13</v>
      </c>
      <c r="G9" s="842"/>
      <c r="H9" s="842">
        <f t="shared" si="2"/>
        <v>13</v>
      </c>
      <c r="I9" s="842">
        <v>13</v>
      </c>
      <c r="J9" s="842">
        <v>13</v>
      </c>
      <c r="K9" s="842"/>
      <c r="L9" s="842">
        <f t="shared" si="3"/>
        <v>13</v>
      </c>
      <c r="M9" s="842"/>
      <c r="N9" s="842">
        <f t="shared" si="4"/>
        <v>13</v>
      </c>
      <c r="O9" s="842"/>
      <c r="P9" s="842">
        <f t="shared" si="5"/>
        <v>13</v>
      </c>
      <c r="Q9" s="842"/>
      <c r="R9" s="842">
        <f t="shared" si="6"/>
        <v>13</v>
      </c>
    </row>
    <row r="10" spans="1:18" ht="15.75" x14ac:dyDescent="0.25">
      <c r="A10" s="850" t="s">
        <v>1252</v>
      </c>
      <c r="B10" s="841">
        <v>27.75</v>
      </c>
      <c r="C10" s="842">
        <v>27.75</v>
      </c>
      <c r="D10" s="842">
        <v>27.75</v>
      </c>
      <c r="E10" s="842"/>
      <c r="F10" s="842">
        <f t="shared" si="1"/>
        <v>27.75</v>
      </c>
      <c r="G10" s="842"/>
      <c r="H10" s="842">
        <f t="shared" si="2"/>
        <v>27.75</v>
      </c>
      <c r="I10" s="842">
        <v>27.75</v>
      </c>
      <c r="J10" s="842">
        <v>27.75</v>
      </c>
      <c r="K10" s="842"/>
      <c r="L10" s="842">
        <f t="shared" si="3"/>
        <v>27.75</v>
      </c>
      <c r="M10" s="842"/>
      <c r="N10" s="842">
        <f t="shared" si="4"/>
        <v>27.75</v>
      </c>
      <c r="O10" s="842"/>
      <c r="P10" s="842">
        <f t="shared" si="5"/>
        <v>27.75</v>
      </c>
      <c r="Q10" s="842"/>
      <c r="R10" s="842">
        <f t="shared" si="6"/>
        <v>27.75</v>
      </c>
    </row>
    <row r="11" spans="1:18" ht="16.5" thickBot="1" x14ac:dyDescent="0.3">
      <c r="A11" s="850" t="s">
        <v>1253</v>
      </c>
      <c r="B11" s="841">
        <v>22.75</v>
      </c>
      <c r="C11" s="842">
        <v>22.75</v>
      </c>
      <c r="D11" s="842">
        <v>22.75</v>
      </c>
      <c r="E11" s="842"/>
      <c r="F11" s="842">
        <f t="shared" si="1"/>
        <v>22.75</v>
      </c>
      <c r="G11" s="842"/>
      <c r="H11" s="842">
        <f t="shared" si="2"/>
        <v>22.75</v>
      </c>
      <c r="I11" s="842">
        <v>22.75</v>
      </c>
      <c r="J11" s="842">
        <v>22.75</v>
      </c>
      <c r="K11" s="842"/>
      <c r="L11" s="842">
        <f t="shared" si="3"/>
        <v>22.75</v>
      </c>
      <c r="M11" s="842"/>
      <c r="N11" s="842">
        <f t="shared" si="4"/>
        <v>22.75</v>
      </c>
      <c r="O11" s="842"/>
      <c r="P11" s="842">
        <f t="shared" si="5"/>
        <v>22.75</v>
      </c>
      <c r="Q11" s="842"/>
      <c r="R11" s="842">
        <f t="shared" si="6"/>
        <v>22.75</v>
      </c>
    </row>
    <row r="12" spans="1:18" ht="17.25" thickTop="1" thickBot="1" x14ac:dyDescent="0.3">
      <c r="A12" s="835" t="s">
        <v>426</v>
      </c>
      <c r="B12" s="848">
        <f t="shared" ref="B12:R12" si="7">SUM(B6:B11)</f>
        <v>131.75</v>
      </c>
      <c r="C12" s="848">
        <f t="shared" si="7"/>
        <v>131.75</v>
      </c>
      <c r="D12" s="848">
        <f t="shared" si="7"/>
        <v>131.75</v>
      </c>
      <c r="E12" s="848">
        <f>SUM(E6:E11)</f>
        <v>0</v>
      </c>
      <c r="F12" s="848">
        <f t="shared" si="7"/>
        <v>131.75</v>
      </c>
      <c r="G12" s="848">
        <f>SUM(G6:G11)</f>
        <v>0</v>
      </c>
      <c r="H12" s="848">
        <f>SUM(H6:H11)</f>
        <v>131.75</v>
      </c>
      <c r="I12" s="848">
        <f t="shared" si="7"/>
        <v>131.75</v>
      </c>
      <c r="J12" s="848">
        <f t="shared" si="7"/>
        <v>131.75</v>
      </c>
      <c r="K12" s="848">
        <f t="shared" si="7"/>
        <v>0</v>
      </c>
      <c r="L12" s="848">
        <f t="shared" si="7"/>
        <v>131.75</v>
      </c>
      <c r="M12" s="848">
        <f t="shared" si="7"/>
        <v>0</v>
      </c>
      <c r="N12" s="848">
        <f t="shared" si="7"/>
        <v>131.75</v>
      </c>
      <c r="O12" s="848">
        <f t="shared" si="7"/>
        <v>0</v>
      </c>
      <c r="P12" s="848">
        <f t="shared" si="7"/>
        <v>131.75</v>
      </c>
      <c r="Q12" s="848">
        <f t="shared" si="7"/>
        <v>0</v>
      </c>
      <c r="R12" s="848">
        <f t="shared" si="7"/>
        <v>131.75</v>
      </c>
    </row>
    <row r="13" spans="1:18" ht="16.5" thickTop="1" x14ac:dyDescent="0.25">
      <c r="A13" s="850" t="s">
        <v>425</v>
      </c>
      <c r="B13" s="841">
        <v>47.25</v>
      </c>
      <c r="C13" s="842">
        <v>47.25</v>
      </c>
      <c r="D13" s="842">
        <v>47.25</v>
      </c>
      <c r="E13" s="842"/>
      <c r="F13" s="842">
        <f>E13+D13</f>
        <v>47.25</v>
      </c>
      <c r="G13" s="842"/>
      <c r="H13" s="842">
        <f>G13+F13</f>
        <v>47.25</v>
      </c>
      <c r="I13" s="842">
        <v>47.25</v>
      </c>
      <c r="J13" s="842">
        <v>47.25</v>
      </c>
      <c r="K13" s="842"/>
      <c r="L13" s="842">
        <f>K13+J13</f>
        <v>47.25</v>
      </c>
      <c r="M13" s="842">
        <v>0.5</v>
      </c>
      <c r="N13" s="842">
        <f>M13+L13</f>
        <v>47.75</v>
      </c>
      <c r="O13" s="842"/>
      <c r="P13" s="842">
        <f>O13+N13</f>
        <v>47.75</v>
      </c>
      <c r="Q13" s="842"/>
      <c r="R13" s="842">
        <f>Q13+P13</f>
        <v>47.75</v>
      </c>
    </row>
    <row r="14" spans="1:18" ht="15.75" x14ac:dyDescent="0.25">
      <c r="A14" s="850" t="s">
        <v>1254</v>
      </c>
      <c r="B14" s="841">
        <v>49</v>
      </c>
      <c r="C14" s="842">
        <v>49</v>
      </c>
      <c r="D14" s="842">
        <v>49</v>
      </c>
      <c r="E14" s="842"/>
      <c r="F14" s="842">
        <f t="shared" ref="F14:F24" si="8">E14+D14</f>
        <v>49</v>
      </c>
      <c r="G14" s="842"/>
      <c r="H14" s="842">
        <f t="shared" ref="H14:H24" si="9">G14+F14</f>
        <v>49</v>
      </c>
      <c r="I14" s="842">
        <v>49</v>
      </c>
      <c r="J14" s="842">
        <v>49</v>
      </c>
      <c r="K14" s="842"/>
      <c r="L14" s="842">
        <f t="shared" ref="L14:L24" si="10">K14+J14</f>
        <v>49</v>
      </c>
      <c r="M14" s="842">
        <v>2</v>
      </c>
      <c r="N14" s="842">
        <f t="shared" ref="N14:N24" si="11">M14+L14</f>
        <v>51</v>
      </c>
      <c r="O14" s="842"/>
      <c r="P14" s="842">
        <f t="shared" ref="P14:P24" si="12">O14+N14</f>
        <v>51</v>
      </c>
      <c r="Q14" s="842"/>
      <c r="R14" s="842">
        <f t="shared" ref="R14:R24" si="13">Q14+P14</f>
        <v>51</v>
      </c>
    </row>
    <row r="15" spans="1:18" ht="15.75" x14ac:dyDescent="0.25">
      <c r="A15" s="845" t="s">
        <v>1255</v>
      </c>
      <c r="B15" s="841">
        <v>54.5</v>
      </c>
      <c r="C15" s="842">
        <v>54.5</v>
      </c>
      <c r="D15" s="842">
        <v>54.5</v>
      </c>
      <c r="E15" s="842"/>
      <c r="F15" s="842">
        <f t="shared" si="8"/>
        <v>54.5</v>
      </c>
      <c r="G15" s="842"/>
      <c r="H15" s="842">
        <f t="shared" si="9"/>
        <v>54.5</v>
      </c>
      <c r="I15" s="842">
        <v>54.5</v>
      </c>
      <c r="J15" s="842">
        <v>54.5</v>
      </c>
      <c r="K15" s="842"/>
      <c r="L15" s="842">
        <f t="shared" si="10"/>
        <v>54.5</v>
      </c>
      <c r="M15" s="842">
        <v>0.5</v>
      </c>
      <c r="N15" s="842">
        <f t="shared" si="11"/>
        <v>55</v>
      </c>
      <c r="O15" s="842"/>
      <c r="P15" s="842">
        <f t="shared" si="12"/>
        <v>55</v>
      </c>
      <c r="Q15" s="842"/>
      <c r="R15" s="842">
        <f t="shared" si="13"/>
        <v>55</v>
      </c>
    </row>
    <row r="16" spans="1:18" ht="15.75" x14ac:dyDescent="0.25">
      <c r="A16" s="850" t="s">
        <v>424</v>
      </c>
      <c r="B16" s="841">
        <v>33.5</v>
      </c>
      <c r="C16" s="842">
        <v>33.5</v>
      </c>
      <c r="D16" s="842">
        <v>33.5</v>
      </c>
      <c r="E16" s="842"/>
      <c r="F16" s="842">
        <f t="shared" si="8"/>
        <v>33.5</v>
      </c>
      <c r="G16" s="842"/>
      <c r="H16" s="842">
        <f t="shared" si="9"/>
        <v>33.5</v>
      </c>
      <c r="I16" s="842">
        <v>33.5</v>
      </c>
      <c r="J16" s="842">
        <v>33.5</v>
      </c>
      <c r="K16" s="842"/>
      <c r="L16" s="842">
        <f t="shared" si="10"/>
        <v>33.5</v>
      </c>
      <c r="M16" s="842">
        <v>0.5</v>
      </c>
      <c r="N16" s="842">
        <f t="shared" si="11"/>
        <v>34</v>
      </c>
      <c r="O16" s="842"/>
      <c r="P16" s="842">
        <f t="shared" si="12"/>
        <v>34</v>
      </c>
      <c r="Q16" s="842"/>
      <c r="R16" s="842">
        <f t="shared" si="13"/>
        <v>34</v>
      </c>
    </row>
    <row r="17" spans="1:18" ht="15.75" x14ac:dyDescent="0.25">
      <c r="A17" s="850" t="s">
        <v>423</v>
      </c>
      <c r="B17" s="841">
        <v>44</v>
      </c>
      <c r="C17" s="842">
        <v>44</v>
      </c>
      <c r="D17" s="842">
        <v>44</v>
      </c>
      <c r="E17" s="842"/>
      <c r="F17" s="842">
        <f t="shared" si="8"/>
        <v>44</v>
      </c>
      <c r="G17" s="842"/>
      <c r="H17" s="842">
        <f t="shared" si="9"/>
        <v>44</v>
      </c>
      <c r="I17" s="842">
        <v>44</v>
      </c>
      <c r="J17" s="842">
        <v>44</v>
      </c>
      <c r="K17" s="842"/>
      <c r="L17" s="842">
        <f t="shared" si="10"/>
        <v>44</v>
      </c>
      <c r="M17" s="842">
        <v>0.5</v>
      </c>
      <c r="N17" s="842">
        <f t="shared" si="11"/>
        <v>44.5</v>
      </c>
      <c r="O17" s="842"/>
      <c r="P17" s="842">
        <f t="shared" si="12"/>
        <v>44.5</v>
      </c>
      <c r="Q17" s="842"/>
      <c r="R17" s="842">
        <f t="shared" si="13"/>
        <v>44.5</v>
      </c>
    </row>
    <row r="18" spans="1:18" ht="15.75" x14ac:dyDescent="0.25">
      <c r="A18" s="850" t="s">
        <v>422</v>
      </c>
      <c r="B18" s="841">
        <v>37</v>
      </c>
      <c r="C18" s="842">
        <v>37</v>
      </c>
      <c r="D18" s="842">
        <v>37</v>
      </c>
      <c r="E18" s="842"/>
      <c r="F18" s="842">
        <f t="shared" si="8"/>
        <v>37</v>
      </c>
      <c r="G18" s="842"/>
      <c r="H18" s="842">
        <f t="shared" si="9"/>
        <v>37</v>
      </c>
      <c r="I18" s="842">
        <v>37</v>
      </c>
      <c r="J18" s="842">
        <v>37</v>
      </c>
      <c r="K18" s="842"/>
      <c r="L18" s="842">
        <f t="shared" si="10"/>
        <v>37</v>
      </c>
      <c r="M18" s="842"/>
      <c r="N18" s="842">
        <f t="shared" si="11"/>
        <v>37</v>
      </c>
      <c r="O18" s="842"/>
      <c r="P18" s="842">
        <f t="shared" si="12"/>
        <v>37</v>
      </c>
      <c r="Q18" s="842"/>
      <c r="R18" s="842">
        <f t="shared" si="13"/>
        <v>37</v>
      </c>
    </row>
    <row r="19" spans="1:18" ht="15.75" x14ac:dyDescent="0.25">
      <c r="A19" s="850" t="s">
        <v>421</v>
      </c>
      <c r="B19" s="841">
        <v>42.5</v>
      </c>
      <c r="C19" s="842">
        <v>42.5</v>
      </c>
      <c r="D19" s="842">
        <v>42.5</v>
      </c>
      <c r="E19" s="842"/>
      <c r="F19" s="842">
        <f t="shared" si="8"/>
        <v>42.5</v>
      </c>
      <c r="G19" s="842"/>
      <c r="H19" s="842">
        <f t="shared" si="9"/>
        <v>42.5</v>
      </c>
      <c r="I19" s="842">
        <v>42.5</v>
      </c>
      <c r="J19" s="842">
        <v>42.5</v>
      </c>
      <c r="K19" s="842"/>
      <c r="L19" s="842">
        <f t="shared" si="10"/>
        <v>42.5</v>
      </c>
      <c r="M19" s="842">
        <v>1.5</v>
      </c>
      <c r="N19" s="842">
        <f t="shared" si="11"/>
        <v>44</v>
      </c>
      <c r="O19" s="842"/>
      <c r="P19" s="842">
        <f t="shared" si="12"/>
        <v>44</v>
      </c>
      <c r="Q19" s="842"/>
      <c r="R19" s="842">
        <f t="shared" si="13"/>
        <v>44</v>
      </c>
    </row>
    <row r="20" spans="1:18" ht="15.75" x14ac:dyDescent="0.25">
      <c r="A20" s="850" t="s">
        <v>465</v>
      </c>
      <c r="B20" s="841">
        <v>46</v>
      </c>
      <c r="C20" s="842">
        <v>46</v>
      </c>
      <c r="D20" s="842">
        <v>46</v>
      </c>
      <c r="E20" s="842"/>
      <c r="F20" s="842">
        <f t="shared" si="8"/>
        <v>46</v>
      </c>
      <c r="G20" s="842"/>
      <c r="H20" s="842">
        <f t="shared" si="9"/>
        <v>46</v>
      </c>
      <c r="I20" s="842">
        <v>46</v>
      </c>
      <c r="J20" s="842">
        <v>46</v>
      </c>
      <c r="K20" s="842"/>
      <c r="L20" s="842">
        <f t="shared" si="10"/>
        <v>46</v>
      </c>
      <c r="M20" s="842"/>
      <c r="N20" s="842">
        <f t="shared" si="11"/>
        <v>46</v>
      </c>
      <c r="O20" s="842"/>
      <c r="P20" s="842">
        <f t="shared" si="12"/>
        <v>46</v>
      </c>
      <c r="Q20" s="842"/>
      <c r="R20" s="842">
        <f t="shared" si="13"/>
        <v>46</v>
      </c>
    </row>
    <row r="21" spans="1:18" ht="15.75" x14ac:dyDescent="0.25">
      <c r="A21" s="850" t="s">
        <v>420</v>
      </c>
      <c r="B21" s="841">
        <v>15</v>
      </c>
      <c r="C21" s="842">
        <v>15</v>
      </c>
      <c r="D21" s="842">
        <v>15</v>
      </c>
      <c r="E21" s="842"/>
      <c r="F21" s="842">
        <f t="shared" si="8"/>
        <v>15</v>
      </c>
      <c r="G21" s="842"/>
      <c r="H21" s="842">
        <f t="shared" si="9"/>
        <v>15</v>
      </c>
      <c r="I21" s="842">
        <v>15</v>
      </c>
      <c r="J21" s="842">
        <v>15</v>
      </c>
      <c r="K21" s="842"/>
      <c r="L21" s="842">
        <f t="shared" si="10"/>
        <v>15</v>
      </c>
      <c r="M21" s="842"/>
      <c r="N21" s="842">
        <f t="shared" si="11"/>
        <v>15</v>
      </c>
      <c r="O21" s="842"/>
      <c r="P21" s="842">
        <f t="shared" si="12"/>
        <v>15</v>
      </c>
      <c r="Q21" s="842"/>
      <c r="R21" s="842">
        <f t="shared" si="13"/>
        <v>15</v>
      </c>
    </row>
    <row r="22" spans="1:18" ht="15.75" x14ac:dyDescent="0.25">
      <c r="A22" s="850" t="s">
        <v>466</v>
      </c>
      <c r="B22" s="841">
        <v>54.5</v>
      </c>
      <c r="C22" s="842">
        <v>54.5</v>
      </c>
      <c r="D22" s="842">
        <v>54.5</v>
      </c>
      <c r="E22" s="842"/>
      <c r="F22" s="842">
        <f t="shared" si="8"/>
        <v>54.5</v>
      </c>
      <c r="G22" s="842"/>
      <c r="H22" s="842">
        <f t="shared" si="9"/>
        <v>54.5</v>
      </c>
      <c r="I22" s="842">
        <v>54.5</v>
      </c>
      <c r="J22" s="842">
        <v>54.5</v>
      </c>
      <c r="K22" s="842"/>
      <c r="L22" s="842">
        <f t="shared" si="10"/>
        <v>54.5</v>
      </c>
      <c r="M22" s="842"/>
      <c r="N22" s="842">
        <f t="shared" si="11"/>
        <v>54.5</v>
      </c>
      <c r="O22" s="842"/>
      <c r="P22" s="842">
        <f t="shared" si="12"/>
        <v>54.5</v>
      </c>
      <c r="Q22" s="842"/>
      <c r="R22" s="842">
        <f t="shared" si="13"/>
        <v>54.5</v>
      </c>
    </row>
    <row r="23" spans="1:18" ht="15.75" x14ac:dyDescent="0.25">
      <c r="A23" s="850" t="s">
        <v>419</v>
      </c>
      <c r="B23" s="841">
        <v>35.5</v>
      </c>
      <c r="C23" s="842">
        <v>35.5</v>
      </c>
      <c r="D23" s="842">
        <v>35.5</v>
      </c>
      <c r="E23" s="842"/>
      <c r="F23" s="842">
        <f t="shared" si="8"/>
        <v>35.5</v>
      </c>
      <c r="G23" s="842"/>
      <c r="H23" s="842">
        <f t="shared" si="9"/>
        <v>35.5</v>
      </c>
      <c r="I23" s="842">
        <v>35.5</v>
      </c>
      <c r="J23" s="842">
        <v>35.5</v>
      </c>
      <c r="K23" s="842"/>
      <c r="L23" s="842">
        <f t="shared" si="10"/>
        <v>35.5</v>
      </c>
      <c r="M23" s="842">
        <v>1</v>
      </c>
      <c r="N23" s="842">
        <f t="shared" si="11"/>
        <v>36.5</v>
      </c>
      <c r="O23" s="842"/>
      <c r="P23" s="842">
        <f t="shared" si="12"/>
        <v>36.5</v>
      </c>
      <c r="Q23" s="842"/>
      <c r="R23" s="842">
        <f t="shared" si="13"/>
        <v>36.5</v>
      </c>
    </row>
    <row r="24" spans="1:18" ht="16.5" thickBot="1" x14ac:dyDescent="0.3">
      <c r="A24" s="850" t="s">
        <v>418</v>
      </c>
      <c r="B24" s="841">
        <v>44.5</v>
      </c>
      <c r="C24" s="842">
        <v>44.5</v>
      </c>
      <c r="D24" s="842">
        <v>44.5</v>
      </c>
      <c r="E24" s="842"/>
      <c r="F24" s="842">
        <f t="shared" si="8"/>
        <v>44.5</v>
      </c>
      <c r="G24" s="842"/>
      <c r="H24" s="842">
        <f t="shared" si="9"/>
        <v>44.5</v>
      </c>
      <c r="I24" s="842">
        <v>44.5</v>
      </c>
      <c r="J24" s="842">
        <v>44.5</v>
      </c>
      <c r="K24" s="842"/>
      <c r="L24" s="842">
        <f t="shared" si="10"/>
        <v>44.5</v>
      </c>
      <c r="M24" s="842"/>
      <c r="N24" s="842">
        <f t="shared" si="11"/>
        <v>44.5</v>
      </c>
      <c r="O24" s="842"/>
      <c r="P24" s="842">
        <f t="shared" si="12"/>
        <v>44.5</v>
      </c>
      <c r="Q24" s="842"/>
      <c r="R24" s="842">
        <f t="shared" si="13"/>
        <v>44.5</v>
      </c>
    </row>
    <row r="25" spans="1:18" ht="17.25" thickTop="1" thickBot="1" x14ac:dyDescent="0.3">
      <c r="A25" s="835" t="s">
        <v>417</v>
      </c>
      <c r="B25" s="848">
        <f t="shared" ref="B25:R25" si="14">SUM(B13:B24)</f>
        <v>503.25</v>
      </c>
      <c r="C25" s="848">
        <f t="shared" si="14"/>
        <v>503.25</v>
      </c>
      <c r="D25" s="848">
        <f t="shared" si="14"/>
        <v>503.25</v>
      </c>
      <c r="E25" s="848">
        <f>SUM(E13:E24)</f>
        <v>0</v>
      </c>
      <c r="F25" s="848">
        <f t="shared" si="14"/>
        <v>503.25</v>
      </c>
      <c r="G25" s="848">
        <f>SUM(G13:G24)</f>
        <v>0</v>
      </c>
      <c r="H25" s="848">
        <f>SUM(H13:H24)</f>
        <v>503.25</v>
      </c>
      <c r="I25" s="848">
        <f t="shared" si="14"/>
        <v>503.25</v>
      </c>
      <c r="J25" s="848">
        <f t="shared" si="14"/>
        <v>503.25</v>
      </c>
      <c r="K25" s="848">
        <f t="shared" si="14"/>
        <v>0</v>
      </c>
      <c r="L25" s="848">
        <f t="shared" si="14"/>
        <v>503.25</v>
      </c>
      <c r="M25" s="848">
        <f t="shared" si="14"/>
        <v>6.5</v>
      </c>
      <c r="N25" s="848">
        <f t="shared" si="14"/>
        <v>509.75</v>
      </c>
      <c r="O25" s="848">
        <f t="shared" si="14"/>
        <v>0</v>
      </c>
      <c r="P25" s="848">
        <f t="shared" si="14"/>
        <v>509.75</v>
      </c>
      <c r="Q25" s="848">
        <f t="shared" si="14"/>
        <v>0</v>
      </c>
      <c r="R25" s="848">
        <f t="shared" si="14"/>
        <v>509.75</v>
      </c>
    </row>
    <row r="26" spans="1:18" ht="17.25" thickTop="1" thickBot="1" x14ac:dyDescent="0.3">
      <c r="A26" s="835" t="s">
        <v>1256</v>
      </c>
      <c r="B26" s="851">
        <f t="shared" ref="B26:R26" si="15">B25+B12+B5</f>
        <v>785.3</v>
      </c>
      <c r="C26" s="848">
        <f t="shared" si="15"/>
        <v>785.3</v>
      </c>
      <c r="D26" s="851">
        <f t="shared" si="15"/>
        <v>785.3</v>
      </c>
      <c r="E26" s="851">
        <f>E25+E12+E5</f>
        <v>0</v>
      </c>
      <c r="F26" s="851">
        <f t="shared" si="15"/>
        <v>785.3</v>
      </c>
      <c r="G26" s="848">
        <f>G25+G12+G5</f>
        <v>0</v>
      </c>
      <c r="H26" s="851">
        <f>H25+H12+H5</f>
        <v>785.3</v>
      </c>
      <c r="I26" s="848">
        <f t="shared" si="15"/>
        <v>785.3</v>
      </c>
      <c r="J26" s="848">
        <f t="shared" si="15"/>
        <v>785.3</v>
      </c>
      <c r="K26" s="848">
        <f t="shared" si="15"/>
        <v>0</v>
      </c>
      <c r="L26" s="851">
        <f t="shared" si="15"/>
        <v>785.3</v>
      </c>
      <c r="M26" s="848">
        <f t="shared" si="15"/>
        <v>6.5</v>
      </c>
      <c r="N26" s="851">
        <f t="shared" si="15"/>
        <v>791.8</v>
      </c>
      <c r="O26" s="848">
        <f t="shared" si="15"/>
        <v>0</v>
      </c>
      <c r="P26" s="851">
        <f t="shared" si="15"/>
        <v>791.8</v>
      </c>
      <c r="Q26" s="848">
        <f t="shared" si="15"/>
        <v>0</v>
      </c>
      <c r="R26" s="851">
        <f t="shared" si="15"/>
        <v>791.8</v>
      </c>
    </row>
    <row r="27" spans="1:18" ht="16.5" thickTop="1" x14ac:dyDescent="0.25">
      <c r="A27" s="852" t="s">
        <v>388</v>
      </c>
      <c r="B27" s="844">
        <v>215.5</v>
      </c>
      <c r="C27" s="843">
        <v>215.5</v>
      </c>
      <c r="D27" s="844">
        <v>215.5</v>
      </c>
      <c r="E27" s="844"/>
      <c r="F27" s="853">
        <f>E27+D27</f>
        <v>215.5</v>
      </c>
      <c r="G27" s="854"/>
      <c r="H27" s="855">
        <f>G27+F27</f>
        <v>215.5</v>
      </c>
      <c r="I27" s="842">
        <v>215.5</v>
      </c>
      <c r="J27" s="842">
        <v>215.5</v>
      </c>
      <c r="K27" s="854"/>
      <c r="L27" s="855">
        <f>K27+J27</f>
        <v>215.5</v>
      </c>
      <c r="M27" s="854"/>
      <c r="N27" s="855">
        <f>M27+L27</f>
        <v>215.5</v>
      </c>
      <c r="O27" s="854"/>
      <c r="P27" s="855">
        <f>O27+N27</f>
        <v>215.5</v>
      </c>
      <c r="Q27" s="854"/>
      <c r="R27" s="855">
        <f>Q27+P27</f>
        <v>215.5</v>
      </c>
    </row>
    <row r="28" spans="1:18" ht="31.5" x14ac:dyDescent="0.25">
      <c r="A28" s="856" t="s">
        <v>467</v>
      </c>
      <c r="B28" s="857">
        <v>74</v>
      </c>
      <c r="C28" s="843">
        <v>74</v>
      </c>
      <c r="D28" s="857">
        <v>74</v>
      </c>
      <c r="E28" s="857"/>
      <c r="F28" s="858">
        <f t="shared" ref="F28:F29" si="16">E28+D28</f>
        <v>74</v>
      </c>
      <c r="G28" s="846"/>
      <c r="H28" s="859">
        <f t="shared" ref="H28:H29" si="17">G28+F28</f>
        <v>74</v>
      </c>
      <c r="I28" s="842">
        <v>74</v>
      </c>
      <c r="J28" s="842">
        <v>74</v>
      </c>
      <c r="K28" s="846"/>
      <c r="L28" s="859">
        <f t="shared" ref="L28:L29" si="18">K28+J28</f>
        <v>74</v>
      </c>
      <c r="M28" s="846"/>
      <c r="N28" s="859">
        <f t="shared" ref="N28:N29" si="19">M28+L28</f>
        <v>74</v>
      </c>
      <c r="O28" s="846"/>
      <c r="P28" s="859">
        <f t="shared" ref="P28:P29" si="20">O28+N28</f>
        <v>74</v>
      </c>
      <c r="Q28" s="846"/>
      <c r="R28" s="859">
        <f t="shared" ref="R28:R29" si="21">Q28+P28</f>
        <v>74</v>
      </c>
    </row>
    <row r="29" spans="1:18" ht="16.5" thickBot="1" x14ac:dyDescent="0.3">
      <c r="A29" s="860" t="s">
        <v>397</v>
      </c>
      <c r="B29" s="847">
        <v>49</v>
      </c>
      <c r="C29" s="843">
        <v>49</v>
      </c>
      <c r="D29" s="847">
        <v>49</v>
      </c>
      <c r="E29" s="847"/>
      <c r="F29" s="861">
        <f t="shared" si="16"/>
        <v>49</v>
      </c>
      <c r="G29" s="862"/>
      <c r="H29" s="863">
        <f t="shared" si="17"/>
        <v>49</v>
      </c>
      <c r="I29" s="842">
        <v>49</v>
      </c>
      <c r="J29" s="842">
        <v>49</v>
      </c>
      <c r="K29" s="862"/>
      <c r="L29" s="863">
        <f t="shared" si="18"/>
        <v>49</v>
      </c>
      <c r="M29" s="862"/>
      <c r="N29" s="863">
        <f t="shared" si="19"/>
        <v>49</v>
      </c>
      <c r="O29" s="862"/>
      <c r="P29" s="863">
        <f t="shared" si="20"/>
        <v>49</v>
      </c>
      <c r="Q29" s="862"/>
      <c r="R29" s="863">
        <f t="shared" si="21"/>
        <v>49</v>
      </c>
    </row>
    <row r="30" spans="1:18" ht="17.25" thickTop="1" thickBot="1" x14ac:dyDescent="0.3">
      <c r="A30" s="835" t="s">
        <v>415</v>
      </c>
      <c r="B30" s="849">
        <f t="shared" ref="B30:J30" si="22">SUM(B27:B29)</f>
        <v>338.5</v>
      </c>
      <c r="C30" s="848">
        <f t="shared" si="22"/>
        <v>338.5</v>
      </c>
      <c r="D30" s="849">
        <f t="shared" si="22"/>
        <v>338.5</v>
      </c>
      <c r="E30" s="849">
        <f>SUM(E27:E29)</f>
        <v>0</v>
      </c>
      <c r="F30" s="849">
        <f>SUM(F27:F29)</f>
        <v>338.5</v>
      </c>
      <c r="G30" s="848">
        <f>SUM(G27:G29)</f>
        <v>0</v>
      </c>
      <c r="H30" s="848">
        <f>SUM(H27:H29)</f>
        <v>338.5</v>
      </c>
      <c r="I30" s="848">
        <f t="shared" si="22"/>
        <v>338.5</v>
      </c>
      <c r="J30" s="848">
        <f t="shared" si="22"/>
        <v>338.5</v>
      </c>
      <c r="K30" s="848">
        <f t="shared" ref="K30:R30" si="23">SUM(K27:K29)</f>
        <v>0</v>
      </c>
      <c r="L30" s="848">
        <f t="shared" si="23"/>
        <v>338.5</v>
      </c>
      <c r="M30" s="848">
        <f t="shared" si="23"/>
        <v>0</v>
      </c>
      <c r="N30" s="848">
        <f t="shared" si="23"/>
        <v>338.5</v>
      </c>
      <c r="O30" s="848">
        <f t="shared" si="23"/>
        <v>0</v>
      </c>
      <c r="P30" s="848">
        <f t="shared" si="23"/>
        <v>338.5</v>
      </c>
      <c r="Q30" s="848">
        <f t="shared" si="23"/>
        <v>0</v>
      </c>
      <c r="R30" s="848">
        <f t="shared" si="23"/>
        <v>338.5</v>
      </c>
    </row>
    <row r="31" spans="1:18" ht="17.25" thickTop="1" thickBot="1" x14ac:dyDescent="0.3">
      <c r="A31" s="835" t="s">
        <v>1257</v>
      </c>
      <c r="B31" s="848">
        <v>60.5</v>
      </c>
      <c r="C31" s="848">
        <v>61.5</v>
      </c>
      <c r="D31" s="848">
        <v>61.5</v>
      </c>
      <c r="E31" s="851">
        <v>0</v>
      </c>
      <c r="F31" s="848">
        <f>E31+D31</f>
        <v>61.5</v>
      </c>
      <c r="G31" s="848">
        <v>0</v>
      </c>
      <c r="H31" s="851">
        <f>G31+F31</f>
        <v>61.5</v>
      </c>
      <c r="I31" s="848">
        <v>61.5</v>
      </c>
      <c r="J31" s="848">
        <v>61.5</v>
      </c>
      <c r="K31" s="848">
        <v>0</v>
      </c>
      <c r="L31" s="851">
        <f>K31+J31</f>
        <v>61.5</v>
      </c>
      <c r="M31" s="848">
        <v>0</v>
      </c>
      <c r="N31" s="851">
        <f>M31+L31</f>
        <v>61.5</v>
      </c>
      <c r="O31" s="848">
        <v>0</v>
      </c>
      <c r="P31" s="851">
        <f>O31+N31</f>
        <v>61.5</v>
      </c>
      <c r="Q31" s="848">
        <v>0</v>
      </c>
      <c r="R31" s="851">
        <f>Q31+P31</f>
        <v>61.5</v>
      </c>
    </row>
    <row r="32" spans="1:18" ht="16.5" thickTop="1" x14ac:dyDescent="0.25">
      <c r="A32" s="850" t="s">
        <v>413</v>
      </c>
      <c r="B32" s="855">
        <v>11</v>
      </c>
      <c r="C32" s="842">
        <v>11</v>
      </c>
      <c r="D32" s="855">
        <v>11</v>
      </c>
      <c r="E32" s="855"/>
      <c r="F32" s="855">
        <f>E32+D32</f>
        <v>11</v>
      </c>
      <c r="G32" s="855"/>
      <c r="H32" s="855">
        <f>G32+F32</f>
        <v>11</v>
      </c>
      <c r="I32" s="864">
        <v>11</v>
      </c>
      <c r="J32" s="855">
        <v>11</v>
      </c>
      <c r="K32" s="855"/>
      <c r="L32" s="855">
        <f>K32+J32</f>
        <v>11</v>
      </c>
      <c r="M32" s="855"/>
      <c r="N32" s="855">
        <f>M32+L32</f>
        <v>11</v>
      </c>
      <c r="O32" s="855"/>
      <c r="P32" s="855">
        <f>O32+N32</f>
        <v>11</v>
      </c>
      <c r="Q32" s="855"/>
      <c r="R32" s="855">
        <f>Q32+P32</f>
        <v>11</v>
      </c>
    </row>
    <row r="33" spans="1:18" ht="15.75" x14ac:dyDescent="0.25">
      <c r="A33" s="850" t="s">
        <v>412</v>
      </c>
      <c r="B33" s="859">
        <v>82</v>
      </c>
      <c r="C33" s="842">
        <v>82</v>
      </c>
      <c r="D33" s="859">
        <v>82</v>
      </c>
      <c r="E33" s="859"/>
      <c r="F33" s="859">
        <f t="shared" ref="F33:F39" si="24">E33+D33</f>
        <v>82</v>
      </c>
      <c r="G33" s="859"/>
      <c r="H33" s="859">
        <f t="shared" ref="H33:H39" si="25">G33+F33</f>
        <v>82</v>
      </c>
      <c r="I33" s="842">
        <v>82</v>
      </c>
      <c r="J33" s="859">
        <v>82</v>
      </c>
      <c r="K33" s="859">
        <v>4</v>
      </c>
      <c r="L33" s="859">
        <f t="shared" ref="L33:L39" si="26">K33+J33</f>
        <v>86</v>
      </c>
      <c r="M33" s="859"/>
      <c r="N33" s="859">
        <f t="shared" ref="N33:N39" si="27">M33+L33</f>
        <v>86</v>
      </c>
      <c r="O33" s="859"/>
      <c r="P33" s="859">
        <f t="shared" ref="P33:P39" si="28">O33+N33</f>
        <v>86</v>
      </c>
      <c r="Q33" s="859"/>
      <c r="R33" s="859">
        <f t="shared" ref="R33:R39" si="29">Q33+P33</f>
        <v>86</v>
      </c>
    </row>
    <row r="34" spans="1:18" ht="15.75" x14ac:dyDescent="0.25">
      <c r="A34" s="850" t="s">
        <v>411</v>
      </c>
      <c r="B34" s="859">
        <v>113.13</v>
      </c>
      <c r="C34" s="842">
        <v>113.13</v>
      </c>
      <c r="D34" s="859">
        <v>113.13</v>
      </c>
      <c r="E34" s="859"/>
      <c r="F34" s="859">
        <f t="shared" si="24"/>
        <v>113.13</v>
      </c>
      <c r="G34" s="859"/>
      <c r="H34" s="859">
        <f t="shared" si="25"/>
        <v>113.13</v>
      </c>
      <c r="I34" s="842">
        <v>115.13</v>
      </c>
      <c r="J34" s="859">
        <v>115.13</v>
      </c>
      <c r="K34" s="859"/>
      <c r="L34" s="859">
        <f t="shared" si="26"/>
        <v>115.13</v>
      </c>
      <c r="M34" s="859"/>
      <c r="N34" s="859">
        <f t="shared" si="27"/>
        <v>115.13</v>
      </c>
      <c r="O34" s="859">
        <v>3</v>
      </c>
      <c r="P34" s="859">
        <f t="shared" si="28"/>
        <v>118.13</v>
      </c>
      <c r="Q34" s="859"/>
      <c r="R34" s="859">
        <f t="shared" si="29"/>
        <v>118.13</v>
      </c>
    </row>
    <row r="35" spans="1:18" ht="31.5" x14ac:dyDescent="0.25">
      <c r="A35" s="845" t="s">
        <v>685</v>
      </c>
      <c r="B35" s="859">
        <v>5</v>
      </c>
      <c r="C35" s="842">
        <v>5</v>
      </c>
      <c r="D35" s="859">
        <v>5</v>
      </c>
      <c r="E35" s="859"/>
      <c r="F35" s="859">
        <f t="shared" si="24"/>
        <v>5</v>
      </c>
      <c r="G35" s="859"/>
      <c r="H35" s="859">
        <f t="shared" si="25"/>
        <v>5</v>
      </c>
      <c r="I35" s="842">
        <v>5</v>
      </c>
      <c r="J35" s="859">
        <v>5</v>
      </c>
      <c r="K35" s="859"/>
      <c r="L35" s="859">
        <f t="shared" si="26"/>
        <v>5</v>
      </c>
      <c r="M35" s="859"/>
      <c r="N35" s="859">
        <f t="shared" si="27"/>
        <v>5</v>
      </c>
      <c r="O35" s="859"/>
      <c r="P35" s="859">
        <f t="shared" si="28"/>
        <v>5</v>
      </c>
      <c r="Q35" s="859"/>
      <c r="R35" s="859">
        <f t="shared" si="29"/>
        <v>5</v>
      </c>
    </row>
    <row r="36" spans="1:18" ht="15.75" x14ac:dyDescent="0.25">
      <c r="A36" s="850" t="s">
        <v>410</v>
      </c>
      <c r="B36" s="859">
        <v>28</v>
      </c>
      <c r="C36" s="842">
        <v>28</v>
      </c>
      <c r="D36" s="859">
        <v>36</v>
      </c>
      <c r="E36" s="859"/>
      <c r="F36" s="859">
        <f t="shared" si="24"/>
        <v>36</v>
      </c>
      <c r="G36" s="859"/>
      <c r="H36" s="859">
        <f t="shared" si="25"/>
        <v>36</v>
      </c>
      <c r="I36" s="842">
        <v>36</v>
      </c>
      <c r="J36" s="859">
        <v>43.5</v>
      </c>
      <c r="K36" s="859"/>
      <c r="L36" s="859">
        <f t="shared" si="26"/>
        <v>43.5</v>
      </c>
      <c r="M36" s="859"/>
      <c r="N36" s="859">
        <f t="shared" si="27"/>
        <v>43.5</v>
      </c>
      <c r="O36" s="859"/>
      <c r="P36" s="859">
        <f t="shared" si="28"/>
        <v>43.5</v>
      </c>
      <c r="Q36" s="859"/>
      <c r="R36" s="859">
        <f t="shared" si="29"/>
        <v>43.5</v>
      </c>
    </row>
    <row r="37" spans="1:18" ht="15.75" x14ac:dyDescent="0.25">
      <c r="A37" s="850" t="s">
        <v>409</v>
      </c>
      <c r="B37" s="859">
        <v>107.25</v>
      </c>
      <c r="C37" s="842">
        <v>107.25</v>
      </c>
      <c r="D37" s="859">
        <v>107.25</v>
      </c>
      <c r="E37" s="859"/>
      <c r="F37" s="859">
        <f t="shared" si="24"/>
        <v>107.25</v>
      </c>
      <c r="G37" s="859"/>
      <c r="H37" s="859">
        <f t="shared" si="25"/>
        <v>107.25</v>
      </c>
      <c r="I37" s="842">
        <v>107.25</v>
      </c>
      <c r="J37" s="859">
        <v>107.25</v>
      </c>
      <c r="K37" s="859"/>
      <c r="L37" s="859">
        <f t="shared" si="26"/>
        <v>107.25</v>
      </c>
      <c r="M37" s="859"/>
      <c r="N37" s="859">
        <f t="shared" si="27"/>
        <v>107.25</v>
      </c>
      <c r="O37" s="859"/>
      <c r="P37" s="859">
        <f t="shared" si="28"/>
        <v>107.25</v>
      </c>
      <c r="Q37" s="859"/>
      <c r="R37" s="859">
        <f t="shared" si="29"/>
        <v>107.25</v>
      </c>
    </row>
    <row r="38" spans="1:18" ht="15.75" x14ac:dyDescent="0.25">
      <c r="A38" s="850" t="s">
        <v>674</v>
      </c>
      <c r="B38" s="859">
        <v>21</v>
      </c>
      <c r="C38" s="842">
        <v>21</v>
      </c>
      <c r="D38" s="859">
        <v>21</v>
      </c>
      <c r="E38" s="859"/>
      <c r="F38" s="859">
        <f t="shared" si="24"/>
        <v>21</v>
      </c>
      <c r="G38" s="859"/>
      <c r="H38" s="859">
        <f t="shared" si="25"/>
        <v>21</v>
      </c>
      <c r="I38" s="842">
        <v>21</v>
      </c>
      <c r="J38" s="859">
        <v>21</v>
      </c>
      <c r="K38" s="859">
        <v>1</v>
      </c>
      <c r="L38" s="859">
        <f t="shared" si="26"/>
        <v>22</v>
      </c>
      <c r="M38" s="859"/>
      <c r="N38" s="859">
        <f t="shared" si="27"/>
        <v>22</v>
      </c>
      <c r="O38" s="859"/>
      <c r="P38" s="859">
        <f t="shared" si="28"/>
        <v>22</v>
      </c>
      <c r="Q38" s="859"/>
      <c r="R38" s="859">
        <f t="shared" si="29"/>
        <v>22</v>
      </c>
    </row>
    <row r="39" spans="1:18" ht="16.5" thickBot="1" x14ac:dyDescent="0.3">
      <c r="A39" s="850" t="s">
        <v>406</v>
      </c>
      <c r="B39" s="863">
        <v>30.75</v>
      </c>
      <c r="C39" s="842">
        <v>30.75</v>
      </c>
      <c r="D39" s="863">
        <v>30.75</v>
      </c>
      <c r="E39" s="863">
        <v>2.5</v>
      </c>
      <c r="F39" s="863">
        <f t="shared" si="24"/>
        <v>33.25</v>
      </c>
      <c r="G39" s="863">
        <v>1</v>
      </c>
      <c r="H39" s="863">
        <f t="shared" si="25"/>
        <v>34.25</v>
      </c>
      <c r="I39" s="865">
        <v>34.25</v>
      </c>
      <c r="J39" s="863">
        <v>34.25</v>
      </c>
      <c r="K39" s="863"/>
      <c r="L39" s="863">
        <f t="shared" si="26"/>
        <v>34.25</v>
      </c>
      <c r="M39" s="863"/>
      <c r="N39" s="863">
        <f t="shared" si="27"/>
        <v>34.25</v>
      </c>
      <c r="O39" s="863"/>
      <c r="P39" s="863">
        <f t="shared" si="28"/>
        <v>34.25</v>
      </c>
      <c r="Q39" s="863"/>
      <c r="R39" s="863">
        <f t="shared" si="29"/>
        <v>34.25</v>
      </c>
    </row>
    <row r="40" spans="1:18" ht="17.25" thickTop="1" thickBot="1" x14ac:dyDescent="0.3">
      <c r="A40" s="835" t="s">
        <v>1258</v>
      </c>
      <c r="B40" s="848">
        <f t="shared" ref="B40:R40" si="30">SUM(B32:B39)</f>
        <v>398.13</v>
      </c>
      <c r="C40" s="848">
        <f t="shared" si="30"/>
        <v>398.13</v>
      </c>
      <c r="D40" s="848">
        <f t="shared" si="30"/>
        <v>406.13</v>
      </c>
      <c r="E40" s="848">
        <f>SUM(E32:E39)</f>
        <v>2.5</v>
      </c>
      <c r="F40" s="848">
        <f t="shared" si="30"/>
        <v>408.63</v>
      </c>
      <c r="G40" s="848">
        <f>SUM(G32:G39)</f>
        <v>1</v>
      </c>
      <c r="H40" s="848">
        <f>SUM(H32:H39)</f>
        <v>409.63</v>
      </c>
      <c r="I40" s="848">
        <f t="shared" si="30"/>
        <v>411.63</v>
      </c>
      <c r="J40" s="848">
        <f t="shared" si="30"/>
        <v>419.13</v>
      </c>
      <c r="K40" s="848">
        <f t="shared" si="30"/>
        <v>5</v>
      </c>
      <c r="L40" s="848">
        <f t="shared" si="30"/>
        <v>424.13</v>
      </c>
      <c r="M40" s="848">
        <f t="shared" si="30"/>
        <v>0</v>
      </c>
      <c r="N40" s="848">
        <f t="shared" si="30"/>
        <v>424.13</v>
      </c>
      <c r="O40" s="848">
        <f t="shared" si="30"/>
        <v>3</v>
      </c>
      <c r="P40" s="848">
        <f t="shared" si="30"/>
        <v>427.13</v>
      </c>
      <c r="Q40" s="848">
        <f t="shared" si="30"/>
        <v>0</v>
      </c>
      <c r="R40" s="848">
        <f t="shared" si="30"/>
        <v>427.13</v>
      </c>
    </row>
    <row r="41" spans="1:18" ht="17.25" thickTop="1" thickBot="1" x14ac:dyDescent="0.3">
      <c r="A41" s="866" t="s">
        <v>404</v>
      </c>
      <c r="B41" s="848">
        <f t="shared" ref="B41:R41" si="31">B40+B31+B30+B26</f>
        <v>1582.4299999999998</v>
      </c>
      <c r="C41" s="848">
        <f t="shared" si="31"/>
        <v>1583.4299999999998</v>
      </c>
      <c r="D41" s="848">
        <f t="shared" si="31"/>
        <v>1591.4299999999998</v>
      </c>
      <c r="E41" s="848">
        <f>E40+E31+E30+E26</f>
        <v>2.5</v>
      </c>
      <c r="F41" s="848">
        <f>F40+F31+F30+F26</f>
        <v>1593.9299999999998</v>
      </c>
      <c r="G41" s="848">
        <f>G40+G31+G30+G26</f>
        <v>1</v>
      </c>
      <c r="H41" s="848">
        <f>H40+H31+H30+H26</f>
        <v>1594.9299999999998</v>
      </c>
      <c r="I41" s="848">
        <f t="shared" si="31"/>
        <v>1596.9299999999998</v>
      </c>
      <c r="J41" s="848">
        <f t="shared" si="31"/>
        <v>1604.4299999999998</v>
      </c>
      <c r="K41" s="848">
        <f t="shared" si="31"/>
        <v>5</v>
      </c>
      <c r="L41" s="848">
        <f t="shared" si="31"/>
        <v>1609.4299999999998</v>
      </c>
      <c r="M41" s="848">
        <f t="shared" si="31"/>
        <v>6.5</v>
      </c>
      <c r="N41" s="848">
        <f t="shared" si="31"/>
        <v>1615.9299999999998</v>
      </c>
      <c r="O41" s="848">
        <f t="shared" si="31"/>
        <v>3</v>
      </c>
      <c r="P41" s="848">
        <f t="shared" si="31"/>
        <v>1618.9299999999998</v>
      </c>
      <c r="Q41" s="848">
        <f t="shared" si="31"/>
        <v>0</v>
      </c>
      <c r="R41" s="848">
        <f t="shared" si="31"/>
        <v>1618.9299999999998</v>
      </c>
    </row>
    <row r="42" spans="1:18" ht="17.25" thickTop="1" thickBot="1" x14ac:dyDescent="0.3">
      <c r="A42" s="867" t="s">
        <v>403</v>
      </c>
      <c r="B42" s="868">
        <v>350</v>
      </c>
      <c r="C42" s="868">
        <v>350</v>
      </c>
      <c r="D42" s="868">
        <v>350</v>
      </c>
      <c r="E42" s="868">
        <v>0</v>
      </c>
      <c r="F42" s="868">
        <f>E42+D42</f>
        <v>350</v>
      </c>
      <c r="G42" s="868">
        <v>0</v>
      </c>
      <c r="H42" s="868">
        <f>G42+F42</f>
        <v>350</v>
      </c>
      <c r="I42" s="868">
        <v>350</v>
      </c>
      <c r="J42" s="868">
        <v>350</v>
      </c>
      <c r="K42" s="868">
        <v>0</v>
      </c>
      <c r="L42" s="868">
        <f>K42+J42</f>
        <v>350</v>
      </c>
      <c r="M42" s="868">
        <v>0</v>
      </c>
      <c r="N42" s="868">
        <f>M42+L42</f>
        <v>350</v>
      </c>
      <c r="O42" s="868">
        <v>0</v>
      </c>
      <c r="P42" s="868">
        <f>O42+N42</f>
        <v>350</v>
      </c>
      <c r="Q42" s="868">
        <v>10</v>
      </c>
      <c r="R42" s="868">
        <f>Q42+P42</f>
        <v>360</v>
      </c>
    </row>
    <row r="43" spans="1:18" ht="17.25" thickTop="1" thickBot="1" x14ac:dyDescent="0.3">
      <c r="A43" s="835" t="s">
        <v>1259</v>
      </c>
      <c r="B43" s="848">
        <f t="shared" ref="B43:R43" si="32">B42+B41</f>
        <v>1932.4299999999998</v>
      </c>
      <c r="C43" s="848">
        <f t="shared" si="32"/>
        <v>1933.4299999999998</v>
      </c>
      <c r="D43" s="848">
        <f t="shared" si="32"/>
        <v>1941.4299999999998</v>
      </c>
      <c r="E43" s="848">
        <f>E42+E41</f>
        <v>2.5</v>
      </c>
      <c r="F43" s="848">
        <f>F42+F41</f>
        <v>1943.9299999999998</v>
      </c>
      <c r="G43" s="848">
        <f>G42+G41</f>
        <v>1</v>
      </c>
      <c r="H43" s="848">
        <f>H42+H41</f>
        <v>1944.9299999999998</v>
      </c>
      <c r="I43" s="848">
        <f t="shared" si="32"/>
        <v>1946.9299999999998</v>
      </c>
      <c r="J43" s="848">
        <f t="shared" si="32"/>
        <v>1954.4299999999998</v>
      </c>
      <c r="K43" s="848">
        <f t="shared" si="32"/>
        <v>5</v>
      </c>
      <c r="L43" s="848">
        <f t="shared" si="32"/>
        <v>1959.4299999999998</v>
      </c>
      <c r="M43" s="848">
        <f t="shared" si="32"/>
        <v>6.5</v>
      </c>
      <c r="N43" s="848">
        <f t="shared" si="32"/>
        <v>1965.9299999999998</v>
      </c>
      <c r="O43" s="848">
        <f t="shared" si="32"/>
        <v>3</v>
      </c>
      <c r="P43" s="848">
        <f t="shared" si="32"/>
        <v>1968.9299999999998</v>
      </c>
      <c r="Q43" s="848">
        <f t="shared" si="32"/>
        <v>10</v>
      </c>
      <c r="R43" s="848">
        <f t="shared" si="32"/>
        <v>1978.9299999999998</v>
      </c>
    </row>
    <row r="44" spans="1:18" ht="16.5" thickTop="1" x14ac:dyDescent="0.25">
      <c r="A44" s="869"/>
      <c r="B44" s="874"/>
      <c r="C44" s="874"/>
      <c r="D44" s="874"/>
      <c r="E44" s="874"/>
      <c r="F44" s="874"/>
      <c r="G44" s="874"/>
      <c r="H44" s="874"/>
      <c r="I44" s="874"/>
      <c r="J44" s="874"/>
      <c r="K44" s="874"/>
      <c r="L44" s="874"/>
      <c r="M44" s="874"/>
      <c r="N44" s="874"/>
      <c r="O44" s="874"/>
      <c r="P44" s="874"/>
      <c r="Q44" s="874"/>
      <c r="R44" s="874"/>
    </row>
    <row r="45" spans="1:18" ht="15.75" x14ac:dyDescent="0.25">
      <c r="A45" s="869"/>
      <c r="B45" s="874"/>
      <c r="C45" s="874"/>
      <c r="D45" s="874"/>
      <c r="E45" s="874"/>
      <c r="F45" s="874"/>
      <c r="G45" s="874"/>
      <c r="H45" s="874"/>
      <c r="I45" s="874"/>
      <c r="J45" s="874"/>
      <c r="K45" s="874"/>
      <c r="L45" s="874"/>
      <c r="M45" s="874"/>
      <c r="N45" s="874"/>
      <c r="O45" s="874"/>
      <c r="P45" s="874"/>
      <c r="Q45" s="874"/>
      <c r="R45" s="874"/>
    </row>
    <row r="46" spans="1:18" ht="15.75" x14ac:dyDescent="0.25">
      <c r="A46" s="869"/>
      <c r="B46" s="874"/>
      <c r="C46" s="874"/>
      <c r="D46" s="874"/>
      <c r="E46" s="874"/>
      <c r="F46" s="874"/>
      <c r="G46" s="874"/>
      <c r="H46" s="874"/>
      <c r="I46" s="874"/>
      <c r="J46" s="874"/>
      <c r="K46" s="874"/>
      <c r="L46" s="874"/>
      <c r="M46" s="874"/>
      <c r="N46" s="874"/>
      <c r="O46" s="874"/>
      <c r="P46" s="874"/>
      <c r="Q46" s="874"/>
      <c r="R46" s="874"/>
    </row>
    <row r="47" spans="1:18" ht="15.75" x14ac:dyDescent="0.25">
      <c r="A47" s="869"/>
      <c r="B47" s="874"/>
      <c r="C47" s="874"/>
      <c r="D47" s="874"/>
      <c r="E47" s="874"/>
      <c r="F47" s="874"/>
      <c r="G47" s="874"/>
      <c r="H47" s="874"/>
      <c r="I47" s="874"/>
      <c r="J47" s="874"/>
      <c r="K47" s="874"/>
      <c r="L47" s="874"/>
      <c r="M47" s="874"/>
      <c r="N47" s="874"/>
      <c r="O47" s="874"/>
      <c r="P47" s="874"/>
      <c r="Q47" s="874"/>
      <c r="R47" s="874"/>
    </row>
    <row r="48" spans="1:18" ht="15.75" x14ac:dyDescent="0.25">
      <c r="A48" s="869"/>
      <c r="B48" s="874"/>
      <c r="C48" s="874"/>
      <c r="D48" s="874"/>
      <c r="E48" s="874"/>
      <c r="F48" s="874"/>
      <c r="G48" s="874"/>
      <c r="H48" s="874"/>
      <c r="I48" s="874"/>
      <c r="J48" s="874"/>
      <c r="K48" s="874"/>
      <c r="L48" s="874"/>
      <c r="M48" s="874"/>
      <c r="N48" s="874"/>
      <c r="O48" s="874"/>
      <c r="P48" s="874"/>
      <c r="Q48" s="874"/>
      <c r="R48" s="874"/>
    </row>
    <row r="49" spans="1:18" ht="15.75" x14ac:dyDescent="0.25">
      <c r="A49" s="869"/>
      <c r="B49" s="874"/>
      <c r="C49" s="874"/>
      <c r="D49" s="874"/>
      <c r="E49" s="874"/>
      <c r="F49" s="874"/>
      <c r="G49" s="874"/>
      <c r="H49" s="874"/>
      <c r="I49" s="874"/>
      <c r="J49" s="874"/>
      <c r="K49" s="874"/>
      <c r="L49" s="874"/>
      <c r="M49" s="874"/>
      <c r="N49" s="874"/>
      <c r="O49" s="874"/>
      <c r="P49" s="874"/>
      <c r="Q49" s="874"/>
      <c r="R49" s="874"/>
    </row>
    <row r="50" spans="1:18" ht="15.75" x14ac:dyDescent="0.25">
      <c r="A50" s="869"/>
      <c r="B50" s="874"/>
      <c r="C50" s="874"/>
      <c r="D50" s="874"/>
      <c r="E50" s="874"/>
      <c r="F50" s="874"/>
      <c r="G50" s="874"/>
      <c r="H50" s="874"/>
      <c r="I50" s="874"/>
      <c r="J50" s="874"/>
      <c r="K50" s="874"/>
      <c r="L50" s="874"/>
      <c r="M50" s="874"/>
      <c r="N50" s="874"/>
      <c r="O50" s="874"/>
      <c r="P50" s="874"/>
      <c r="Q50" s="874"/>
      <c r="R50" s="874"/>
    </row>
    <row r="51" spans="1:18" ht="15.75" x14ac:dyDescent="0.25">
      <c r="A51" s="869"/>
    </row>
    <row r="52" spans="1:18" ht="15.75" x14ac:dyDescent="0.25">
      <c r="A52" s="869"/>
    </row>
    <row r="53" spans="1:18" ht="15.75" x14ac:dyDescent="0.25">
      <c r="A53" s="869"/>
    </row>
    <row r="54" spans="1:18" ht="15.75" x14ac:dyDescent="0.25">
      <c r="A54" s="869"/>
    </row>
    <row r="55" spans="1:18" ht="15.75" x14ac:dyDescent="0.25">
      <c r="A55" s="869"/>
    </row>
    <row r="56" spans="1:18" ht="15.75" x14ac:dyDescent="0.25">
      <c r="A56" s="869"/>
    </row>
    <row r="57" spans="1:18" ht="15.75" x14ac:dyDescent="0.25">
      <c r="A57" s="869"/>
    </row>
    <row r="58" spans="1:18" ht="15.75" x14ac:dyDescent="0.25">
      <c r="A58" s="869"/>
    </row>
    <row r="59" spans="1:18" ht="15.75" x14ac:dyDescent="0.25">
      <c r="A59" s="869"/>
    </row>
    <row r="60" spans="1:18" ht="15.75" x14ac:dyDescent="0.25">
      <c r="A60" s="869"/>
    </row>
    <row r="61" spans="1:18" ht="15.75" x14ac:dyDescent="0.25">
      <c r="A61" s="869"/>
    </row>
    <row r="62" spans="1:18" ht="15.75" x14ac:dyDescent="0.25">
      <c r="A62" s="869"/>
    </row>
    <row r="63" spans="1:18" ht="15.75" x14ac:dyDescent="0.25">
      <c r="A63" s="869"/>
    </row>
    <row r="64" spans="1:18" ht="15.75" x14ac:dyDescent="0.25">
      <c r="A64" s="869"/>
    </row>
    <row r="65" spans="1:1" ht="15.75" x14ac:dyDescent="0.25">
      <c r="A65" s="869"/>
    </row>
    <row r="66" spans="1:1" ht="15.75" x14ac:dyDescent="0.25">
      <c r="A66" s="869"/>
    </row>
    <row r="67" spans="1:1" ht="15.75" x14ac:dyDescent="0.25">
      <c r="A67" s="869"/>
    </row>
    <row r="68" spans="1:1" ht="15.75" x14ac:dyDescent="0.25">
      <c r="A68" s="869"/>
    </row>
    <row r="69" spans="1:1" ht="15.75" x14ac:dyDescent="0.25">
      <c r="A69" s="869"/>
    </row>
    <row r="70" spans="1:1" ht="15.75" x14ac:dyDescent="0.25">
      <c r="A70" s="869"/>
    </row>
    <row r="71" spans="1:1" ht="15.75" x14ac:dyDescent="0.25">
      <c r="A71" s="869"/>
    </row>
    <row r="72" spans="1:1" ht="15.75" x14ac:dyDescent="0.25">
      <c r="A72" s="869"/>
    </row>
    <row r="73" spans="1:1" ht="15.75" x14ac:dyDescent="0.25">
      <c r="A73" s="869"/>
    </row>
    <row r="74" spans="1:1" ht="15.75" x14ac:dyDescent="0.25">
      <c r="A74" s="869"/>
    </row>
    <row r="75" spans="1:1" ht="15.75" x14ac:dyDescent="0.25">
      <c r="A75" s="869"/>
    </row>
    <row r="76" spans="1:1" ht="15.75" x14ac:dyDescent="0.25">
      <c r="A76" s="869"/>
    </row>
    <row r="77" spans="1:1" ht="15.75" x14ac:dyDescent="0.25">
      <c r="A77" s="869"/>
    </row>
    <row r="78" spans="1:1" ht="15.75" x14ac:dyDescent="0.25">
      <c r="A78" s="869"/>
    </row>
    <row r="79" spans="1:1" ht="15.75" x14ac:dyDescent="0.25">
      <c r="A79" s="869"/>
    </row>
    <row r="80" spans="1:1" ht="15.75" x14ac:dyDescent="0.25">
      <c r="A80" s="869"/>
    </row>
    <row r="81" spans="1:1" ht="15.75" x14ac:dyDescent="0.25">
      <c r="A81" s="869"/>
    </row>
    <row r="82" spans="1:1" ht="15.75" x14ac:dyDescent="0.25">
      <c r="A82" s="869"/>
    </row>
    <row r="83" spans="1:1" ht="15.75" x14ac:dyDescent="0.25">
      <c r="A83" s="869"/>
    </row>
    <row r="84" spans="1:1" ht="15.75" x14ac:dyDescent="0.25">
      <c r="A84" s="869"/>
    </row>
    <row r="85" spans="1:1" ht="15.75" x14ac:dyDescent="0.25">
      <c r="A85" s="869"/>
    </row>
    <row r="86" spans="1:1" ht="15.75" x14ac:dyDescent="0.25">
      <c r="A86" s="869"/>
    </row>
    <row r="87" spans="1:1" ht="15.75" x14ac:dyDescent="0.25">
      <c r="A87" s="869"/>
    </row>
    <row r="88" spans="1:1" ht="15.75" x14ac:dyDescent="0.25">
      <c r="A88" s="869"/>
    </row>
    <row r="89" spans="1:1" ht="15.75" x14ac:dyDescent="0.25">
      <c r="A89" s="869"/>
    </row>
    <row r="90" spans="1:1" ht="15.75" x14ac:dyDescent="0.25">
      <c r="A90" s="869"/>
    </row>
    <row r="91" spans="1:1" ht="15.75" x14ac:dyDescent="0.25">
      <c r="A91" s="869"/>
    </row>
    <row r="92" spans="1:1" ht="15.75" x14ac:dyDescent="0.25">
      <c r="A92" s="869"/>
    </row>
    <row r="93" spans="1:1" ht="15.75" x14ac:dyDescent="0.25">
      <c r="A93" s="869"/>
    </row>
    <row r="94" spans="1:1" ht="15.75" x14ac:dyDescent="0.25">
      <c r="A94" s="869"/>
    </row>
    <row r="95" spans="1:1" ht="15.75" x14ac:dyDescent="0.25">
      <c r="A95" s="869"/>
    </row>
    <row r="96" spans="1:1" ht="15.75" x14ac:dyDescent="0.25">
      <c r="A96" s="869"/>
    </row>
    <row r="97" spans="1:1" ht="15.75" x14ac:dyDescent="0.25">
      <c r="A97" s="869"/>
    </row>
    <row r="98" spans="1:1" ht="15.75" x14ac:dyDescent="0.25">
      <c r="A98" s="869"/>
    </row>
    <row r="99" spans="1:1" ht="15.75" x14ac:dyDescent="0.25">
      <c r="A99" s="869"/>
    </row>
    <row r="100" spans="1:1" ht="15.75" x14ac:dyDescent="0.25">
      <c r="A100" s="869"/>
    </row>
    <row r="101" spans="1:1" ht="15.75" x14ac:dyDescent="0.25">
      <c r="A101" s="869"/>
    </row>
    <row r="102" spans="1:1" ht="15.75" x14ac:dyDescent="0.25">
      <c r="A102" s="869"/>
    </row>
    <row r="103" spans="1:1" ht="15.75" x14ac:dyDescent="0.25">
      <c r="A103" s="869"/>
    </row>
    <row r="104" spans="1:1" ht="15.75" x14ac:dyDescent="0.25">
      <c r="A104" s="869"/>
    </row>
    <row r="105" spans="1:1" ht="15.75" x14ac:dyDescent="0.25">
      <c r="A105" s="869"/>
    </row>
    <row r="106" spans="1:1" ht="15.75" x14ac:dyDescent="0.25">
      <c r="A106" s="869"/>
    </row>
    <row r="107" spans="1:1" ht="15.75" x14ac:dyDescent="0.25">
      <c r="A107" s="869"/>
    </row>
    <row r="108" spans="1:1" ht="15.75" x14ac:dyDescent="0.25">
      <c r="A108" s="869"/>
    </row>
    <row r="109" spans="1:1" ht="15.75" x14ac:dyDescent="0.25">
      <c r="A109" s="869"/>
    </row>
    <row r="110" spans="1:1" ht="15.75" x14ac:dyDescent="0.25">
      <c r="A110" s="869"/>
    </row>
    <row r="111" spans="1:1" ht="15.75" x14ac:dyDescent="0.25">
      <c r="A111" s="869"/>
    </row>
    <row r="112" spans="1:1" ht="15.75" x14ac:dyDescent="0.25">
      <c r="A112" s="869"/>
    </row>
    <row r="113" spans="1:1" ht="15.75" x14ac:dyDescent="0.25">
      <c r="A113" s="869"/>
    </row>
    <row r="114" spans="1:1" ht="15.75" x14ac:dyDescent="0.25">
      <c r="A114" s="869"/>
    </row>
    <row r="115" spans="1:1" ht="15.75" x14ac:dyDescent="0.25">
      <c r="A115" s="869"/>
    </row>
    <row r="116" spans="1:1" ht="15.75" x14ac:dyDescent="0.25">
      <c r="A116" s="869"/>
    </row>
    <row r="117" spans="1:1" ht="15.75" x14ac:dyDescent="0.25">
      <c r="A117" s="869"/>
    </row>
    <row r="118" spans="1:1" ht="15.75" x14ac:dyDescent="0.25">
      <c r="A118" s="869"/>
    </row>
    <row r="119" spans="1:1" ht="15.75" x14ac:dyDescent="0.25">
      <c r="A119" s="869"/>
    </row>
    <row r="120" spans="1:1" ht="15.75" x14ac:dyDescent="0.25">
      <c r="A120" s="869"/>
    </row>
    <row r="121" spans="1:1" ht="15.75" x14ac:dyDescent="0.25">
      <c r="A121" s="869"/>
    </row>
    <row r="122" spans="1:1" ht="15.75" x14ac:dyDescent="0.25">
      <c r="A122" s="869"/>
    </row>
    <row r="123" spans="1:1" ht="15.75" x14ac:dyDescent="0.25">
      <c r="A123" s="869"/>
    </row>
    <row r="124" spans="1:1" ht="15.75" x14ac:dyDescent="0.25">
      <c r="A124" s="869"/>
    </row>
    <row r="125" spans="1:1" ht="15.75" x14ac:dyDescent="0.25">
      <c r="A125" s="869"/>
    </row>
    <row r="126" spans="1:1" ht="15.75" x14ac:dyDescent="0.25">
      <c r="A126" s="869"/>
    </row>
    <row r="127" spans="1:1" ht="15.75" x14ac:dyDescent="0.25">
      <c r="A127" s="869"/>
    </row>
    <row r="128" spans="1:1" ht="15.75" x14ac:dyDescent="0.25">
      <c r="A128" s="869"/>
    </row>
    <row r="129" spans="1:1" ht="15.75" x14ac:dyDescent="0.25">
      <c r="A129" s="869"/>
    </row>
    <row r="130" spans="1:1" ht="15.75" x14ac:dyDescent="0.25">
      <c r="A130" s="869"/>
    </row>
    <row r="131" spans="1:1" ht="15.75" x14ac:dyDescent="0.25">
      <c r="A131" s="869"/>
    </row>
    <row r="132" spans="1:1" ht="15.75" x14ac:dyDescent="0.25">
      <c r="A132" s="869"/>
    </row>
    <row r="133" spans="1:1" ht="15.75" x14ac:dyDescent="0.25">
      <c r="A133" s="869"/>
    </row>
    <row r="134" spans="1:1" ht="15.75" x14ac:dyDescent="0.25">
      <c r="A134" s="869"/>
    </row>
    <row r="135" spans="1:1" ht="15.75" x14ac:dyDescent="0.25">
      <c r="A135" s="869"/>
    </row>
    <row r="136" spans="1:1" ht="15.75" x14ac:dyDescent="0.25">
      <c r="A136" s="869"/>
    </row>
    <row r="137" spans="1:1" ht="15.75" x14ac:dyDescent="0.25">
      <c r="A137" s="869"/>
    </row>
    <row r="138" spans="1:1" ht="15.75" x14ac:dyDescent="0.25">
      <c r="A138" s="869"/>
    </row>
    <row r="139" spans="1:1" ht="15.75" x14ac:dyDescent="0.25">
      <c r="A139" s="869"/>
    </row>
    <row r="140" spans="1:1" ht="15.75" x14ac:dyDescent="0.25">
      <c r="A140" s="869"/>
    </row>
    <row r="141" spans="1:1" ht="15.75" x14ac:dyDescent="0.25">
      <c r="A141" s="869"/>
    </row>
    <row r="142" spans="1:1" ht="15.75" x14ac:dyDescent="0.25">
      <c r="A142" s="869"/>
    </row>
    <row r="143" spans="1:1" ht="15.75" x14ac:dyDescent="0.25">
      <c r="A143" s="869"/>
    </row>
    <row r="144" spans="1:1" ht="15.75" x14ac:dyDescent="0.25">
      <c r="A144" s="869"/>
    </row>
    <row r="145" spans="1:1" ht="15.75" x14ac:dyDescent="0.25">
      <c r="A145" s="869"/>
    </row>
    <row r="146" spans="1:1" ht="15.75" x14ac:dyDescent="0.25">
      <c r="A146" s="869"/>
    </row>
    <row r="147" spans="1:1" ht="15.75" x14ac:dyDescent="0.25">
      <c r="A147" s="869"/>
    </row>
    <row r="148" spans="1:1" ht="15.75" x14ac:dyDescent="0.25">
      <c r="A148" s="869"/>
    </row>
    <row r="149" spans="1:1" ht="15.75" x14ac:dyDescent="0.25">
      <c r="A149" s="869"/>
    </row>
    <row r="150" spans="1:1" ht="15.75" x14ac:dyDescent="0.25">
      <c r="A150" s="869"/>
    </row>
    <row r="151" spans="1:1" ht="15.75" x14ac:dyDescent="0.25">
      <c r="A151" s="869"/>
    </row>
    <row r="152" spans="1:1" ht="15.75" x14ac:dyDescent="0.25">
      <c r="A152" s="869"/>
    </row>
    <row r="153" spans="1:1" ht="15.75" x14ac:dyDescent="0.25">
      <c r="A153" s="869"/>
    </row>
    <row r="154" spans="1:1" ht="15.75" x14ac:dyDescent="0.25">
      <c r="A154" s="869"/>
    </row>
    <row r="155" spans="1:1" ht="15.75" x14ac:dyDescent="0.25">
      <c r="A155" s="869"/>
    </row>
    <row r="156" spans="1:1" ht="15.75" x14ac:dyDescent="0.25">
      <c r="A156" s="869"/>
    </row>
    <row r="157" spans="1:1" ht="15.75" x14ac:dyDescent="0.25">
      <c r="A157" s="869"/>
    </row>
    <row r="158" spans="1:1" ht="15.75" x14ac:dyDescent="0.25">
      <c r="A158" s="869"/>
    </row>
    <row r="159" spans="1:1" ht="15.75" x14ac:dyDescent="0.25">
      <c r="A159" s="869"/>
    </row>
    <row r="160" spans="1:1" ht="15.75" x14ac:dyDescent="0.25">
      <c r="A160" s="869"/>
    </row>
    <row r="161" spans="1:1" ht="15.75" x14ac:dyDescent="0.25">
      <c r="A161" s="869"/>
    </row>
    <row r="162" spans="1:1" ht="15.75" x14ac:dyDescent="0.25">
      <c r="A162" s="869"/>
    </row>
    <row r="163" spans="1:1" ht="15.75" x14ac:dyDescent="0.25">
      <c r="A163" s="869"/>
    </row>
    <row r="164" spans="1:1" ht="15.75" x14ac:dyDescent="0.25">
      <c r="A164" s="869"/>
    </row>
    <row r="165" spans="1:1" ht="15.75" x14ac:dyDescent="0.25">
      <c r="A165" s="869"/>
    </row>
    <row r="166" spans="1:1" ht="15.75" x14ac:dyDescent="0.25">
      <c r="A166" s="869"/>
    </row>
    <row r="167" spans="1:1" ht="15.75" x14ac:dyDescent="0.25">
      <c r="A167" s="869"/>
    </row>
    <row r="168" spans="1:1" ht="15.75" x14ac:dyDescent="0.25">
      <c r="A168" s="869"/>
    </row>
    <row r="169" spans="1:1" ht="15.75" x14ac:dyDescent="0.25">
      <c r="A169" s="869"/>
    </row>
    <row r="170" spans="1:1" ht="15.75" x14ac:dyDescent="0.25">
      <c r="A170" s="869"/>
    </row>
    <row r="171" spans="1:1" ht="15.75" x14ac:dyDescent="0.25">
      <c r="A171" s="869"/>
    </row>
    <row r="172" spans="1:1" ht="15.75" x14ac:dyDescent="0.25">
      <c r="A172" s="869"/>
    </row>
    <row r="173" spans="1:1" ht="15.75" x14ac:dyDescent="0.25">
      <c r="A173" s="869"/>
    </row>
    <row r="174" spans="1:1" ht="15.75" x14ac:dyDescent="0.25">
      <c r="A174" s="869"/>
    </row>
    <row r="175" spans="1:1" ht="15.75" x14ac:dyDescent="0.25">
      <c r="A175" s="869"/>
    </row>
    <row r="176" spans="1:1" ht="15.75" x14ac:dyDescent="0.25">
      <c r="A176" s="869"/>
    </row>
    <row r="177" spans="1:1" ht="15.75" x14ac:dyDescent="0.25">
      <c r="A177" s="869"/>
    </row>
    <row r="178" spans="1:1" ht="15.75" x14ac:dyDescent="0.25">
      <c r="A178" s="869"/>
    </row>
    <row r="179" spans="1:1" ht="15.75" x14ac:dyDescent="0.25">
      <c r="A179" s="869"/>
    </row>
    <row r="180" spans="1:1" ht="15.75" x14ac:dyDescent="0.25">
      <c r="A180" s="869"/>
    </row>
    <row r="181" spans="1:1" ht="15.75" x14ac:dyDescent="0.25">
      <c r="A181" s="869"/>
    </row>
    <row r="182" spans="1:1" ht="15.75" x14ac:dyDescent="0.25">
      <c r="A182" s="869"/>
    </row>
    <row r="183" spans="1:1" ht="15.75" x14ac:dyDescent="0.25">
      <c r="A183" s="869"/>
    </row>
    <row r="184" spans="1:1" ht="15.75" x14ac:dyDescent="0.25">
      <c r="A184" s="869"/>
    </row>
    <row r="185" spans="1:1" ht="15.75" x14ac:dyDescent="0.25">
      <c r="A185" s="869"/>
    </row>
    <row r="186" spans="1:1" ht="15.75" x14ac:dyDescent="0.25">
      <c r="A186" s="869"/>
    </row>
    <row r="187" spans="1:1" ht="15.75" x14ac:dyDescent="0.25">
      <c r="A187" s="869"/>
    </row>
    <row r="188" spans="1:1" ht="15.75" x14ac:dyDescent="0.25">
      <c r="A188" s="869"/>
    </row>
    <row r="189" spans="1:1" ht="15.75" x14ac:dyDescent="0.25">
      <c r="A189" s="869"/>
    </row>
    <row r="190" spans="1:1" ht="15.75" x14ac:dyDescent="0.25">
      <c r="A190" s="869"/>
    </row>
    <row r="191" spans="1:1" ht="15.75" x14ac:dyDescent="0.25">
      <c r="A191" s="869"/>
    </row>
    <row r="192" spans="1:1" ht="15.75" x14ac:dyDescent="0.25">
      <c r="A192" s="869"/>
    </row>
    <row r="193" spans="1:1" ht="15.75" x14ac:dyDescent="0.25">
      <c r="A193" s="869"/>
    </row>
    <row r="194" spans="1:1" ht="15.75" x14ac:dyDescent="0.25">
      <c r="A194" s="869"/>
    </row>
    <row r="195" spans="1:1" ht="15.75" x14ac:dyDescent="0.25">
      <c r="A195" s="869"/>
    </row>
    <row r="196" spans="1:1" ht="15.75" x14ac:dyDescent="0.25">
      <c r="A196" s="869"/>
    </row>
    <row r="197" spans="1:1" ht="15.75" x14ac:dyDescent="0.25">
      <c r="A197" s="869"/>
    </row>
    <row r="198" spans="1:1" ht="15.75" x14ac:dyDescent="0.25">
      <c r="A198" s="869"/>
    </row>
    <row r="199" spans="1:1" ht="15.75" x14ac:dyDescent="0.25">
      <c r="A199" s="869"/>
    </row>
    <row r="200" spans="1:1" ht="15.75" x14ac:dyDescent="0.25">
      <c r="A200" s="869"/>
    </row>
    <row r="201" spans="1:1" ht="15.75" x14ac:dyDescent="0.25">
      <c r="A201" s="869"/>
    </row>
    <row r="202" spans="1:1" ht="15.75" x14ac:dyDescent="0.25">
      <c r="A202" s="869"/>
    </row>
    <row r="203" spans="1:1" ht="15.75" x14ac:dyDescent="0.25">
      <c r="A203" s="869"/>
    </row>
    <row r="204" spans="1:1" ht="15.75" x14ac:dyDescent="0.25">
      <c r="A204" s="869"/>
    </row>
    <row r="205" spans="1:1" ht="15.75" x14ac:dyDescent="0.25">
      <c r="A205" s="869"/>
    </row>
    <row r="206" spans="1:1" ht="15.75" x14ac:dyDescent="0.25">
      <c r="A206" s="869"/>
    </row>
    <row r="207" spans="1:1" ht="15.75" x14ac:dyDescent="0.25">
      <c r="A207" s="869"/>
    </row>
    <row r="208" spans="1:1" ht="15.75" x14ac:dyDescent="0.25">
      <c r="A208" s="869"/>
    </row>
    <row r="209" spans="1:1" ht="15.75" x14ac:dyDescent="0.25">
      <c r="A209" s="869"/>
    </row>
    <row r="210" spans="1:1" ht="15.75" x14ac:dyDescent="0.25">
      <c r="A210" s="869"/>
    </row>
    <row r="211" spans="1:1" ht="15.75" x14ac:dyDescent="0.25">
      <c r="A211" s="869"/>
    </row>
    <row r="212" spans="1:1" ht="15.75" x14ac:dyDescent="0.25">
      <c r="A212" s="869"/>
    </row>
    <row r="213" spans="1:1" ht="15.75" x14ac:dyDescent="0.25">
      <c r="A213" s="869"/>
    </row>
    <row r="214" spans="1:1" ht="15.75" x14ac:dyDescent="0.25">
      <c r="A214" s="869"/>
    </row>
    <row r="215" spans="1:1" ht="15.75" x14ac:dyDescent="0.25">
      <c r="A215" s="869"/>
    </row>
    <row r="216" spans="1:1" ht="15.75" x14ac:dyDescent="0.25">
      <c r="A216" s="869"/>
    </row>
    <row r="217" spans="1:1" ht="15.75" x14ac:dyDescent="0.25">
      <c r="A217" s="869"/>
    </row>
    <row r="218" spans="1:1" ht="15.75" x14ac:dyDescent="0.25">
      <c r="A218" s="869"/>
    </row>
    <row r="219" spans="1:1" ht="15.75" x14ac:dyDescent="0.25">
      <c r="A219" s="869"/>
    </row>
    <row r="220" spans="1:1" ht="15.75" x14ac:dyDescent="0.25">
      <c r="A220" s="869"/>
    </row>
    <row r="221" spans="1:1" ht="15.75" x14ac:dyDescent="0.25">
      <c r="A221" s="869"/>
    </row>
    <row r="222" spans="1:1" ht="15.75" x14ac:dyDescent="0.25">
      <c r="A222" s="869"/>
    </row>
    <row r="223" spans="1:1" ht="15.75" x14ac:dyDescent="0.25">
      <c r="A223" s="869"/>
    </row>
    <row r="224" spans="1:1" ht="15.75" x14ac:dyDescent="0.25">
      <c r="A224" s="869"/>
    </row>
    <row r="225" spans="1:1" ht="15.75" x14ac:dyDescent="0.25">
      <c r="A225" s="869"/>
    </row>
    <row r="226" spans="1:1" ht="15.75" x14ac:dyDescent="0.25">
      <c r="A226" s="869"/>
    </row>
    <row r="227" spans="1:1" ht="15.75" x14ac:dyDescent="0.25">
      <c r="A227" s="869"/>
    </row>
    <row r="228" spans="1:1" ht="15.75" x14ac:dyDescent="0.25">
      <c r="A228" s="869"/>
    </row>
    <row r="229" spans="1:1" ht="15.75" x14ac:dyDescent="0.25">
      <c r="A229" s="869"/>
    </row>
    <row r="230" spans="1:1" ht="15.75" x14ac:dyDescent="0.25">
      <c r="A230" s="869"/>
    </row>
    <row r="231" spans="1:1" ht="15.75" x14ac:dyDescent="0.25">
      <c r="A231" s="869"/>
    </row>
    <row r="232" spans="1:1" ht="15.75" x14ac:dyDescent="0.25">
      <c r="A232" s="869"/>
    </row>
    <row r="233" spans="1:1" ht="15.75" x14ac:dyDescent="0.25">
      <c r="A233" s="869"/>
    </row>
    <row r="234" spans="1:1" ht="15.75" x14ac:dyDescent="0.25">
      <c r="A234" s="869"/>
    </row>
    <row r="235" spans="1:1" ht="15.75" x14ac:dyDescent="0.25">
      <c r="A235" s="869"/>
    </row>
    <row r="236" spans="1:1" ht="15.75" x14ac:dyDescent="0.25">
      <c r="A236" s="869"/>
    </row>
    <row r="237" spans="1:1" ht="15.75" x14ac:dyDescent="0.25">
      <c r="A237" s="869"/>
    </row>
    <row r="238" spans="1:1" ht="15.75" x14ac:dyDescent="0.25">
      <c r="A238" s="869"/>
    </row>
    <row r="239" spans="1:1" ht="15.75" x14ac:dyDescent="0.25">
      <c r="A239" s="869"/>
    </row>
    <row r="240" spans="1:1" ht="15.75" x14ac:dyDescent="0.25">
      <c r="A240" s="869"/>
    </row>
    <row r="241" spans="1:1" ht="15.75" x14ac:dyDescent="0.25">
      <c r="A241" s="869"/>
    </row>
    <row r="242" spans="1:1" ht="15.75" x14ac:dyDescent="0.25">
      <c r="A242" s="869"/>
    </row>
    <row r="243" spans="1:1" ht="15.75" x14ac:dyDescent="0.25">
      <c r="A243" s="869"/>
    </row>
    <row r="244" spans="1:1" ht="15.75" x14ac:dyDescent="0.25">
      <c r="A244" s="869"/>
    </row>
    <row r="245" spans="1:1" ht="15.75" x14ac:dyDescent="0.25">
      <c r="A245" s="869"/>
    </row>
    <row r="246" spans="1:1" ht="15.75" x14ac:dyDescent="0.25">
      <c r="A246" s="869"/>
    </row>
    <row r="247" spans="1:1" ht="15.75" x14ac:dyDescent="0.25">
      <c r="A247" s="869"/>
    </row>
    <row r="248" spans="1:1" ht="15.75" x14ac:dyDescent="0.25">
      <c r="A248" s="869"/>
    </row>
    <row r="249" spans="1:1" ht="15.75" x14ac:dyDescent="0.25">
      <c r="A249" s="869"/>
    </row>
    <row r="250" spans="1:1" ht="15.75" x14ac:dyDescent="0.25">
      <c r="A250" s="869"/>
    </row>
    <row r="251" spans="1:1" ht="15.75" x14ac:dyDescent="0.25">
      <c r="A251" s="869"/>
    </row>
    <row r="252" spans="1:1" ht="15.75" x14ac:dyDescent="0.25">
      <c r="A252" s="869"/>
    </row>
    <row r="253" spans="1:1" ht="15.75" x14ac:dyDescent="0.25">
      <c r="A253" s="869"/>
    </row>
    <row r="254" spans="1:1" ht="15.75" x14ac:dyDescent="0.25">
      <c r="A254" s="869"/>
    </row>
    <row r="255" spans="1:1" ht="15.75" x14ac:dyDescent="0.25">
      <c r="A255" s="869"/>
    </row>
    <row r="256" spans="1:1" ht="15.75" x14ac:dyDescent="0.25">
      <c r="A256" s="869"/>
    </row>
    <row r="257" spans="1:1" ht="15.75" x14ac:dyDescent="0.25">
      <c r="A257" s="869"/>
    </row>
    <row r="258" spans="1:1" ht="15.75" x14ac:dyDescent="0.25">
      <c r="A258" s="869"/>
    </row>
    <row r="259" spans="1:1" ht="15.75" x14ac:dyDescent="0.25">
      <c r="A259" s="869"/>
    </row>
    <row r="260" spans="1:1" ht="15.75" x14ac:dyDescent="0.25">
      <c r="A260" s="869"/>
    </row>
    <row r="261" spans="1:1" ht="15.75" x14ac:dyDescent="0.25">
      <c r="A261" s="869"/>
    </row>
    <row r="262" spans="1:1" ht="15.75" x14ac:dyDescent="0.25">
      <c r="A262" s="869"/>
    </row>
    <row r="263" spans="1:1" ht="15.75" x14ac:dyDescent="0.25">
      <c r="A263" s="869"/>
    </row>
    <row r="264" spans="1:1" ht="15.75" x14ac:dyDescent="0.25">
      <c r="A264" s="869"/>
    </row>
    <row r="265" spans="1:1" ht="15.75" x14ac:dyDescent="0.25">
      <c r="A265" s="869"/>
    </row>
    <row r="266" spans="1:1" ht="15.75" x14ac:dyDescent="0.25">
      <c r="A266" s="869"/>
    </row>
    <row r="267" spans="1:1" ht="15.75" x14ac:dyDescent="0.25">
      <c r="A267" s="869"/>
    </row>
    <row r="268" spans="1:1" ht="15.75" x14ac:dyDescent="0.25">
      <c r="A268" s="869"/>
    </row>
    <row r="269" spans="1:1" ht="15.75" x14ac:dyDescent="0.25">
      <c r="A269" s="869"/>
    </row>
    <row r="270" spans="1:1" ht="15.75" x14ac:dyDescent="0.25">
      <c r="A270" s="869"/>
    </row>
    <row r="271" spans="1:1" ht="15.75" x14ac:dyDescent="0.25">
      <c r="A271" s="869"/>
    </row>
    <row r="272" spans="1:1" ht="15.75" x14ac:dyDescent="0.25">
      <c r="A272" s="869"/>
    </row>
    <row r="273" spans="1:1" ht="15.75" x14ac:dyDescent="0.25">
      <c r="A273" s="869"/>
    </row>
    <row r="274" spans="1:1" ht="15.75" x14ac:dyDescent="0.25">
      <c r="A274" s="869"/>
    </row>
    <row r="275" spans="1:1" ht="15.75" x14ac:dyDescent="0.25">
      <c r="A275" s="869"/>
    </row>
    <row r="276" spans="1:1" ht="15.75" x14ac:dyDescent="0.25">
      <c r="A276" s="869"/>
    </row>
    <row r="277" spans="1:1" ht="15.75" x14ac:dyDescent="0.25">
      <c r="A277" s="869"/>
    </row>
    <row r="278" spans="1:1" ht="15.75" x14ac:dyDescent="0.25">
      <c r="A278" s="869"/>
    </row>
    <row r="279" spans="1:1" ht="15.75" x14ac:dyDescent="0.25">
      <c r="A279" s="869"/>
    </row>
    <row r="280" spans="1:1" ht="15.75" x14ac:dyDescent="0.25">
      <c r="A280" s="869"/>
    </row>
    <row r="281" spans="1:1" ht="15.75" x14ac:dyDescent="0.25">
      <c r="A281" s="869"/>
    </row>
    <row r="282" spans="1:1" ht="15.75" x14ac:dyDescent="0.25">
      <c r="A282" s="869"/>
    </row>
    <row r="283" spans="1:1" ht="15.75" x14ac:dyDescent="0.25">
      <c r="A283" s="869"/>
    </row>
    <row r="284" spans="1:1" ht="15.75" x14ac:dyDescent="0.25">
      <c r="A284" s="869"/>
    </row>
    <row r="285" spans="1:1" ht="15.75" x14ac:dyDescent="0.25">
      <c r="A285" s="869"/>
    </row>
    <row r="286" spans="1:1" ht="15.75" x14ac:dyDescent="0.25">
      <c r="A286" s="869"/>
    </row>
    <row r="287" spans="1:1" ht="15.75" x14ac:dyDescent="0.25">
      <c r="A287" s="869"/>
    </row>
    <row r="288" spans="1:1" ht="15.75" x14ac:dyDescent="0.25">
      <c r="A288" s="869"/>
    </row>
    <row r="289" spans="1:1" ht="15.75" x14ac:dyDescent="0.25">
      <c r="A289" s="869"/>
    </row>
    <row r="290" spans="1:1" ht="15.75" x14ac:dyDescent="0.25">
      <c r="A290" s="869"/>
    </row>
    <row r="291" spans="1:1" ht="15.75" x14ac:dyDescent="0.25">
      <c r="A291" s="869"/>
    </row>
    <row r="292" spans="1:1" ht="15.75" x14ac:dyDescent="0.25">
      <c r="A292" s="869"/>
    </row>
    <row r="293" spans="1:1" ht="15.75" x14ac:dyDescent="0.25">
      <c r="A293" s="869"/>
    </row>
    <row r="294" spans="1:1" ht="15.75" x14ac:dyDescent="0.25">
      <c r="A294" s="869"/>
    </row>
    <row r="295" spans="1:1" ht="15.75" x14ac:dyDescent="0.25">
      <c r="A295" s="869"/>
    </row>
    <row r="296" spans="1:1" ht="15.75" x14ac:dyDescent="0.25">
      <c r="A296" s="869"/>
    </row>
    <row r="297" spans="1:1" ht="15.75" x14ac:dyDescent="0.25">
      <c r="A297" s="869"/>
    </row>
    <row r="298" spans="1:1" ht="15.75" x14ac:dyDescent="0.25">
      <c r="A298" s="869"/>
    </row>
    <row r="299" spans="1:1" ht="15.75" x14ac:dyDescent="0.25">
      <c r="A299" s="869"/>
    </row>
    <row r="300" spans="1:1" ht="15.75" x14ac:dyDescent="0.25">
      <c r="A300" s="869"/>
    </row>
    <row r="301" spans="1:1" ht="15.75" x14ac:dyDescent="0.25">
      <c r="A301" s="869"/>
    </row>
    <row r="302" spans="1:1" ht="15.75" x14ac:dyDescent="0.25">
      <c r="A302" s="869"/>
    </row>
    <row r="303" spans="1:1" ht="15.75" x14ac:dyDescent="0.25">
      <c r="A303" s="869"/>
    </row>
    <row r="304" spans="1:1" ht="15.75" x14ac:dyDescent="0.25">
      <c r="A304" s="869"/>
    </row>
    <row r="305" spans="1:1" ht="15.75" x14ac:dyDescent="0.25">
      <c r="A305" s="869"/>
    </row>
    <row r="306" spans="1:1" ht="15.75" x14ac:dyDescent="0.25">
      <c r="A306" s="869"/>
    </row>
    <row r="307" spans="1:1" ht="15.75" x14ac:dyDescent="0.25">
      <c r="A307" s="869"/>
    </row>
    <row r="308" spans="1:1" ht="15.75" x14ac:dyDescent="0.25">
      <c r="A308" s="869"/>
    </row>
    <row r="309" spans="1:1" ht="15.75" x14ac:dyDescent="0.25">
      <c r="A309" s="869"/>
    </row>
    <row r="310" spans="1:1" ht="15.75" x14ac:dyDescent="0.25">
      <c r="A310" s="869"/>
    </row>
    <row r="311" spans="1:1" ht="15.75" x14ac:dyDescent="0.25">
      <c r="A311" s="869"/>
    </row>
    <row r="312" spans="1:1" ht="15.75" x14ac:dyDescent="0.25">
      <c r="A312" s="869"/>
    </row>
    <row r="313" spans="1:1" ht="15.75" x14ac:dyDescent="0.25">
      <c r="A313" s="869"/>
    </row>
    <row r="314" spans="1:1" ht="15.75" x14ac:dyDescent="0.25">
      <c r="A314" s="869"/>
    </row>
    <row r="315" spans="1:1" ht="15.75" x14ac:dyDescent="0.25">
      <c r="A315" s="869"/>
    </row>
    <row r="316" spans="1:1" ht="15.75" x14ac:dyDescent="0.25">
      <c r="A316" s="869"/>
    </row>
    <row r="317" spans="1:1" ht="15.75" x14ac:dyDescent="0.25">
      <c r="A317" s="869"/>
    </row>
    <row r="318" spans="1:1" ht="15.75" x14ac:dyDescent="0.25">
      <c r="A318" s="869"/>
    </row>
    <row r="319" spans="1:1" ht="15.75" x14ac:dyDescent="0.25">
      <c r="A319" s="869"/>
    </row>
    <row r="320" spans="1:1" ht="15.75" x14ac:dyDescent="0.25">
      <c r="A320" s="869"/>
    </row>
    <row r="321" spans="1:1" ht="15.75" x14ac:dyDescent="0.25">
      <c r="A321" s="869"/>
    </row>
    <row r="322" spans="1:1" ht="15.75" x14ac:dyDescent="0.25">
      <c r="A322" s="869"/>
    </row>
    <row r="323" spans="1:1" ht="15.75" x14ac:dyDescent="0.25">
      <c r="A323" s="869"/>
    </row>
    <row r="324" spans="1:1" ht="15.75" x14ac:dyDescent="0.25">
      <c r="A324" s="869"/>
    </row>
    <row r="325" spans="1:1" ht="15.75" x14ac:dyDescent="0.25">
      <c r="A325" s="869"/>
    </row>
    <row r="326" spans="1:1" ht="15.75" x14ac:dyDescent="0.25">
      <c r="A326" s="869"/>
    </row>
    <row r="327" spans="1:1" ht="15.75" x14ac:dyDescent="0.25">
      <c r="A327" s="869"/>
    </row>
    <row r="328" spans="1:1" ht="15.75" x14ac:dyDescent="0.25">
      <c r="A328" s="869"/>
    </row>
    <row r="329" spans="1:1" ht="15.75" x14ac:dyDescent="0.25">
      <c r="A329" s="869"/>
    </row>
    <row r="330" spans="1:1" ht="15.75" x14ac:dyDescent="0.25">
      <c r="A330" s="869"/>
    </row>
    <row r="331" spans="1:1" ht="15.75" x14ac:dyDescent="0.25">
      <c r="A331" s="869"/>
    </row>
    <row r="332" spans="1:1" ht="15.75" x14ac:dyDescent="0.25">
      <c r="A332" s="869"/>
    </row>
    <row r="333" spans="1:1" ht="15.75" x14ac:dyDescent="0.25">
      <c r="A333" s="869"/>
    </row>
    <row r="334" spans="1:1" ht="15.75" x14ac:dyDescent="0.25">
      <c r="A334" s="869"/>
    </row>
    <row r="335" spans="1:1" ht="15.75" x14ac:dyDescent="0.25">
      <c r="A335" s="869"/>
    </row>
    <row r="336" spans="1:1" ht="15.75" x14ac:dyDescent="0.25">
      <c r="A336" s="869"/>
    </row>
    <row r="337" spans="1:1" ht="15.75" x14ac:dyDescent="0.25">
      <c r="A337" s="869"/>
    </row>
    <row r="338" spans="1:1" ht="15.75" x14ac:dyDescent="0.25">
      <c r="A338" s="869"/>
    </row>
    <row r="339" spans="1:1" ht="15.75" x14ac:dyDescent="0.25">
      <c r="A339" s="869"/>
    </row>
    <row r="340" spans="1:1" ht="15.75" x14ac:dyDescent="0.25">
      <c r="A340" s="869"/>
    </row>
    <row r="341" spans="1:1" ht="15.75" x14ac:dyDescent="0.25">
      <c r="A341" s="869"/>
    </row>
    <row r="342" spans="1:1" ht="15.75" x14ac:dyDescent="0.25">
      <c r="A342" s="869"/>
    </row>
    <row r="343" spans="1:1" ht="15.75" x14ac:dyDescent="0.25">
      <c r="A343" s="869"/>
    </row>
    <row r="344" spans="1:1" ht="15.75" x14ac:dyDescent="0.25">
      <c r="A344" s="869"/>
    </row>
    <row r="345" spans="1:1" ht="15.75" x14ac:dyDescent="0.25">
      <c r="A345" s="869"/>
    </row>
    <row r="346" spans="1:1" ht="15.75" x14ac:dyDescent="0.25">
      <c r="A346" s="869"/>
    </row>
    <row r="347" spans="1:1" ht="15.75" x14ac:dyDescent="0.25">
      <c r="A347" s="869"/>
    </row>
    <row r="348" spans="1:1" ht="15.75" x14ac:dyDescent="0.25">
      <c r="A348" s="869"/>
    </row>
    <row r="349" spans="1:1" ht="15.75" x14ac:dyDescent="0.25">
      <c r="A349" s="869"/>
    </row>
    <row r="350" spans="1:1" ht="15.75" x14ac:dyDescent="0.25">
      <c r="A350" s="869"/>
    </row>
    <row r="351" spans="1:1" ht="15.75" x14ac:dyDescent="0.25">
      <c r="A351" s="869"/>
    </row>
    <row r="352" spans="1:1" ht="15.75" x14ac:dyDescent="0.25">
      <c r="A352" s="869"/>
    </row>
    <row r="353" spans="1:1" ht="15.75" x14ac:dyDescent="0.25">
      <c r="A353" s="869"/>
    </row>
    <row r="354" spans="1:1" ht="15.75" x14ac:dyDescent="0.25">
      <c r="A354" s="869"/>
    </row>
    <row r="355" spans="1:1" ht="15.75" x14ac:dyDescent="0.25">
      <c r="A355" s="869"/>
    </row>
    <row r="356" spans="1:1" ht="15.75" x14ac:dyDescent="0.25">
      <c r="A356" s="869"/>
    </row>
    <row r="357" spans="1:1" ht="15.75" x14ac:dyDescent="0.25">
      <c r="A357" s="869"/>
    </row>
    <row r="358" spans="1:1" ht="15.75" x14ac:dyDescent="0.25">
      <c r="A358" s="869"/>
    </row>
    <row r="359" spans="1:1" ht="15.75" x14ac:dyDescent="0.25">
      <c r="A359" s="869"/>
    </row>
    <row r="360" spans="1:1" ht="15.75" x14ac:dyDescent="0.25">
      <c r="A360" s="869"/>
    </row>
    <row r="361" spans="1:1" ht="15.75" x14ac:dyDescent="0.25">
      <c r="A361" s="869"/>
    </row>
    <row r="362" spans="1:1" ht="15.75" x14ac:dyDescent="0.25">
      <c r="A362" s="869"/>
    </row>
    <row r="363" spans="1:1" ht="15.75" x14ac:dyDescent="0.25">
      <c r="A363" s="869"/>
    </row>
    <row r="364" spans="1:1" ht="15.75" x14ac:dyDescent="0.25">
      <c r="A364" s="869"/>
    </row>
    <row r="365" spans="1:1" ht="15.75" x14ac:dyDescent="0.25">
      <c r="A365" s="869"/>
    </row>
    <row r="366" spans="1:1" ht="15.75" x14ac:dyDescent="0.25">
      <c r="A366" s="869"/>
    </row>
    <row r="367" spans="1:1" ht="15.75" x14ac:dyDescent="0.25">
      <c r="A367" s="869"/>
    </row>
    <row r="368" spans="1:1" ht="15.75" x14ac:dyDescent="0.25">
      <c r="A368" s="869"/>
    </row>
    <row r="369" spans="1:1" ht="15.75" x14ac:dyDescent="0.25">
      <c r="A369" s="869"/>
    </row>
    <row r="370" spans="1:1" ht="15.75" x14ac:dyDescent="0.25">
      <c r="A370" s="869"/>
    </row>
    <row r="371" spans="1:1" ht="15.75" x14ac:dyDescent="0.25">
      <c r="A371" s="869"/>
    </row>
    <row r="372" spans="1:1" ht="15.75" x14ac:dyDescent="0.25">
      <c r="A372" s="869"/>
    </row>
    <row r="373" spans="1:1" ht="15.75" x14ac:dyDescent="0.25">
      <c r="A373" s="869"/>
    </row>
    <row r="374" spans="1:1" ht="15.75" x14ac:dyDescent="0.25">
      <c r="A374" s="869"/>
    </row>
    <row r="375" spans="1:1" ht="15.75" x14ac:dyDescent="0.25">
      <c r="A375" s="869"/>
    </row>
    <row r="376" spans="1:1" ht="15.75" x14ac:dyDescent="0.25">
      <c r="A376" s="869"/>
    </row>
    <row r="377" spans="1:1" ht="15.75" x14ac:dyDescent="0.25">
      <c r="A377" s="869"/>
    </row>
    <row r="378" spans="1:1" ht="15.75" x14ac:dyDescent="0.25">
      <c r="A378" s="869"/>
    </row>
    <row r="379" spans="1:1" ht="15.75" x14ac:dyDescent="0.25">
      <c r="A379" s="869"/>
    </row>
    <row r="380" spans="1:1" ht="15.75" x14ac:dyDescent="0.25">
      <c r="A380" s="869"/>
    </row>
    <row r="381" spans="1:1" ht="15.75" x14ac:dyDescent="0.25">
      <c r="A381" s="869"/>
    </row>
    <row r="382" spans="1:1" ht="15.75" x14ac:dyDescent="0.25">
      <c r="A382" s="869"/>
    </row>
    <row r="383" spans="1:1" ht="15.75" x14ac:dyDescent="0.25">
      <c r="A383" s="869"/>
    </row>
    <row r="384" spans="1:1" ht="15.75" x14ac:dyDescent="0.25">
      <c r="A384" s="869"/>
    </row>
    <row r="385" spans="1:1" ht="15.75" x14ac:dyDescent="0.25">
      <c r="A385" s="869"/>
    </row>
    <row r="386" spans="1:1" ht="15.75" x14ac:dyDescent="0.25">
      <c r="A386" s="869"/>
    </row>
    <row r="387" spans="1:1" ht="15.75" x14ac:dyDescent="0.25">
      <c r="A387" s="869"/>
    </row>
    <row r="388" spans="1:1" ht="15.75" x14ac:dyDescent="0.25">
      <c r="A388" s="869"/>
    </row>
    <row r="389" spans="1:1" ht="15.75" x14ac:dyDescent="0.25">
      <c r="A389" s="869"/>
    </row>
    <row r="390" spans="1:1" ht="15.75" x14ac:dyDescent="0.25">
      <c r="A390" s="869"/>
    </row>
    <row r="391" spans="1:1" ht="15.75" x14ac:dyDescent="0.25">
      <c r="A391" s="869"/>
    </row>
    <row r="392" spans="1:1" ht="15.75" x14ac:dyDescent="0.25">
      <c r="A392" s="869"/>
    </row>
    <row r="393" spans="1:1" ht="15.75" x14ac:dyDescent="0.25">
      <c r="A393" s="869"/>
    </row>
    <row r="394" spans="1:1" ht="15.75" x14ac:dyDescent="0.25">
      <c r="A394" s="869"/>
    </row>
    <row r="395" spans="1:1" ht="15.75" x14ac:dyDescent="0.25">
      <c r="A395" s="869"/>
    </row>
    <row r="396" spans="1:1" ht="15.75" x14ac:dyDescent="0.25">
      <c r="A396" s="869"/>
    </row>
    <row r="397" spans="1:1" ht="15.75" x14ac:dyDescent="0.25">
      <c r="A397" s="869"/>
    </row>
    <row r="398" spans="1:1" ht="15.75" x14ac:dyDescent="0.25">
      <c r="A398" s="869"/>
    </row>
    <row r="399" spans="1:1" ht="15.75" x14ac:dyDescent="0.25">
      <c r="A399" s="869"/>
    </row>
    <row r="400" spans="1:1" ht="15.75" x14ac:dyDescent="0.25">
      <c r="A400" s="869"/>
    </row>
    <row r="401" spans="1:1" ht="15.75" x14ac:dyDescent="0.25">
      <c r="A401" s="869"/>
    </row>
    <row r="402" spans="1:1" ht="15.75" x14ac:dyDescent="0.25">
      <c r="A402" s="869"/>
    </row>
    <row r="403" spans="1:1" ht="15.75" x14ac:dyDescent="0.25">
      <c r="A403" s="869"/>
    </row>
    <row r="404" spans="1:1" ht="15.75" x14ac:dyDescent="0.25">
      <c r="A404" s="869"/>
    </row>
    <row r="405" spans="1:1" ht="15.75" x14ac:dyDescent="0.25">
      <c r="A405" s="869"/>
    </row>
    <row r="406" spans="1:1" ht="15.75" x14ac:dyDescent="0.25">
      <c r="A406" s="869"/>
    </row>
    <row r="407" spans="1:1" ht="15.75" x14ac:dyDescent="0.25">
      <c r="A407" s="869"/>
    </row>
    <row r="408" spans="1:1" ht="15.75" x14ac:dyDescent="0.25">
      <c r="A408" s="869"/>
    </row>
    <row r="409" spans="1:1" ht="15.75" x14ac:dyDescent="0.25">
      <c r="A409" s="869"/>
    </row>
    <row r="410" spans="1:1" ht="15.75" x14ac:dyDescent="0.25">
      <c r="A410" s="869"/>
    </row>
    <row r="411" spans="1:1" ht="15.75" x14ac:dyDescent="0.25">
      <c r="A411" s="869"/>
    </row>
    <row r="412" spans="1:1" ht="15.75" x14ac:dyDescent="0.25">
      <c r="A412" s="869"/>
    </row>
    <row r="413" spans="1:1" ht="15.75" x14ac:dyDescent="0.25">
      <c r="A413" s="869"/>
    </row>
    <row r="414" spans="1:1" ht="15.75" x14ac:dyDescent="0.25">
      <c r="A414" s="869"/>
    </row>
    <row r="415" spans="1:1" ht="15.75" x14ac:dyDescent="0.25">
      <c r="A415" s="869"/>
    </row>
    <row r="416" spans="1:1" ht="15.75" x14ac:dyDescent="0.25">
      <c r="A416" s="869"/>
    </row>
    <row r="417" spans="1:1" ht="15.75" x14ac:dyDescent="0.25">
      <c r="A417" s="869"/>
    </row>
    <row r="418" spans="1:1" ht="15.75" x14ac:dyDescent="0.25">
      <c r="A418" s="869"/>
    </row>
    <row r="419" spans="1:1" ht="15.75" x14ac:dyDescent="0.25">
      <c r="A419" s="869"/>
    </row>
    <row r="420" spans="1:1" ht="15.75" x14ac:dyDescent="0.25">
      <c r="A420" s="869"/>
    </row>
    <row r="421" spans="1:1" ht="15.75" x14ac:dyDescent="0.25">
      <c r="A421" s="869"/>
    </row>
    <row r="422" spans="1:1" ht="15.75" x14ac:dyDescent="0.25">
      <c r="A422" s="869"/>
    </row>
    <row r="423" spans="1:1" ht="15.75" x14ac:dyDescent="0.25">
      <c r="A423" s="869"/>
    </row>
    <row r="424" spans="1:1" ht="15.75" x14ac:dyDescent="0.25">
      <c r="A424" s="869"/>
    </row>
    <row r="425" spans="1:1" ht="15.75" x14ac:dyDescent="0.25">
      <c r="A425" s="869"/>
    </row>
    <row r="426" spans="1:1" ht="15.75" x14ac:dyDescent="0.25">
      <c r="A426" s="869"/>
    </row>
    <row r="427" spans="1:1" ht="15.75" x14ac:dyDescent="0.25">
      <c r="A427" s="869"/>
    </row>
    <row r="428" spans="1:1" ht="15.75" x14ac:dyDescent="0.25">
      <c r="A428" s="869"/>
    </row>
    <row r="429" spans="1:1" ht="15.75" x14ac:dyDescent="0.25">
      <c r="A429" s="869"/>
    </row>
    <row r="430" spans="1:1" ht="15.75" x14ac:dyDescent="0.25">
      <c r="A430" s="869"/>
    </row>
    <row r="431" spans="1:1" ht="15.75" x14ac:dyDescent="0.25">
      <c r="A431" s="869"/>
    </row>
    <row r="432" spans="1:1" ht="15.75" x14ac:dyDescent="0.25">
      <c r="A432" s="869"/>
    </row>
    <row r="433" spans="1:1" ht="15.75" x14ac:dyDescent="0.25">
      <c r="A433" s="869"/>
    </row>
    <row r="434" spans="1:1" ht="15.75" x14ac:dyDescent="0.25">
      <c r="A434" s="869"/>
    </row>
    <row r="435" spans="1:1" ht="15.75" x14ac:dyDescent="0.25">
      <c r="A435" s="869"/>
    </row>
    <row r="436" spans="1:1" ht="15.75" x14ac:dyDescent="0.25">
      <c r="A436" s="869"/>
    </row>
    <row r="437" spans="1:1" ht="15.75" x14ac:dyDescent="0.25">
      <c r="A437" s="869"/>
    </row>
    <row r="438" spans="1:1" ht="15.75" x14ac:dyDescent="0.25">
      <c r="A438" s="869"/>
    </row>
    <row r="439" spans="1:1" ht="15.75" x14ac:dyDescent="0.25">
      <c r="A439" s="869"/>
    </row>
    <row r="440" spans="1:1" ht="15.75" x14ac:dyDescent="0.25">
      <c r="A440" s="869"/>
    </row>
    <row r="441" spans="1:1" ht="15.75" x14ac:dyDescent="0.25">
      <c r="A441" s="869"/>
    </row>
    <row r="442" spans="1:1" ht="15.75" x14ac:dyDescent="0.25">
      <c r="A442" s="869"/>
    </row>
    <row r="443" spans="1:1" ht="15.75" x14ac:dyDescent="0.25">
      <c r="A443" s="869"/>
    </row>
    <row r="444" spans="1:1" ht="15.75" x14ac:dyDescent="0.25">
      <c r="A444" s="869"/>
    </row>
    <row r="445" spans="1:1" ht="15.75" x14ac:dyDescent="0.25">
      <c r="A445" s="869"/>
    </row>
    <row r="446" spans="1:1" ht="15.75" x14ac:dyDescent="0.25">
      <c r="A446" s="869"/>
    </row>
    <row r="447" spans="1:1" ht="15.75" x14ac:dyDescent="0.25">
      <c r="A447" s="869"/>
    </row>
    <row r="448" spans="1:1" ht="15.75" x14ac:dyDescent="0.25">
      <c r="A448" s="869"/>
    </row>
    <row r="449" spans="1:1" ht="15.75" x14ac:dyDescent="0.25">
      <c r="A449" s="869"/>
    </row>
    <row r="450" spans="1:1" ht="15.75" x14ac:dyDescent="0.25">
      <c r="A450" s="869"/>
    </row>
    <row r="451" spans="1:1" ht="15.75" x14ac:dyDescent="0.25">
      <c r="A451" s="869"/>
    </row>
    <row r="452" spans="1:1" ht="15.75" x14ac:dyDescent="0.25">
      <c r="A452" s="869"/>
    </row>
    <row r="453" spans="1:1" ht="15.75" x14ac:dyDescent="0.25">
      <c r="A453" s="869"/>
    </row>
    <row r="454" spans="1:1" ht="15.75" x14ac:dyDescent="0.25">
      <c r="A454" s="869"/>
    </row>
    <row r="455" spans="1:1" ht="15.75" x14ac:dyDescent="0.25">
      <c r="A455" s="869"/>
    </row>
    <row r="456" spans="1:1" ht="15.75" x14ac:dyDescent="0.25">
      <c r="A456" s="869"/>
    </row>
    <row r="457" spans="1:1" ht="15.75" x14ac:dyDescent="0.25">
      <c r="A457" s="869"/>
    </row>
    <row r="458" spans="1:1" ht="15.75" x14ac:dyDescent="0.25">
      <c r="A458" s="869"/>
    </row>
    <row r="459" spans="1:1" ht="15.75" x14ac:dyDescent="0.25">
      <c r="A459" s="869"/>
    </row>
    <row r="460" spans="1:1" ht="15.75" x14ac:dyDescent="0.25">
      <c r="A460" s="869"/>
    </row>
    <row r="461" spans="1:1" ht="15.75" x14ac:dyDescent="0.25">
      <c r="A461" s="869"/>
    </row>
    <row r="462" spans="1:1" ht="15.75" x14ac:dyDescent="0.25">
      <c r="A462" s="869"/>
    </row>
    <row r="463" spans="1:1" ht="15.75" x14ac:dyDescent="0.25">
      <c r="A463" s="869"/>
    </row>
    <row r="464" spans="1:1" ht="15.75" x14ac:dyDescent="0.25">
      <c r="A464" s="869"/>
    </row>
    <row r="465" spans="1:1" ht="15.75" x14ac:dyDescent="0.25">
      <c r="A465" s="869"/>
    </row>
    <row r="466" spans="1:1" ht="15.75" x14ac:dyDescent="0.25">
      <c r="A466" s="869"/>
    </row>
    <row r="467" spans="1:1" ht="15.75" x14ac:dyDescent="0.25">
      <c r="A467" s="869"/>
    </row>
    <row r="468" spans="1:1" ht="15.75" x14ac:dyDescent="0.25">
      <c r="A468" s="869"/>
    </row>
    <row r="469" spans="1:1" ht="15.75" x14ac:dyDescent="0.25">
      <c r="A469" s="869"/>
    </row>
    <row r="470" spans="1:1" ht="15.75" x14ac:dyDescent="0.25">
      <c r="A470" s="869"/>
    </row>
    <row r="471" spans="1:1" ht="15.75" x14ac:dyDescent="0.25">
      <c r="A471" s="869"/>
    </row>
    <row r="472" spans="1:1" ht="15.75" x14ac:dyDescent="0.25">
      <c r="A472" s="869"/>
    </row>
    <row r="473" spans="1:1" ht="15.75" x14ac:dyDescent="0.25">
      <c r="A473" s="869"/>
    </row>
    <row r="474" spans="1:1" ht="15.75" x14ac:dyDescent="0.25">
      <c r="A474" s="869"/>
    </row>
    <row r="475" spans="1:1" ht="15.75" x14ac:dyDescent="0.25">
      <c r="A475" s="869"/>
    </row>
    <row r="476" spans="1:1" ht="15.75" x14ac:dyDescent="0.25">
      <c r="A476" s="869"/>
    </row>
    <row r="477" spans="1:1" ht="15.75" x14ac:dyDescent="0.25">
      <c r="A477" s="869"/>
    </row>
    <row r="478" spans="1:1" ht="15.75" x14ac:dyDescent="0.25">
      <c r="A478" s="869"/>
    </row>
    <row r="479" spans="1:1" ht="15.75" x14ac:dyDescent="0.25">
      <c r="A479" s="869"/>
    </row>
    <row r="480" spans="1:1" ht="15.75" x14ac:dyDescent="0.25">
      <c r="A480" s="869"/>
    </row>
    <row r="481" spans="1:1" ht="15.75" x14ac:dyDescent="0.25">
      <c r="A481" s="869"/>
    </row>
    <row r="482" spans="1:1" ht="15.75" x14ac:dyDescent="0.25">
      <c r="A482" s="869"/>
    </row>
    <row r="483" spans="1:1" ht="15.75" x14ac:dyDescent="0.25">
      <c r="A483" s="869"/>
    </row>
    <row r="484" spans="1:1" ht="15.75" x14ac:dyDescent="0.25">
      <c r="A484" s="869"/>
    </row>
    <row r="485" spans="1:1" ht="15.75" x14ac:dyDescent="0.25">
      <c r="A485" s="869"/>
    </row>
    <row r="486" spans="1:1" ht="15.75" x14ac:dyDescent="0.25">
      <c r="A486" s="869"/>
    </row>
    <row r="487" spans="1:1" ht="15.75" x14ac:dyDescent="0.25">
      <c r="A487" s="869"/>
    </row>
    <row r="488" spans="1:1" ht="15.75" x14ac:dyDescent="0.25">
      <c r="A488" s="869"/>
    </row>
    <row r="489" spans="1:1" ht="15.75" x14ac:dyDescent="0.25">
      <c r="A489" s="869"/>
    </row>
    <row r="490" spans="1:1" ht="15.75" x14ac:dyDescent="0.25">
      <c r="A490" s="869"/>
    </row>
    <row r="491" spans="1:1" ht="15.75" x14ac:dyDescent="0.25">
      <c r="A491" s="869"/>
    </row>
    <row r="492" spans="1:1" ht="15.75" x14ac:dyDescent="0.25">
      <c r="A492" s="869"/>
    </row>
    <row r="493" spans="1:1" ht="15.75" x14ac:dyDescent="0.25">
      <c r="A493" s="869"/>
    </row>
    <row r="494" spans="1:1" ht="15.75" x14ac:dyDescent="0.25">
      <c r="A494" s="869"/>
    </row>
    <row r="495" spans="1:1" ht="15.75" x14ac:dyDescent="0.25">
      <c r="A495" s="869"/>
    </row>
    <row r="496" spans="1:1" ht="15.75" x14ac:dyDescent="0.25">
      <c r="A496" s="869"/>
    </row>
    <row r="497" spans="1:1" ht="15.75" x14ac:dyDescent="0.25">
      <c r="A497" s="869"/>
    </row>
    <row r="498" spans="1:1" ht="15.75" x14ac:dyDescent="0.25">
      <c r="A498" s="869"/>
    </row>
    <row r="499" spans="1:1" ht="15.75" x14ac:dyDescent="0.25">
      <c r="A499" s="869"/>
    </row>
    <row r="500" spans="1:1" ht="15.75" x14ac:dyDescent="0.25">
      <c r="A500" s="869"/>
    </row>
    <row r="501" spans="1:1" ht="15.75" x14ac:dyDescent="0.25">
      <c r="A501" s="869"/>
    </row>
    <row r="502" spans="1:1" ht="15.75" x14ac:dyDescent="0.25">
      <c r="A502" s="869"/>
    </row>
    <row r="503" spans="1:1" ht="15.75" x14ac:dyDescent="0.25">
      <c r="A503" s="869"/>
    </row>
    <row r="504" spans="1:1" ht="15.75" x14ac:dyDescent="0.25">
      <c r="A504" s="869"/>
    </row>
    <row r="505" spans="1:1" ht="15.75" x14ac:dyDescent="0.25">
      <c r="A505" s="869"/>
    </row>
    <row r="506" spans="1:1" ht="15.75" x14ac:dyDescent="0.25">
      <c r="A506" s="869"/>
    </row>
    <row r="507" spans="1:1" ht="15.75" x14ac:dyDescent="0.25">
      <c r="A507" s="869"/>
    </row>
    <row r="508" spans="1:1" ht="15.75" x14ac:dyDescent="0.25">
      <c r="A508" s="869"/>
    </row>
    <row r="509" spans="1:1" ht="15.75" x14ac:dyDescent="0.25">
      <c r="A509" s="869"/>
    </row>
    <row r="510" spans="1:1" ht="15.75" x14ac:dyDescent="0.25">
      <c r="A510" s="869"/>
    </row>
    <row r="511" spans="1:1" ht="15.75" x14ac:dyDescent="0.25">
      <c r="A511" s="869"/>
    </row>
    <row r="512" spans="1:1" ht="15.75" x14ac:dyDescent="0.25">
      <c r="A512" s="869"/>
    </row>
    <row r="513" spans="1:1" ht="15.75" x14ac:dyDescent="0.25">
      <c r="A513" s="869"/>
    </row>
    <row r="514" spans="1:1" ht="15.75" x14ac:dyDescent="0.25">
      <c r="A514" s="869"/>
    </row>
    <row r="515" spans="1:1" ht="15.75" x14ac:dyDescent="0.25">
      <c r="A515" s="869"/>
    </row>
    <row r="516" spans="1:1" ht="15.75" x14ac:dyDescent="0.25">
      <c r="A516" s="869"/>
    </row>
    <row r="517" spans="1:1" ht="15.75" x14ac:dyDescent="0.25">
      <c r="A517" s="869"/>
    </row>
    <row r="518" spans="1:1" ht="15.75" x14ac:dyDescent="0.25">
      <c r="A518" s="869"/>
    </row>
    <row r="519" spans="1:1" ht="15.75" x14ac:dyDescent="0.25">
      <c r="A519" s="869"/>
    </row>
    <row r="520" spans="1:1" ht="15.75" x14ac:dyDescent="0.25">
      <c r="A520" s="869"/>
    </row>
    <row r="521" spans="1:1" ht="15.75" x14ac:dyDescent="0.25">
      <c r="A521" s="869"/>
    </row>
    <row r="522" spans="1:1" ht="15.75" x14ac:dyDescent="0.25">
      <c r="A522" s="869"/>
    </row>
    <row r="523" spans="1:1" ht="15.75" x14ac:dyDescent="0.25">
      <c r="A523" s="869"/>
    </row>
    <row r="524" spans="1:1" ht="15.75" x14ac:dyDescent="0.25">
      <c r="A524" s="869"/>
    </row>
    <row r="525" spans="1:1" ht="15.75" x14ac:dyDescent="0.25">
      <c r="A525" s="869"/>
    </row>
    <row r="526" spans="1:1" ht="15.75" x14ac:dyDescent="0.25">
      <c r="A526" s="869"/>
    </row>
    <row r="527" spans="1:1" ht="15.75" x14ac:dyDescent="0.25">
      <c r="A527" s="869"/>
    </row>
    <row r="528" spans="1:1" ht="15.75" x14ac:dyDescent="0.25">
      <c r="A528" s="869"/>
    </row>
    <row r="529" spans="1:1" ht="15.75" x14ac:dyDescent="0.25">
      <c r="A529" s="869"/>
    </row>
    <row r="530" spans="1:1" ht="15.75" x14ac:dyDescent="0.25">
      <c r="A530" s="869"/>
    </row>
    <row r="531" spans="1:1" ht="15.75" x14ac:dyDescent="0.25">
      <c r="A531" s="869"/>
    </row>
    <row r="532" spans="1:1" ht="15.75" x14ac:dyDescent="0.25">
      <c r="A532" s="869"/>
    </row>
    <row r="533" spans="1:1" ht="15.75" x14ac:dyDescent="0.25">
      <c r="A533" s="869"/>
    </row>
    <row r="534" spans="1:1" ht="15.75" x14ac:dyDescent="0.25">
      <c r="A534" s="869"/>
    </row>
    <row r="535" spans="1:1" ht="15.75" x14ac:dyDescent="0.25">
      <c r="A535" s="869"/>
    </row>
    <row r="536" spans="1:1" ht="15.75" x14ac:dyDescent="0.25">
      <c r="A536" s="869"/>
    </row>
    <row r="537" spans="1:1" ht="15.75" x14ac:dyDescent="0.25">
      <c r="A537" s="869"/>
    </row>
    <row r="538" spans="1:1" ht="15.75" x14ac:dyDescent="0.25">
      <c r="A538" s="869"/>
    </row>
    <row r="539" spans="1:1" ht="15.75" x14ac:dyDescent="0.25">
      <c r="A539" s="869"/>
    </row>
    <row r="540" spans="1:1" ht="15.75" x14ac:dyDescent="0.25">
      <c r="A540" s="869"/>
    </row>
    <row r="541" spans="1:1" ht="15.75" x14ac:dyDescent="0.25">
      <c r="A541" s="869"/>
    </row>
    <row r="542" spans="1:1" ht="15.75" x14ac:dyDescent="0.25">
      <c r="A542" s="869"/>
    </row>
    <row r="543" spans="1:1" ht="15.75" x14ac:dyDescent="0.25">
      <c r="A543" s="869"/>
    </row>
    <row r="544" spans="1:1" ht="15.75" x14ac:dyDescent="0.25">
      <c r="A544" s="869"/>
    </row>
    <row r="545" spans="1:1" ht="15.75" x14ac:dyDescent="0.25">
      <c r="A545" s="869"/>
    </row>
    <row r="546" spans="1:1" ht="15.75" x14ac:dyDescent="0.25">
      <c r="A546" s="869"/>
    </row>
    <row r="547" spans="1:1" ht="15.75" x14ac:dyDescent="0.25">
      <c r="A547" s="869"/>
    </row>
    <row r="548" spans="1:1" ht="15.75" x14ac:dyDescent="0.25">
      <c r="A548" s="869"/>
    </row>
    <row r="549" spans="1:1" ht="15.75" x14ac:dyDescent="0.25">
      <c r="A549" s="869"/>
    </row>
    <row r="550" spans="1:1" ht="15.75" x14ac:dyDescent="0.25">
      <c r="A550" s="869"/>
    </row>
    <row r="551" spans="1:1" ht="15.75" x14ac:dyDescent="0.25">
      <c r="A551" s="869"/>
    </row>
    <row r="552" spans="1:1" ht="15.75" x14ac:dyDescent="0.25">
      <c r="A552" s="869"/>
    </row>
    <row r="553" spans="1:1" ht="15.75" x14ac:dyDescent="0.25">
      <c r="A553" s="869"/>
    </row>
    <row r="554" spans="1:1" ht="15.75" x14ac:dyDescent="0.25">
      <c r="A554" s="869"/>
    </row>
    <row r="555" spans="1:1" ht="15.75" x14ac:dyDescent="0.25">
      <c r="A555" s="869"/>
    </row>
    <row r="556" spans="1:1" ht="15.75" x14ac:dyDescent="0.25">
      <c r="A556" s="869"/>
    </row>
    <row r="557" spans="1:1" ht="15.75" x14ac:dyDescent="0.25">
      <c r="A557" s="869"/>
    </row>
    <row r="558" spans="1:1" ht="15.75" x14ac:dyDescent="0.25">
      <c r="A558" s="869"/>
    </row>
    <row r="559" spans="1:1" ht="15.75" x14ac:dyDescent="0.25">
      <c r="A559" s="869"/>
    </row>
    <row r="560" spans="1:1" ht="15.75" x14ac:dyDescent="0.25">
      <c r="A560" s="869"/>
    </row>
    <row r="561" spans="1:1" ht="15.75" x14ac:dyDescent="0.25">
      <c r="A561" s="869"/>
    </row>
    <row r="562" spans="1:1" ht="15.75" x14ac:dyDescent="0.25">
      <c r="A562" s="869"/>
    </row>
    <row r="563" spans="1:1" ht="15.75" x14ac:dyDescent="0.25">
      <c r="A563" s="869"/>
    </row>
    <row r="564" spans="1:1" ht="15.75" x14ac:dyDescent="0.25">
      <c r="A564" s="869"/>
    </row>
    <row r="565" spans="1:1" ht="15.75" x14ac:dyDescent="0.25">
      <c r="A565" s="869"/>
    </row>
    <row r="566" spans="1:1" ht="15.75" x14ac:dyDescent="0.25">
      <c r="A566" s="869"/>
    </row>
    <row r="567" spans="1:1" ht="15.75" x14ac:dyDescent="0.25">
      <c r="A567" s="869"/>
    </row>
    <row r="568" spans="1:1" ht="15.75" x14ac:dyDescent="0.25">
      <c r="A568" s="869"/>
    </row>
    <row r="569" spans="1:1" ht="15.75" x14ac:dyDescent="0.25">
      <c r="A569" s="869"/>
    </row>
    <row r="570" spans="1:1" ht="15.75" x14ac:dyDescent="0.25">
      <c r="A570" s="869"/>
    </row>
    <row r="571" spans="1:1" ht="15.75" x14ac:dyDescent="0.25">
      <c r="A571" s="869"/>
    </row>
    <row r="572" spans="1:1" ht="15.75" x14ac:dyDescent="0.25">
      <c r="A572" s="869"/>
    </row>
    <row r="573" spans="1:1" ht="15.75" x14ac:dyDescent="0.25">
      <c r="A573" s="869"/>
    </row>
    <row r="574" spans="1:1" ht="15.75" x14ac:dyDescent="0.25">
      <c r="A574" s="869"/>
    </row>
    <row r="575" spans="1:1" ht="15.75" x14ac:dyDescent="0.25">
      <c r="A575" s="869"/>
    </row>
    <row r="576" spans="1:1" ht="15.75" x14ac:dyDescent="0.25">
      <c r="A576" s="869"/>
    </row>
    <row r="577" spans="1:1" ht="15.75" x14ac:dyDescent="0.25">
      <c r="A577" s="869"/>
    </row>
    <row r="578" spans="1:1" ht="15.75" x14ac:dyDescent="0.25">
      <c r="A578" s="869"/>
    </row>
    <row r="579" spans="1:1" ht="15.75" x14ac:dyDescent="0.25">
      <c r="A579" s="869"/>
    </row>
    <row r="580" spans="1:1" ht="15.75" x14ac:dyDescent="0.25">
      <c r="A580" s="869"/>
    </row>
    <row r="581" spans="1:1" ht="15.75" x14ac:dyDescent="0.25">
      <c r="A581" s="869"/>
    </row>
    <row r="582" spans="1:1" ht="15.75" x14ac:dyDescent="0.25">
      <c r="A582" s="869"/>
    </row>
    <row r="583" spans="1:1" ht="15.75" x14ac:dyDescent="0.25">
      <c r="A583" s="869"/>
    </row>
    <row r="584" spans="1:1" ht="15.75" x14ac:dyDescent="0.25">
      <c r="A584" s="869"/>
    </row>
    <row r="585" spans="1:1" ht="15.75" x14ac:dyDescent="0.25">
      <c r="A585" s="869"/>
    </row>
    <row r="586" spans="1:1" ht="15.75" x14ac:dyDescent="0.25">
      <c r="A586" s="869"/>
    </row>
    <row r="587" spans="1:1" ht="15.75" x14ac:dyDescent="0.25">
      <c r="A587" s="869"/>
    </row>
    <row r="588" spans="1:1" ht="15.75" x14ac:dyDescent="0.25">
      <c r="A588" s="869"/>
    </row>
    <row r="589" spans="1:1" ht="15.75" x14ac:dyDescent="0.25">
      <c r="A589" s="869"/>
    </row>
    <row r="590" spans="1:1" ht="15.75" x14ac:dyDescent="0.25">
      <c r="A590" s="869"/>
    </row>
    <row r="591" spans="1:1" ht="15.75" x14ac:dyDescent="0.25">
      <c r="A591" s="869"/>
    </row>
    <row r="592" spans="1:1" ht="15.75" x14ac:dyDescent="0.25">
      <c r="A592" s="869"/>
    </row>
    <row r="593" spans="1:1" ht="15.75" x14ac:dyDescent="0.25">
      <c r="A593" s="869"/>
    </row>
    <row r="594" spans="1:1" ht="15.75" x14ac:dyDescent="0.25">
      <c r="A594" s="869"/>
    </row>
    <row r="595" spans="1:1" ht="15.75" x14ac:dyDescent="0.25">
      <c r="A595" s="869"/>
    </row>
    <row r="596" spans="1:1" ht="15.75" x14ac:dyDescent="0.25">
      <c r="A596" s="869"/>
    </row>
    <row r="597" spans="1:1" ht="15.75" x14ac:dyDescent="0.25">
      <c r="A597" s="869"/>
    </row>
    <row r="598" spans="1:1" ht="15.75" x14ac:dyDescent="0.25">
      <c r="A598" s="869"/>
    </row>
    <row r="599" spans="1:1" ht="15.75" x14ac:dyDescent="0.25">
      <c r="A599" s="869"/>
    </row>
    <row r="600" spans="1:1" ht="15.75" x14ac:dyDescent="0.25">
      <c r="A600" s="869"/>
    </row>
    <row r="601" spans="1:1" ht="15.75" x14ac:dyDescent="0.25">
      <c r="A601" s="869"/>
    </row>
    <row r="602" spans="1:1" ht="15.75" x14ac:dyDescent="0.25">
      <c r="A602" s="869"/>
    </row>
    <row r="603" spans="1:1" ht="15.75" x14ac:dyDescent="0.25">
      <c r="A603" s="869"/>
    </row>
    <row r="604" spans="1:1" ht="15.75" x14ac:dyDescent="0.25">
      <c r="A604" s="869"/>
    </row>
    <row r="605" spans="1:1" ht="15.75" x14ac:dyDescent="0.25">
      <c r="A605" s="869"/>
    </row>
    <row r="606" spans="1:1" ht="15.75" x14ac:dyDescent="0.25">
      <c r="A606" s="869"/>
    </row>
    <row r="607" spans="1:1" ht="15.75" x14ac:dyDescent="0.25">
      <c r="A607" s="869"/>
    </row>
    <row r="608" spans="1:1" ht="15.75" x14ac:dyDescent="0.25">
      <c r="A608" s="869"/>
    </row>
    <row r="609" spans="1:1" ht="15.75" x14ac:dyDescent="0.25">
      <c r="A609" s="869"/>
    </row>
    <row r="610" spans="1:1" ht="15.75" x14ac:dyDescent="0.25">
      <c r="A610" s="869"/>
    </row>
    <row r="611" spans="1:1" ht="15.75" x14ac:dyDescent="0.25">
      <c r="A611" s="869"/>
    </row>
    <row r="612" spans="1:1" ht="15.75" x14ac:dyDescent="0.25">
      <c r="A612" s="869"/>
    </row>
    <row r="613" spans="1:1" ht="15.75" x14ac:dyDescent="0.25">
      <c r="A613" s="869"/>
    </row>
    <row r="614" spans="1:1" ht="15.75" x14ac:dyDescent="0.25">
      <c r="A614" s="869"/>
    </row>
    <row r="615" spans="1:1" ht="15.75" x14ac:dyDescent="0.25">
      <c r="A615" s="869"/>
    </row>
    <row r="616" spans="1:1" ht="15.75" x14ac:dyDescent="0.25">
      <c r="A616" s="869"/>
    </row>
    <row r="617" spans="1:1" ht="15.75" x14ac:dyDescent="0.25">
      <c r="A617" s="869"/>
    </row>
    <row r="618" spans="1:1" ht="15.75" x14ac:dyDescent="0.25">
      <c r="A618" s="869"/>
    </row>
    <row r="619" spans="1:1" ht="15.75" x14ac:dyDescent="0.25">
      <c r="A619" s="869"/>
    </row>
    <row r="620" spans="1:1" ht="15.75" x14ac:dyDescent="0.25">
      <c r="A620" s="869"/>
    </row>
    <row r="621" spans="1:1" ht="15.75" x14ac:dyDescent="0.25">
      <c r="A621" s="869"/>
    </row>
    <row r="622" spans="1:1" ht="15.75" x14ac:dyDescent="0.25">
      <c r="A622" s="869"/>
    </row>
    <row r="623" spans="1:1" ht="15.75" x14ac:dyDescent="0.25">
      <c r="A623" s="869"/>
    </row>
    <row r="624" spans="1:1" ht="15.75" x14ac:dyDescent="0.25">
      <c r="A624" s="869"/>
    </row>
    <row r="625" spans="1:1" ht="15.75" x14ac:dyDescent="0.25">
      <c r="A625" s="869"/>
    </row>
    <row r="626" spans="1:1" ht="15.75" x14ac:dyDescent="0.25">
      <c r="A626" s="869"/>
    </row>
    <row r="627" spans="1:1" ht="15.75" x14ac:dyDescent="0.25">
      <c r="A627" s="869"/>
    </row>
    <row r="628" spans="1:1" ht="15.75" x14ac:dyDescent="0.25">
      <c r="A628" s="869"/>
    </row>
    <row r="629" spans="1:1" ht="15.75" x14ac:dyDescent="0.25">
      <c r="A629" s="869"/>
    </row>
    <row r="630" spans="1:1" ht="15.75" x14ac:dyDescent="0.25">
      <c r="A630" s="869"/>
    </row>
    <row r="631" spans="1:1" ht="15.75" x14ac:dyDescent="0.25">
      <c r="A631" s="869"/>
    </row>
    <row r="632" spans="1:1" ht="15.75" x14ac:dyDescent="0.25">
      <c r="A632" s="869"/>
    </row>
    <row r="633" spans="1:1" ht="15.75" x14ac:dyDescent="0.25">
      <c r="A633" s="869"/>
    </row>
    <row r="634" spans="1:1" ht="15.75" x14ac:dyDescent="0.25">
      <c r="A634" s="869"/>
    </row>
    <row r="635" spans="1:1" ht="15.75" x14ac:dyDescent="0.25">
      <c r="A635" s="869"/>
    </row>
    <row r="636" spans="1:1" ht="15.75" x14ac:dyDescent="0.25">
      <c r="A636" s="869"/>
    </row>
    <row r="637" spans="1:1" ht="15.75" x14ac:dyDescent="0.25">
      <c r="A637" s="869"/>
    </row>
    <row r="638" spans="1:1" ht="15.75" x14ac:dyDescent="0.25">
      <c r="A638" s="869"/>
    </row>
    <row r="639" spans="1:1" ht="15.75" x14ac:dyDescent="0.25">
      <c r="A639" s="869"/>
    </row>
    <row r="640" spans="1:1" ht="15.75" x14ac:dyDescent="0.25">
      <c r="A640" s="869"/>
    </row>
    <row r="641" spans="1:1" ht="15.75" x14ac:dyDescent="0.25">
      <c r="A641" s="869"/>
    </row>
    <row r="642" spans="1:1" ht="15.75" x14ac:dyDescent="0.25">
      <c r="A642" s="869"/>
    </row>
    <row r="643" spans="1:1" ht="15.75" x14ac:dyDescent="0.25">
      <c r="A643" s="869"/>
    </row>
    <row r="644" spans="1:1" ht="15.75" x14ac:dyDescent="0.25">
      <c r="A644" s="869"/>
    </row>
    <row r="645" spans="1:1" ht="15.75" x14ac:dyDescent="0.25">
      <c r="A645" s="869"/>
    </row>
    <row r="646" spans="1:1" ht="15.75" x14ac:dyDescent="0.25">
      <c r="A646" s="869"/>
    </row>
    <row r="647" spans="1:1" ht="15.75" x14ac:dyDescent="0.25">
      <c r="A647" s="869"/>
    </row>
    <row r="648" spans="1:1" ht="15.75" x14ac:dyDescent="0.25">
      <c r="A648" s="869"/>
    </row>
    <row r="649" spans="1:1" ht="15.75" x14ac:dyDescent="0.25">
      <c r="A649" s="869"/>
    </row>
    <row r="650" spans="1:1" ht="15.75" x14ac:dyDescent="0.25">
      <c r="A650" s="869"/>
    </row>
    <row r="651" spans="1:1" ht="15.75" x14ac:dyDescent="0.25">
      <c r="A651" s="869"/>
    </row>
    <row r="652" spans="1:1" ht="15.75" x14ac:dyDescent="0.25">
      <c r="A652" s="869"/>
    </row>
    <row r="653" spans="1:1" ht="15.75" x14ac:dyDescent="0.25">
      <c r="A653" s="869"/>
    </row>
    <row r="654" spans="1:1" ht="15.75" x14ac:dyDescent="0.25">
      <c r="A654" s="869"/>
    </row>
    <row r="655" spans="1:1" ht="15.75" x14ac:dyDescent="0.25">
      <c r="A655" s="869"/>
    </row>
    <row r="656" spans="1:1" ht="15.75" x14ac:dyDescent="0.25">
      <c r="A656" s="869"/>
    </row>
    <row r="657" spans="1:1" ht="15.75" x14ac:dyDescent="0.25">
      <c r="A657" s="869"/>
    </row>
    <row r="658" spans="1:1" ht="15.75" x14ac:dyDescent="0.25">
      <c r="A658" s="869"/>
    </row>
    <row r="659" spans="1:1" ht="15.75" x14ac:dyDescent="0.25">
      <c r="A659" s="869"/>
    </row>
    <row r="660" spans="1:1" ht="15.75" x14ac:dyDescent="0.25">
      <c r="A660" s="869"/>
    </row>
    <row r="661" spans="1:1" ht="15.75" x14ac:dyDescent="0.25">
      <c r="A661" s="869"/>
    </row>
    <row r="662" spans="1:1" ht="15.75" x14ac:dyDescent="0.25">
      <c r="A662" s="869"/>
    </row>
    <row r="663" spans="1:1" ht="15.75" x14ac:dyDescent="0.25">
      <c r="A663" s="869"/>
    </row>
    <row r="664" spans="1:1" ht="15.75" x14ac:dyDescent="0.25">
      <c r="A664" s="869"/>
    </row>
    <row r="665" spans="1:1" ht="15.75" x14ac:dyDescent="0.25">
      <c r="A665" s="869"/>
    </row>
    <row r="666" spans="1:1" ht="15.75" x14ac:dyDescent="0.25">
      <c r="A666" s="869"/>
    </row>
    <row r="667" spans="1:1" ht="15.75" x14ac:dyDescent="0.25">
      <c r="A667" s="869"/>
    </row>
    <row r="668" spans="1:1" ht="15.75" x14ac:dyDescent="0.25">
      <c r="A668" s="869"/>
    </row>
    <row r="669" spans="1:1" ht="15.75" x14ac:dyDescent="0.25">
      <c r="A669" s="869"/>
    </row>
    <row r="670" spans="1:1" ht="15.75" x14ac:dyDescent="0.25">
      <c r="A670" s="869"/>
    </row>
    <row r="671" spans="1:1" ht="15.75" x14ac:dyDescent="0.25">
      <c r="A671" s="869"/>
    </row>
    <row r="672" spans="1:1" ht="15.75" x14ac:dyDescent="0.25">
      <c r="A672" s="869"/>
    </row>
    <row r="673" spans="1:1" ht="15.75" x14ac:dyDescent="0.25">
      <c r="A673" s="869"/>
    </row>
    <row r="674" spans="1:1" ht="15.75" x14ac:dyDescent="0.25">
      <c r="A674" s="869"/>
    </row>
    <row r="675" spans="1:1" ht="15.75" x14ac:dyDescent="0.25">
      <c r="A675" s="869"/>
    </row>
    <row r="676" spans="1:1" ht="15.75" x14ac:dyDescent="0.25">
      <c r="A676" s="869"/>
    </row>
    <row r="677" spans="1:1" ht="15.75" x14ac:dyDescent="0.25">
      <c r="A677" s="869"/>
    </row>
    <row r="678" spans="1:1" ht="15.75" x14ac:dyDescent="0.25">
      <c r="A678" s="869"/>
    </row>
    <row r="679" spans="1:1" ht="15.75" x14ac:dyDescent="0.25">
      <c r="A679" s="869"/>
    </row>
    <row r="680" spans="1:1" ht="15.75" x14ac:dyDescent="0.25">
      <c r="A680" s="869"/>
    </row>
    <row r="681" spans="1:1" ht="15.75" x14ac:dyDescent="0.25">
      <c r="A681" s="869"/>
    </row>
    <row r="682" spans="1:1" ht="15.75" x14ac:dyDescent="0.25">
      <c r="A682" s="869"/>
    </row>
    <row r="683" spans="1:1" ht="15.75" x14ac:dyDescent="0.25">
      <c r="A683" s="869"/>
    </row>
    <row r="684" spans="1:1" ht="15.75" x14ac:dyDescent="0.25">
      <c r="A684" s="869"/>
    </row>
    <row r="685" spans="1:1" ht="15.75" x14ac:dyDescent="0.25">
      <c r="A685" s="869"/>
    </row>
    <row r="686" spans="1:1" ht="15.75" x14ac:dyDescent="0.25">
      <c r="A686" s="869"/>
    </row>
    <row r="687" spans="1:1" ht="15.75" x14ac:dyDescent="0.25">
      <c r="A687" s="869"/>
    </row>
    <row r="688" spans="1:1" ht="15.75" x14ac:dyDescent="0.25">
      <c r="A688" s="869"/>
    </row>
    <row r="689" spans="1:1" ht="15.75" x14ac:dyDescent="0.25">
      <c r="A689" s="869"/>
    </row>
    <row r="690" spans="1:1" ht="15.75" x14ac:dyDescent="0.25">
      <c r="A690" s="869"/>
    </row>
    <row r="691" spans="1:1" ht="15.75" x14ac:dyDescent="0.25">
      <c r="A691" s="869"/>
    </row>
    <row r="692" spans="1:1" ht="15.75" x14ac:dyDescent="0.25">
      <c r="A692" s="869"/>
    </row>
    <row r="693" spans="1:1" ht="15.75" x14ac:dyDescent="0.25">
      <c r="A693" s="869"/>
    </row>
    <row r="694" spans="1:1" ht="15.75" x14ac:dyDescent="0.25">
      <c r="A694" s="869"/>
    </row>
    <row r="695" spans="1:1" ht="15.75" x14ac:dyDescent="0.25">
      <c r="A695" s="869"/>
    </row>
    <row r="696" spans="1:1" ht="15.75" x14ac:dyDescent="0.25">
      <c r="A696" s="869"/>
    </row>
    <row r="697" spans="1:1" ht="15.75" x14ac:dyDescent="0.25">
      <c r="A697" s="869"/>
    </row>
    <row r="698" spans="1:1" ht="15.75" x14ac:dyDescent="0.25">
      <c r="A698" s="869"/>
    </row>
    <row r="699" spans="1:1" ht="15.75" x14ac:dyDescent="0.25">
      <c r="A699" s="869"/>
    </row>
    <row r="700" spans="1:1" ht="15.75" x14ac:dyDescent="0.25">
      <c r="A700" s="869"/>
    </row>
    <row r="701" spans="1:1" ht="15.75" x14ac:dyDescent="0.25">
      <c r="A701" s="869"/>
    </row>
    <row r="702" spans="1:1" ht="15.75" x14ac:dyDescent="0.25">
      <c r="A702" s="869"/>
    </row>
    <row r="703" spans="1:1" ht="15.75" x14ac:dyDescent="0.25">
      <c r="A703" s="869"/>
    </row>
    <row r="704" spans="1:1" ht="15.75" x14ac:dyDescent="0.25">
      <c r="A704" s="869"/>
    </row>
    <row r="705" spans="1:1" ht="15.75" x14ac:dyDescent="0.25">
      <c r="A705" s="869"/>
    </row>
    <row r="706" spans="1:1" ht="15.75" x14ac:dyDescent="0.25">
      <c r="A706" s="869"/>
    </row>
    <row r="707" spans="1:1" ht="15.75" x14ac:dyDescent="0.25">
      <c r="A707" s="869"/>
    </row>
    <row r="708" spans="1:1" ht="15.75" x14ac:dyDescent="0.25">
      <c r="A708" s="869"/>
    </row>
    <row r="709" spans="1:1" ht="15.75" x14ac:dyDescent="0.25">
      <c r="A709" s="869"/>
    </row>
    <row r="710" spans="1:1" ht="15.75" x14ac:dyDescent="0.25">
      <c r="A710" s="869"/>
    </row>
    <row r="711" spans="1:1" ht="15.75" x14ac:dyDescent="0.25">
      <c r="A711" s="869"/>
    </row>
    <row r="712" spans="1:1" ht="15.75" x14ac:dyDescent="0.25">
      <c r="A712" s="869"/>
    </row>
    <row r="713" spans="1:1" ht="15.75" x14ac:dyDescent="0.25">
      <c r="A713" s="869"/>
    </row>
    <row r="714" spans="1:1" ht="15.75" x14ac:dyDescent="0.25">
      <c r="A714" s="869"/>
    </row>
    <row r="715" spans="1:1" ht="15.75" x14ac:dyDescent="0.25">
      <c r="A715" s="869"/>
    </row>
    <row r="716" spans="1:1" ht="15.75" x14ac:dyDescent="0.25">
      <c r="A716" s="869"/>
    </row>
    <row r="717" spans="1:1" ht="15.75" x14ac:dyDescent="0.25">
      <c r="A717" s="869"/>
    </row>
    <row r="718" spans="1:1" ht="15.75" x14ac:dyDescent="0.25">
      <c r="A718" s="869"/>
    </row>
    <row r="719" spans="1:1" ht="15.75" x14ac:dyDescent="0.25">
      <c r="A719" s="869"/>
    </row>
    <row r="720" spans="1:1" ht="15.75" x14ac:dyDescent="0.25">
      <c r="A720" s="869"/>
    </row>
    <row r="721" spans="1:1" ht="15.75" x14ac:dyDescent="0.25">
      <c r="A721" s="869"/>
    </row>
    <row r="722" spans="1:1" ht="15.75" x14ac:dyDescent="0.25">
      <c r="A722" s="869"/>
    </row>
    <row r="723" spans="1:1" ht="15.75" x14ac:dyDescent="0.25">
      <c r="A723" s="869"/>
    </row>
    <row r="724" spans="1:1" ht="15.75" x14ac:dyDescent="0.25">
      <c r="A724" s="869"/>
    </row>
    <row r="725" spans="1:1" ht="15.75" x14ac:dyDescent="0.25">
      <c r="A725" s="869"/>
    </row>
    <row r="726" spans="1:1" ht="15.75" x14ac:dyDescent="0.25">
      <c r="A726" s="869"/>
    </row>
    <row r="727" spans="1:1" ht="15.75" x14ac:dyDescent="0.25">
      <c r="A727" s="869"/>
    </row>
    <row r="728" spans="1:1" ht="15.75" x14ac:dyDescent="0.25">
      <c r="A728" s="869"/>
    </row>
    <row r="729" spans="1:1" ht="15.75" x14ac:dyDescent="0.25">
      <c r="A729" s="869"/>
    </row>
    <row r="730" spans="1:1" ht="15.75" x14ac:dyDescent="0.25">
      <c r="A730" s="869"/>
    </row>
    <row r="731" spans="1:1" ht="15.75" x14ac:dyDescent="0.25">
      <c r="A731" s="869"/>
    </row>
    <row r="732" spans="1:1" ht="15.75" x14ac:dyDescent="0.25">
      <c r="A732" s="869"/>
    </row>
    <row r="733" spans="1:1" ht="15.75" x14ac:dyDescent="0.25">
      <c r="A733" s="869"/>
    </row>
    <row r="734" spans="1:1" ht="15.75" x14ac:dyDescent="0.25">
      <c r="A734" s="869"/>
    </row>
    <row r="735" spans="1:1" ht="15.75" x14ac:dyDescent="0.25">
      <c r="A735" s="869"/>
    </row>
    <row r="736" spans="1:1" ht="15.75" x14ac:dyDescent="0.25">
      <c r="A736" s="869"/>
    </row>
    <row r="737" spans="1:1" ht="15.75" x14ac:dyDescent="0.25">
      <c r="A737" s="869"/>
    </row>
    <row r="738" spans="1:1" ht="15.75" x14ac:dyDescent="0.25">
      <c r="A738" s="869"/>
    </row>
    <row r="739" spans="1:1" ht="15.75" x14ac:dyDescent="0.25">
      <c r="A739" s="869"/>
    </row>
    <row r="740" spans="1:1" ht="15.75" x14ac:dyDescent="0.25">
      <c r="A740" s="869"/>
    </row>
    <row r="741" spans="1:1" ht="15.75" x14ac:dyDescent="0.25">
      <c r="A741" s="869"/>
    </row>
    <row r="742" spans="1:1" ht="15.75" x14ac:dyDescent="0.25">
      <c r="A742" s="869"/>
    </row>
    <row r="743" spans="1:1" ht="15.75" x14ac:dyDescent="0.25">
      <c r="A743" s="869"/>
    </row>
    <row r="744" spans="1:1" ht="15.75" x14ac:dyDescent="0.25">
      <c r="A744" s="869"/>
    </row>
    <row r="745" spans="1:1" ht="15.75" x14ac:dyDescent="0.25">
      <c r="A745" s="869"/>
    </row>
    <row r="746" spans="1:1" ht="15.75" x14ac:dyDescent="0.25">
      <c r="A746" s="869"/>
    </row>
    <row r="747" spans="1:1" ht="15.75" x14ac:dyDescent="0.25">
      <c r="A747" s="869"/>
    </row>
    <row r="748" spans="1:1" ht="15.75" x14ac:dyDescent="0.25">
      <c r="A748" s="869"/>
    </row>
    <row r="749" spans="1:1" ht="15.75" x14ac:dyDescent="0.25">
      <c r="A749" s="869"/>
    </row>
    <row r="750" spans="1:1" ht="15.75" x14ac:dyDescent="0.25">
      <c r="A750" s="869"/>
    </row>
    <row r="751" spans="1:1" ht="15.75" x14ac:dyDescent="0.25">
      <c r="A751" s="869"/>
    </row>
    <row r="752" spans="1:1" ht="15.75" x14ac:dyDescent="0.25">
      <c r="A752" s="869"/>
    </row>
    <row r="753" spans="1:1" ht="15.75" x14ac:dyDescent="0.25">
      <c r="A753" s="869"/>
    </row>
    <row r="754" spans="1:1" ht="15.75" x14ac:dyDescent="0.25">
      <c r="A754" s="869"/>
    </row>
    <row r="755" spans="1:1" ht="15.75" x14ac:dyDescent="0.25">
      <c r="A755" s="869"/>
    </row>
    <row r="756" spans="1:1" ht="15.75" x14ac:dyDescent="0.25">
      <c r="A756" s="869"/>
    </row>
    <row r="757" spans="1:1" ht="15.75" x14ac:dyDescent="0.25">
      <c r="A757" s="869"/>
    </row>
    <row r="758" spans="1:1" ht="15.75" x14ac:dyDescent="0.25">
      <c r="A758" s="869"/>
    </row>
    <row r="759" spans="1:1" ht="15.75" x14ac:dyDescent="0.25">
      <c r="A759" s="869"/>
    </row>
    <row r="760" spans="1:1" ht="15.75" x14ac:dyDescent="0.25">
      <c r="A760" s="869"/>
    </row>
    <row r="761" spans="1:1" ht="15.75" x14ac:dyDescent="0.25">
      <c r="A761" s="869"/>
    </row>
    <row r="762" spans="1:1" ht="15.75" x14ac:dyDescent="0.25">
      <c r="A762" s="869"/>
    </row>
    <row r="763" spans="1:1" ht="15.75" x14ac:dyDescent="0.25">
      <c r="A763" s="869"/>
    </row>
    <row r="764" spans="1:1" ht="15.75" x14ac:dyDescent="0.25">
      <c r="A764" s="869"/>
    </row>
    <row r="765" spans="1:1" ht="15.75" x14ac:dyDescent="0.25">
      <c r="A765" s="869"/>
    </row>
    <row r="766" spans="1:1" ht="15.75" x14ac:dyDescent="0.25">
      <c r="A766" s="869"/>
    </row>
    <row r="767" spans="1:1" ht="15.75" x14ac:dyDescent="0.25">
      <c r="A767" s="869"/>
    </row>
    <row r="768" spans="1:1" ht="15.75" x14ac:dyDescent="0.25">
      <c r="A768" s="869"/>
    </row>
    <row r="769" spans="1:1" ht="15.75" x14ac:dyDescent="0.25">
      <c r="A769" s="869"/>
    </row>
    <row r="770" spans="1:1" ht="15.75" x14ac:dyDescent="0.25">
      <c r="A770" s="869"/>
    </row>
    <row r="771" spans="1:1" ht="15.75" x14ac:dyDescent="0.25">
      <c r="A771" s="869"/>
    </row>
    <row r="772" spans="1:1" ht="15.75" x14ac:dyDescent="0.25">
      <c r="A772" s="869"/>
    </row>
    <row r="773" spans="1:1" ht="15.75" x14ac:dyDescent="0.25">
      <c r="A773" s="869"/>
    </row>
    <row r="774" spans="1:1" ht="15.75" x14ac:dyDescent="0.25">
      <c r="A774" s="869"/>
    </row>
    <row r="775" spans="1:1" ht="15.75" x14ac:dyDescent="0.25">
      <c r="A775" s="869"/>
    </row>
    <row r="776" spans="1:1" ht="15.75" x14ac:dyDescent="0.25">
      <c r="A776" s="869"/>
    </row>
    <row r="777" spans="1:1" ht="15.75" x14ac:dyDescent="0.25">
      <c r="A777" s="869"/>
    </row>
    <row r="778" spans="1:1" ht="15.75" x14ac:dyDescent="0.25">
      <c r="A778" s="869"/>
    </row>
    <row r="779" spans="1:1" ht="15.75" x14ac:dyDescent="0.25">
      <c r="A779" s="869"/>
    </row>
    <row r="780" spans="1:1" ht="15.75" x14ac:dyDescent="0.25">
      <c r="A780" s="869"/>
    </row>
    <row r="781" spans="1:1" ht="15.75" x14ac:dyDescent="0.25">
      <c r="A781" s="869"/>
    </row>
    <row r="782" spans="1:1" ht="15.75" x14ac:dyDescent="0.25">
      <c r="A782" s="869"/>
    </row>
    <row r="783" spans="1:1" ht="15.75" x14ac:dyDescent="0.25">
      <c r="A783" s="869"/>
    </row>
    <row r="784" spans="1:1" ht="15.75" x14ac:dyDescent="0.25">
      <c r="A784" s="869"/>
    </row>
    <row r="785" spans="1:1" ht="15.75" x14ac:dyDescent="0.25">
      <c r="A785" s="869"/>
    </row>
    <row r="786" spans="1:1" ht="15.75" x14ac:dyDescent="0.25">
      <c r="A786" s="869"/>
    </row>
    <row r="787" spans="1:1" ht="15.75" x14ac:dyDescent="0.25">
      <c r="A787" s="869"/>
    </row>
    <row r="788" spans="1:1" ht="15.75" x14ac:dyDescent="0.25">
      <c r="A788" s="869"/>
    </row>
    <row r="789" spans="1:1" ht="15.75" x14ac:dyDescent="0.25">
      <c r="A789" s="869"/>
    </row>
    <row r="790" spans="1:1" ht="15.75" x14ac:dyDescent="0.25">
      <c r="A790" s="869"/>
    </row>
    <row r="791" spans="1:1" ht="15.75" x14ac:dyDescent="0.25">
      <c r="A791" s="869"/>
    </row>
    <row r="792" spans="1:1" ht="15.75" x14ac:dyDescent="0.25">
      <c r="A792" s="869"/>
    </row>
    <row r="793" spans="1:1" ht="15.75" x14ac:dyDescent="0.25">
      <c r="A793" s="869"/>
    </row>
    <row r="794" spans="1:1" ht="15.75" x14ac:dyDescent="0.25">
      <c r="A794" s="869"/>
    </row>
    <row r="795" spans="1:1" ht="15.75" x14ac:dyDescent="0.25">
      <c r="A795" s="869"/>
    </row>
    <row r="796" spans="1:1" ht="15.75" x14ac:dyDescent="0.25">
      <c r="A796" s="869"/>
    </row>
    <row r="797" spans="1:1" ht="15.75" x14ac:dyDescent="0.25">
      <c r="A797" s="869"/>
    </row>
    <row r="798" spans="1:1" ht="15.75" x14ac:dyDescent="0.25">
      <c r="A798" s="869"/>
    </row>
    <row r="799" spans="1:1" ht="15.75" x14ac:dyDescent="0.25">
      <c r="A799" s="869"/>
    </row>
    <row r="800" spans="1:1" ht="15.75" x14ac:dyDescent="0.25">
      <c r="A800" s="869"/>
    </row>
    <row r="801" spans="1:1" ht="15.75" x14ac:dyDescent="0.25">
      <c r="A801" s="869"/>
    </row>
    <row r="802" spans="1:1" ht="15.75" x14ac:dyDescent="0.25">
      <c r="A802" s="869"/>
    </row>
    <row r="803" spans="1:1" ht="15.75" x14ac:dyDescent="0.25">
      <c r="A803" s="869"/>
    </row>
    <row r="804" spans="1:1" ht="15.75" x14ac:dyDescent="0.25">
      <c r="A804" s="869"/>
    </row>
    <row r="805" spans="1:1" ht="15.75" x14ac:dyDescent="0.25">
      <c r="A805" s="869"/>
    </row>
    <row r="806" spans="1:1" ht="15.75" x14ac:dyDescent="0.25">
      <c r="A806" s="869"/>
    </row>
    <row r="807" spans="1:1" ht="15.75" x14ac:dyDescent="0.25">
      <c r="A807" s="869"/>
    </row>
    <row r="808" spans="1:1" ht="15.75" x14ac:dyDescent="0.25">
      <c r="A808" s="869"/>
    </row>
    <row r="809" spans="1:1" ht="15.75" x14ac:dyDescent="0.25">
      <c r="A809" s="869"/>
    </row>
    <row r="810" spans="1:1" ht="15.75" x14ac:dyDescent="0.25">
      <c r="A810" s="869"/>
    </row>
    <row r="811" spans="1:1" ht="15.75" x14ac:dyDescent="0.25">
      <c r="A811" s="869"/>
    </row>
    <row r="812" spans="1:1" ht="15.75" x14ac:dyDescent="0.25">
      <c r="A812" s="869"/>
    </row>
    <row r="813" spans="1:1" ht="15.75" x14ac:dyDescent="0.25">
      <c r="A813" s="869"/>
    </row>
    <row r="814" spans="1:1" ht="15.75" x14ac:dyDescent="0.25">
      <c r="A814" s="869"/>
    </row>
    <row r="815" spans="1:1" ht="15.75" x14ac:dyDescent="0.25">
      <c r="A815" s="869"/>
    </row>
    <row r="816" spans="1:1" ht="15.75" x14ac:dyDescent="0.25">
      <c r="A816" s="869"/>
    </row>
    <row r="817" spans="1:1" ht="15.75" x14ac:dyDescent="0.25">
      <c r="A817" s="869"/>
    </row>
    <row r="818" spans="1:1" ht="15.75" x14ac:dyDescent="0.25">
      <c r="A818" s="869"/>
    </row>
    <row r="819" spans="1:1" ht="15.75" x14ac:dyDescent="0.25">
      <c r="A819" s="869"/>
    </row>
    <row r="820" spans="1:1" ht="15.75" x14ac:dyDescent="0.25">
      <c r="A820" s="869"/>
    </row>
    <row r="821" spans="1:1" ht="15.75" x14ac:dyDescent="0.25">
      <c r="A821" s="869"/>
    </row>
    <row r="822" spans="1:1" ht="15.75" x14ac:dyDescent="0.25">
      <c r="A822" s="869"/>
    </row>
    <row r="823" spans="1:1" ht="15.75" x14ac:dyDescent="0.25">
      <c r="A823" s="869"/>
    </row>
    <row r="824" spans="1:1" ht="15.75" x14ac:dyDescent="0.25">
      <c r="A824" s="869"/>
    </row>
    <row r="825" spans="1:1" ht="15.75" x14ac:dyDescent="0.25">
      <c r="A825" s="869"/>
    </row>
    <row r="826" spans="1:1" ht="15.75" x14ac:dyDescent="0.25">
      <c r="A826" s="869"/>
    </row>
    <row r="827" spans="1:1" ht="15.75" x14ac:dyDescent="0.25">
      <c r="A827" s="869"/>
    </row>
    <row r="828" spans="1:1" ht="15.75" x14ac:dyDescent="0.25">
      <c r="A828" s="869"/>
    </row>
    <row r="829" spans="1:1" ht="15.75" x14ac:dyDescent="0.25">
      <c r="A829" s="869"/>
    </row>
    <row r="830" spans="1:1" ht="15.75" x14ac:dyDescent="0.25">
      <c r="A830" s="869"/>
    </row>
    <row r="831" spans="1:1" ht="15.75" x14ac:dyDescent="0.25">
      <c r="A831" s="869"/>
    </row>
    <row r="832" spans="1:1" ht="15.75" x14ac:dyDescent="0.25">
      <c r="A832" s="869"/>
    </row>
    <row r="833" spans="1:1" ht="15.75" x14ac:dyDescent="0.25">
      <c r="A833" s="869"/>
    </row>
    <row r="834" spans="1:1" ht="15.75" x14ac:dyDescent="0.25">
      <c r="A834" s="869"/>
    </row>
    <row r="835" spans="1:1" ht="15.75" x14ac:dyDescent="0.25">
      <c r="A835" s="869"/>
    </row>
    <row r="836" spans="1:1" ht="15.75" x14ac:dyDescent="0.25">
      <c r="A836" s="869"/>
    </row>
    <row r="837" spans="1:1" ht="15.75" x14ac:dyDescent="0.25">
      <c r="A837" s="869"/>
    </row>
    <row r="838" spans="1:1" ht="15.75" x14ac:dyDescent="0.25">
      <c r="A838" s="869"/>
    </row>
    <row r="839" spans="1:1" ht="15.75" x14ac:dyDescent="0.25">
      <c r="A839" s="869"/>
    </row>
    <row r="840" spans="1:1" ht="15.75" x14ac:dyDescent="0.25">
      <c r="A840" s="869"/>
    </row>
    <row r="841" spans="1:1" ht="15.75" x14ac:dyDescent="0.25">
      <c r="A841" s="869"/>
    </row>
    <row r="842" spans="1:1" ht="15.75" x14ac:dyDescent="0.25">
      <c r="A842" s="869"/>
    </row>
    <row r="843" spans="1:1" ht="15.75" x14ac:dyDescent="0.25">
      <c r="A843" s="869"/>
    </row>
    <row r="844" spans="1:1" ht="15.75" x14ac:dyDescent="0.25">
      <c r="A844" s="869"/>
    </row>
    <row r="845" spans="1:1" ht="15.75" x14ac:dyDescent="0.25">
      <c r="A845" s="869"/>
    </row>
    <row r="846" spans="1:1" ht="15.75" x14ac:dyDescent="0.25">
      <c r="A846" s="869"/>
    </row>
    <row r="847" spans="1:1" ht="15.75" x14ac:dyDescent="0.25">
      <c r="A847" s="869"/>
    </row>
    <row r="848" spans="1:1" ht="15.75" x14ac:dyDescent="0.25">
      <c r="A848" s="869"/>
    </row>
    <row r="849" spans="1:1" ht="15.75" x14ac:dyDescent="0.25">
      <c r="A849" s="869"/>
    </row>
    <row r="850" spans="1:1" ht="15.75" x14ac:dyDescent="0.25">
      <c r="A850" s="869"/>
    </row>
    <row r="851" spans="1:1" ht="15.75" x14ac:dyDescent="0.25">
      <c r="A851" s="869"/>
    </row>
    <row r="852" spans="1:1" ht="15.75" x14ac:dyDescent="0.25">
      <c r="A852" s="869"/>
    </row>
    <row r="853" spans="1:1" ht="15.75" x14ac:dyDescent="0.25">
      <c r="A853" s="869"/>
    </row>
    <row r="854" spans="1:1" ht="15.75" x14ac:dyDescent="0.25">
      <c r="A854" s="869"/>
    </row>
    <row r="855" spans="1:1" ht="15.75" x14ac:dyDescent="0.25">
      <c r="A855" s="869"/>
    </row>
    <row r="856" spans="1:1" ht="15.75" x14ac:dyDescent="0.25">
      <c r="A856" s="869"/>
    </row>
    <row r="857" spans="1:1" ht="15.75" x14ac:dyDescent="0.25">
      <c r="A857" s="869"/>
    </row>
    <row r="858" spans="1:1" ht="15.75" x14ac:dyDescent="0.25">
      <c r="A858" s="869"/>
    </row>
    <row r="859" spans="1:1" ht="15.75" x14ac:dyDescent="0.25">
      <c r="A859" s="869"/>
    </row>
    <row r="860" spans="1:1" ht="15.75" x14ac:dyDescent="0.25">
      <c r="A860" s="869"/>
    </row>
    <row r="861" spans="1:1" ht="15.75" x14ac:dyDescent="0.25">
      <c r="A861" s="869"/>
    </row>
    <row r="862" spans="1:1" ht="15.75" x14ac:dyDescent="0.25">
      <c r="A862" s="869"/>
    </row>
    <row r="863" spans="1:1" ht="15.75" x14ac:dyDescent="0.25">
      <c r="A863" s="869"/>
    </row>
    <row r="864" spans="1:1" ht="15.75" x14ac:dyDescent="0.25">
      <c r="A864" s="869"/>
    </row>
    <row r="865" spans="1:1" ht="15.75" x14ac:dyDescent="0.25">
      <c r="A865" s="869"/>
    </row>
    <row r="866" spans="1:1" ht="15.75" x14ac:dyDescent="0.25">
      <c r="A866" s="869"/>
    </row>
    <row r="867" spans="1:1" ht="15.75" x14ac:dyDescent="0.25">
      <c r="A867" s="869"/>
    </row>
    <row r="868" spans="1:1" ht="15.75" x14ac:dyDescent="0.25">
      <c r="A868" s="869"/>
    </row>
    <row r="869" spans="1:1" ht="15.75" x14ac:dyDescent="0.25">
      <c r="A869" s="869"/>
    </row>
    <row r="870" spans="1:1" ht="15.75" x14ac:dyDescent="0.25">
      <c r="A870" s="869"/>
    </row>
    <row r="871" spans="1:1" ht="15.75" x14ac:dyDescent="0.25">
      <c r="A871" s="869"/>
    </row>
    <row r="872" spans="1:1" ht="15.75" x14ac:dyDescent="0.25">
      <c r="A872" s="869"/>
    </row>
    <row r="873" spans="1:1" ht="15.75" x14ac:dyDescent="0.25">
      <c r="A873" s="869"/>
    </row>
    <row r="874" spans="1:1" ht="15.75" x14ac:dyDescent="0.25">
      <c r="A874" s="869"/>
    </row>
    <row r="875" spans="1:1" ht="15.75" x14ac:dyDescent="0.25">
      <c r="A875" s="869"/>
    </row>
    <row r="876" spans="1:1" ht="15.75" x14ac:dyDescent="0.25">
      <c r="A876" s="869"/>
    </row>
    <row r="877" spans="1:1" ht="15.75" x14ac:dyDescent="0.25">
      <c r="A877" s="869"/>
    </row>
    <row r="878" spans="1:1" ht="15.75" x14ac:dyDescent="0.25">
      <c r="A878" s="869"/>
    </row>
    <row r="879" spans="1:1" ht="15.75" x14ac:dyDescent="0.25">
      <c r="A879" s="869"/>
    </row>
    <row r="880" spans="1:1" ht="15.75" x14ac:dyDescent="0.25">
      <c r="A880" s="869"/>
    </row>
    <row r="881" spans="1:1" ht="15.75" x14ac:dyDescent="0.25">
      <c r="A881" s="869"/>
    </row>
    <row r="882" spans="1:1" ht="15.75" x14ac:dyDescent="0.25">
      <c r="A882" s="869"/>
    </row>
    <row r="883" spans="1:1" ht="15.75" x14ac:dyDescent="0.25">
      <c r="A883" s="869"/>
    </row>
    <row r="884" spans="1:1" ht="15.75" x14ac:dyDescent="0.25">
      <c r="A884" s="869"/>
    </row>
    <row r="885" spans="1:1" ht="15.75" x14ac:dyDescent="0.25">
      <c r="A885" s="869"/>
    </row>
    <row r="886" spans="1:1" ht="15.75" x14ac:dyDescent="0.25">
      <c r="A886" s="869"/>
    </row>
    <row r="887" spans="1:1" ht="15.75" x14ac:dyDescent="0.25">
      <c r="A887" s="869"/>
    </row>
    <row r="888" spans="1:1" ht="15.75" x14ac:dyDescent="0.25">
      <c r="A888" s="869"/>
    </row>
    <row r="889" spans="1:1" ht="15.75" x14ac:dyDescent="0.25">
      <c r="A889" s="869"/>
    </row>
    <row r="890" spans="1:1" ht="15.75" x14ac:dyDescent="0.25">
      <c r="A890" s="869"/>
    </row>
    <row r="891" spans="1:1" ht="15.75" x14ac:dyDescent="0.25">
      <c r="A891" s="869"/>
    </row>
    <row r="892" spans="1:1" ht="15.75" x14ac:dyDescent="0.25">
      <c r="A892" s="869"/>
    </row>
    <row r="893" spans="1:1" ht="15.75" x14ac:dyDescent="0.25">
      <c r="A893" s="869"/>
    </row>
    <row r="894" spans="1:1" ht="15.75" x14ac:dyDescent="0.25">
      <c r="A894" s="869"/>
    </row>
    <row r="895" spans="1:1" ht="15.75" x14ac:dyDescent="0.25">
      <c r="A895" s="869"/>
    </row>
    <row r="896" spans="1:1" ht="15.75" x14ac:dyDescent="0.25">
      <c r="A896" s="869"/>
    </row>
    <row r="897" spans="1:1" ht="15.75" x14ac:dyDescent="0.25">
      <c r="A897" s="869"/>
    </row>
    <row r="898" spans="1:1" ht="15.75" x14ac:dyDescent="0.25">
      <c r="A898" s="869"/>
    </row>
    <row r="899" spans="1:1" ht="15.75" x14ac:dyDescent="0.25">
      <c r="A899" s="869"/>
    </row>
    <row r="900" spans="1:1" ht="15.75" x14ac:dyDescent="0.25">
      <c r="A900" s="869"/>
    </row>
    <row r="901" spans="1:1" ht="15.75" x14ac:dyDescent="0.25">
      <c r="A901" s="869"/>
    </row>
    <row r="902" spans="1:1" ht="15.75" x14ac:dyDescent="0.25">
      <c r="A902" s="869"/>
    </row>
    <row r="903" spans="1:1" ht="15.75" x14ac:dyDescent="0.25">
      <c r="A903" s="869"/>
    </row>
    <row r="904" spans="1:1" ht="15.75" x14ac:dyDescent="0.25">
      <c r="A904" s="869"/>
    </row>
    <row r="905" spans="1:1" ht="15.75" x14ac:dyDescent="0.25">
      <c r="A905" s="869"/>
    </row>
    <row r="906" spans="1:1" ht="15.75" x14ac:dyDescent="0.25">
      <c r="A906" s="869"/>
    </row>
    <row r="907" spans="1:1" ht="15.75" x14ac:dyDescent="0.25">
      <c r="A907" s="869"/>
    </row>
    <row r="908" spans="1:1" ht="15.75" x14ac:dyDescent="0.25">
      <c r="A908" s="869"/>
    </row>
    <row r="909" spans="1:1" ht="15.75" x14ac:dyDescent="0.25">
      <c r="A909" s="869"/>
    </row>
    <row r="910" spans="1:1" ht="15.75" x14ac:dyDescent="0.25">
      <c r="A910" s="869"/>
    </row>
    <row r="911" spans="1:1" ht="15.75" x14ac:dyDescent="0.25">
      <c r="A911" s="869"/>
    </row>
    <row r="912" spans="1:1" ht="15.75" x14ac:dyDescent="0.25">
      <c r="A912" s="869"/>
    </row>
    <row r="913" spans="1:1" ht="15.75" x14ac:dyDescent="0.25">
      <c r="A913" s="869"/>
    </row>
    <row r="914" spans="1:1" ht="15.75" x14ac:dyDescent="0.25">
      <c r="A914" s="869"/>
    </row>
    <row r="915" spans="1:1" ht="15.75" x14ac:dyDescent="0.25">
      <c r="A915" s="869"/>
    </row>
    <row r="916" spans="1:1" ht="15.75" x14ac:dyDescent="0.25">
      <c r="A916" s="869"/>
    </row>
    <row r="917" spans="1:1" ht="15.75" x14ac:dyDescent="0.25">
      <c r="A917" s="869"/>
    </row>
    <row r="918" spans="1:1" ht="15.75" x14ac:dyDescent="0.25">
      <c r="A918" s="869"/>
    </row>
    <row r="919" spans="1:1" ht="15.75" x14ac:dyDescent="0.25">
      <c r="A919" s="869"/>
    </row>
    <row r="920" spans="1:1" ht="15.75" x14ac:dyDescent="0.25">
      <c r="A920" s="869"/>
    </row>
    <row r="921" spans="1:1" ht="15.75" x14ac:dyDescent="0.25">
      <c r="A921" s="869"/>
    </row>
    <row r="922" spans="1:1" ht="15.75" x14ac:dyDescent="0.25">
      <c r="A922" s="869"/>
    </row>
    <row r="923" spans="1:1" ht="15.75" x14ac:dyDescent="0.25">
      <c r="A923" s="869"/>
    </row>
    <row r="924" spans="1:1" ht="15.75" x14ac:dyDescent="0.25">
      <c r="A924" s="869"/>
    </row>
    <row r="925" spans="1:1" ht="15.75" x14ac:dyDescent="0.25">
      <c r="A925" s="869"/>
    </row>
    <row r="926" spans="1:1" ht="15.75" x14ac:dyDescent="0.25">
      <c r="A926" s="869"/>
    </row>
    <row r="927" spans="1:1" ht="15.75" x14ac:dyDescent="0.25">
      <c r="A927" s="869"/>
    </row>
    <row r="928" spans="1:1" ht="15.75" x14ac:dyDescent="0.25">
      <c r="A928" s="869"/>
    </row>
    <row r="929" spans="1:1" ht="15.75" x14ac:dyDescent="0.25">
      <c r="A929" s="869"/>
    </row>
    <row r="930" spans="1:1" ht="15.75" x14ac:dyDescent="0.25">
      <c r="A930" s="869"/>
    </row>
    <row r="931" spans="1:1" ht="15.75" x14ac:dyDescent="0.25">
      <c r="A931" s="869"/>
    </row>
    <row r="932" spans="1:1" ht="15.75" x14ac:dyDescent="0.25">
      <c r="A932" s="869"/>
    </row>
    <row r="933" spans="1:1" ht="15.75" x14ac:dyDescent="0.25">
      <c r="A933" s="869"/>
    </row>
    <row r="934" spans="1:1" ht="15.75" x14ac:dyDescent="0.25">
      <c r="A934" s="869"/>
    </row>
    <row r="935" spans="1:1" ht="15.75" x14ac:dyDescent="0.25">
      <c r="A935" s="869"/>
    </row>
    <row r="936" spans="1:1" ht="15.75" x14ac:dyDescent="0.25">
      <c r="A936" s="869"/>
    </row>
    <row r="937" spans="1:1" ht="15.75" x14ac:dyDescent="0.25">
      <c r="A937" s="869"/>
    </row>
    <row r="938" spans="1:1" ht="15.75" x14ac:dyDescent="0.25">
      <c r="A938" s="869"/>
    </row>
    <row r="939" spans="1:1" ht="15.75" x14ac:dyDescent="0.25">
      <c r="A939" s="869"/>
    </row>
    <row r="940" spans="1:1" ht="15.75" x14ac:dyDescent="0.25">
      <c r="A940" s="869"/>
    </row>
    <row r="941" spans="1:1" ht="15.75" x14ac:dyDescent="0.25">
      <c r="A941" s="869"/>
    </row>
    <row r="942" spans="1:1" ht="15.75" x14ac:dyDescent="0.25">
      <c r="A942" s="869"/>
    </row>
    <row r="943" spans="1:1" ht="15.75" x14ac:dyDescent="0.25">
      <c r="A943" s="869"/>
    </row>
    <row r="944" spans="1:1" ht="15.75" x14ac:dyDescent="0.25">
      <c r="A944" s="869"/>
    </row>
    <row r="945" spans="1:1" ht="15.75" x14ac:dyDescent="0.25">
      <c r="A945" s="869"/>
    </row>
    <row r="946" spans="1:1" ht="15.75" x14ac:dyDescent="0.25">
      <c r="A946" s="869"/>
    </row>
    <row r="947" spans="1:1" ht="15.75" x14ac:dyDescent="0.25">
      <c r="A947" s="869"/>
    </row>
    <row r="948" spans="1:1" ht="15.75" x14ac:dyDescent="0.25">
      <c r="A948" s="869"/>
    </row>
    <row r="949" spans="1:1" ht="15.75" x14ac:dyDescent="0.25">
      <c r="A949" s="869"/>
    </row>
    <row r="950" spans="1:1" ht="15.75" x14ac:dyDescent="0.25">
      <c r="A950" s="869"/>
    </row>
    <row r="951" spans="1:1" ht="15.75" x14ac:dyDescent="0.25">
      <c r="A951" s="869"/>
    </row>
    <row r="952" spans="1:1" ht="15.75" x14ac:dyDescent="0.25">
      <c r="A952" s="869"/>
    </row>
    <row r="953" spans="1:1" ht="15.75" x14ac:dyDescent="0.25">
      <c r="A953" s="869"/>
    </row>
    <row r="954" spans="1:1" ht="15.75" x14ac:dyDescent="0.25">
      <c r="A954" s="869"/>
    </row>
    <row r="955" spans="1:1" ht="15.75" x14ac:dyDescent="0.25">
      <c r="A955" s="869"/>
    </row>
    <row r="956" spans="1:1" ht="15.75" x14ac:dyDescent="0.25">
      <c r="A956" s="869"/>
    </row>
    <row r="957" spans="1:1" ht="15.75" x14ac:dyDescent="0.25">
      <c r="A957" s="869"/>
    </row>
    <row r="958" spans="1:1" ht="15.75" x14ac:dyDescent="0.25">
      <c r="A958" s="869"/>
    </row>
    <row r="959" spans="1:1" ht="15.75" x14ac:dyDescent="0.25">
      <c r="A959" s="869"/>
    </row>
    <row r="960" spans="1:1" ht="15.75" x14ac:dyDescent="0.25">
      <c r="A960" s="869"/>
    </row>
    <row r="961" spans="1:1" ht="15.75" x14ac:dyDescent="0.25">
      <c r="A961" s="869"/>
    </row>
    <row r="962" spans="1:1" ht="15.75" x14ac:dyDescent="0.25">
      <c r="A962" s="869"/>
    </row>
    <row r="963" spans="1:1" ht="15.75" x14ac:dyDescent="0.25">
      <c r="A963" s="869"/>
    </row>
    <row r="964" spans="1:1" ht="15.75" x14ac:dyDescent="0.25">
      <c r="A964" s="869"/>
    </row>
    <row r="965" spans="1:1" ht="15.75" x14ac:dyDescent="0.25">
      <c r="A965" s="869"/>
    </row>
    <row r="966" spans="1:1" ht="15.75" x14ac:dyDescent="0.25">
      <c r="A966" s="869"/>
    </row>
    <row r="967" spans="1:1" ht="15.75" x14ac:dyDescent="0.25">
      <c r="A967" s="869"/>
    </row>
    <row r="968" spans="1:1" ht="15.75" x14ac:dyDescent="0.25">
      <c r="A968" s="869"/>
    </row>
    <row r="969" spans="1:1" ht="15.75" x14ac:dyDescent="0.25">
      <c r="A969" s="869"/>
    </row>
    <row r="970" spans="1:1" ht="15.75" x14ac:dyDescent="0.25">
      <c r="A970" s="869"/>
    </row>
    <row r="971" spans="1:1" ht="15.75" x14ac:dyDescent="0.25">
      <c r="A971" s="869"/>
    </row>
    <row r="972" spans="1:1" ht="15.75" x14ac:dyDescent="0.25">
      <c r="A972" s="869"/>
    </row>
    <row r="973" spans="1:1" ht="15.75" x14ac:dyDescent="0.25">
      <c r="A973" s="869"/>
    </row>
    <row r="974" spans="1:1" ht="15.75" x14ac:dyDescent="0.25">
      <c r="A974" s="869"/>
    </row>
    <row r="975" spans="1:1" ht="15.75" x14ac:dyDescent="0.25">
      <c r="A975" s="869"/>
    </row>
    <row r="976" spans="1:1" ht="15.75" x14ac:dyDescent="0.25">
      <c r="A976" s="869"/>
    </row>
    <row r="977" spans="1:1" ht="15.75" x14ac:dyDescent="0.25">
      <c r="A977" s="869"/>
    </row>
    <row r="978" spans="1:1" ht="15.75" x14ac:dyDescent="0.25">
      <c r="A978" s="869"/>
    </row>
    <row r="979" spans="1:1" ht="15.75" x14ac:dyDescent="0.25">
      <c r="A979" s="869"/>
    </row>
    <row r="980" spans="1:1" ht="15.75" x14ac:dyDescent="0.25">
      <c r="A980" s="869"/>
    </row>
    <row r="981" spans="1:1" ht="15.75" x14ac:dyDescent="0.25">
      <c r="A981" s="869"/>
    </row>
    <row r="982" spans="1:1" ht="15.75" x14ac:dyDescent="0.25">
      <c r="A982" s="869"/>
    </row>
    <row r="983" spans="1:1" ht="15.75" x14ac:dyDescent="0.25">
      <c r="A983" s="869"/>
    </row>
    <row r="984" spans="1:1" ht="15.75" x14ac:dyDescent="0.25">
      <c r="A984" s="869"/>
    </row>
    <row r="985" spans="1:1" ht="15.75" x14ac:dyDescent="0.25">
      <c r="A985" s="869"/>
    </row>
    <row r="986" spans="1:1" ht="15.75" x14ac:dyDescent="0.25">
      <c r="A986" s="869"/>
    </row>
    <row r="987" spans="1:1" ht="15.75" x14ac:dyDescent="0.25">
      <c r="A987" s="869"/>
    </row>
    <row r="988" spans="1:1" ht="15.75" x14ac:dyDescent="0.25">
      <c r="A988" s="869"/>
    </row>
    <row r="989" spans="1:1" ht="15.75" x14ac:dyDescent="0.25">
      <c r="A989" s="869"/>
    </row>
    <row r="990" spans="1:1" ht="15.75" x14ac:dyDescent="0.25">
      <c r="A990" s="869"/>
    </row>
    <row r="991" spans="1:1" ht="15.75" x14ac:dyDescent="0.25">
      <c r="A991" s="869"/>
    </row>
    <row r="992" spans="1:1" ht="15.75" x14ac:dyDescent="0.25">
      <c r="A992" s="869"/>
    </row>
    <row r="993" spans="1:1" ht="15.75" x14ac:dyDescent="0.25">
      <c r="A993" s="869"/>
    </row>
    <row r="994" spans="1:1" ht="15.75" x14ac:dyDescent="0.25">
      <c r="A994" s="869"/>
    </row>
    <row r="995" spans="1:1" ht="15.75" x14ac:dyDescent="0.25">
      <c r="A995" s="869"/>
    </row>
    <row r="996" spans="1:1" ht="15.75" x14ac:dyDescent="0.25">
      <c r="A996" s="869"/>
    </row>
    <row r="997" spans="1:1" ht="15.75" x14ac:dyDescent="0.25">
      <c r="A997" s="869"/>
    </row>
    <row r="998" spans="1:1" ht="15.75" x14ac:dyDescent="0.25">
      <c r="A998" s="869"/>
    </row>
    <row r="999" spans="1:1" ht="15.75" x14ac:dyDescent="0.25">
      <c r="A999" s="869"/>
    </row>
    <row r="1000" spans="1:1" ht="15.75" x14ac:dyDescent="0.25">
      <c r="A1000" s="869"/>
    </row>
    <row r="1001" spans="1:1" ht="15.75" x14ac:dyDescent="0.25">
      <c r="A1001" s="869"/>
    </row>
    <row r="1002" spans="1:1" ht="15.75" x14ac:dyDescent="0.25">
      <c r="A1002" s="869"/>
    </row>
    <row r="1003" spans="1:1" ht="15.75" x14ac:dyDescent="0.25">
      <c r="A1003" s="869"/>
    </row>
    <row r="1004" spans="1:1" ht="15.75" x14ac:dyDescent="0.25">
      <c r="A1004" s="869"/>
    </row>
    <row r="1005" spans="1:1" ht="15.75" x14ac:dyDescent="0.25">
      <c r="A1005" s="869"/>
    </row>
    <row r="1006" spans="1:1" ht="15.75" x14ac:dyDescent="0.25">
      <c r="A1006" s="869"/>
    </row>
    <row r="1007" spans="1:1" ht="15.75" x14ac:dyDescent="0.25">
      <c r="A1007" s="869"/>
    </row>
    <row r="1008" spans="1:1" ht="15.75" x14ac:dyDescent="0.25">
      <c r="A1008" s="869"/>
    </row>
    <row r="1009" spans="1:1" ht="15.75" x14ac:dyDescent="0.25">
      <c r="A1009" s="869"/>
    </row>
    <row r="1010" spans="1:1" ht="15.75" x14ac:dyDescent="0.25">
      <c r="A1010" s="869"/>
    </row>
    <row r="1011" spans="1:1" ht="15.75" x14ac:dyDescent="0.25">
      <c r="A1011" s="869"/>
    </row>
    <row r="1012" spans="1:1" ht="15.75" x14ac:dyDescent="0.25">
      <c r="A1012" s="869"/>
    </row>
    <row r="1013" spans="1:1" ht="15.75" x14ac:dyDescent="0.25">
      <c r="A1013" s="869"/>
    </row>
    <row r="1014" spans="1:1" ht="15.75" x14ac:dyDescent="0.25">
      <c r="A1014" s="869"/>
    </row>
    <row r="1015" spans="1:1" ht="15.75" x14ac:dyDescent="0.25">
      <c r="A1015" s="869"/>
    </row>
    <row r="1016" spans="1:1" ht="15.75" x14ac:dyDescent="0.25">
      <c r="A1016" s="869"/>
    </row>
    <row r="1017" spans="1:1" ht="15.75" x14ac:dyDescent="0.25">
      <c r="A1017" s="869"/>
    </row>
    <row r="1018" spans="1:1" ht="15.75" x14ac:dyDescent="0.25">
      <c r="A1018" s="869"/>
    </row>
    <row r="1019" spans="1:1" ht="15.75" x14ac:dyDescent="0.25">
      <c r="A1019" s="869"/>
    </row>
    <row r="1020" spans="1:1" ht="15.75" x14ac:dyDescent="0.25">
      <c r="A1020" s="869"/>
    </row>
    <row r="1021" spans="1:1" ht="15.75" x14ac:dyDescent="0.25">
      <c r="A1021" s="869"/>
    </row>
    <row r="1022" spans="1:1" ht="15.75" x14ac:dyDescent="0.25">
      <c r="A1022" s="869"/>
    </row>
    <row r="1023" spans="1:1" ht="15.75" x14ac:dyDescent="0.25">
      <c r="A1023" s="869"/>
    </row>
    <row r="1024" spans="1:1" ht="15.75" x14ac:dyDescent="0.25">
      <c r="A1024" s="869"/>
    </row>
    <row r="1025" spans="1:1" ht="15.75" x14ac:dyDescent="0.25">
      <c r="A1025" s="869"/>
    </row>
    <row r="1026" spans="1:1" ht="15.75" x14ac:dyDescent="0.25">
      <c r="A1026" s="869"/>
    </row>
    <row r="1027" spans="1:1" ht="15.75" x14ac:dyDescent="0.25">
      <c r="A1027" s="869"/>
    </row>
    <row r="1028" spans="1:1" ht="15.75" x14ac:dyDescent="0.25">
      <c r="A1028" s="869"/>
    </row>
    <row r="1029" spans="1:1" ht="15.75" x14ac:dyDescent="0.25">
      <c r="A1029" s="869"/>
    </row>
    <row r="1030" spans="1:1" ht="15.75" x14ac:dyDescent="0.25">
      <c r="A1030" s="869"/>
    </row>
    <row r="1031" spans="1:1" ht="15.75" x14ac:dyDescent="0.25">
      <c r="A1031" s="869"/>
    </row>
    <row r="1032" spans="1:1" ht="15.75" x14ac:dyDescent="0.25">
      <c r="A1032" s="869"/>
    </row>
    <row r="1033" spans="1:1" ht="15.75" x14ac:dyDescent="0.25">
      <c r="A1033" s="869"/>
    </row>
    <row r="1034" spans="1:1" ht="15.75" x14ac:dyDescent="0.25">
      <c r="A1034" s="869"/>
    </row>
    <row r="1035" spans="1:1" ht="15.75" x14ac:dyDescent="0.25">
      <c r="A1035" s="869"/>
    </row>
    <row r="1036" spans="1:1" ht="15.75" x14ac:dyDescent="0.25">
      <c r="A1036" s="869"/>
    </row>
    <row r="1037" spans="1:1" ht="15.75" x14ac:dyDescent="0.25">
      <c r="A1037" s="869"/>
    </row>
    <row r="1038" spans="1:1" ht="15.75" x14ac:dyDescent="0.25">
      <c r="A1038" s="869"/>
    </row>
    <row r="1039" spans="1:1" ht="15.75" x14ac:dyDescent="0.25">
      <c r="A1039" s="869"/>
    </row>
    <row r="1040" spans="1:1" ht="15.75" x14ac:dyDescent="0.25">
      <c r="A1040" s="869"/>
    </row>
    <row r="1041" spans="1:1" ht="15.75" x14ac:dyDescent="0.25">
      <c r="A1041" s="869"/>
    </row>
    <row r="1042" spans="1:1" ht="15.75" x14ac:dyDescent="0.25">
      <c r="A1042" s="869"/>
    </row>
    <row r="1043" spans="1:1" ht="15.75" x14ac:dyDescent="0.25">
      <c r="A1043" s="869"/>
    </row>
    <row r="1044" spans="1:1" ht="15.75" x14ac:dyDescent="0.25">
      <c r="A1044" s="869"/>
    </row>
    <row r="1045" spans="1:1" ht="15.75" x14ac:dyDescent="0.25">
      <c r="A1045" s="869"/>
    </row>
    <row r="1046" spans="1:1" ht="15.75" x14ac:dyDescent="0.25">
      <c r="A1046" s="869"/>
    </row>
    <row r="1047" spans="1:1" ht="15.75" x14ac:dyDescent="0.25">
      <c r="A1047" s="869"/>
    </row>
    <row r="1048" spans="1:1" ht="15.75" x14ac:dyDescent="0.25">
      <c r="A1048" s="869"/>
    </row>
    <row r="1049" spans="1:1" ht="15.75" x14ac:dyDescent="0.25">
      <c r="A1049" s="869"/>
    </row>
    <row r="1050" spans="1:1" ht="15.75" x14ac:dyDescent="0.25">
      <c r="A1050" s="869"/>
    </row>
    <row r="1051" spans="1:1" ht="15.75" x14ac:dyDescent="0.25">
      <c r="A1051" s="869"/>
    </row>
    <row r="1052" spans="1:1" ht="15.75" x14ac:dyDescent="0.25">
      <c r="A1052" s="869"/>
    </row>
    <row r="1053" spans="1:1" ht="15.75" x14ac:dyDescent="0.25">
      <c r="A1053" s="869"/>
    </row>
    <row r="1054" spans="1:1" ht="15.75" x14ac:dyDescent="0.25">
      <c r="A1054" s="869"/>
    </row>
    <row r="1055" spans="1:1" ht="15.75" x14ac:dyDescent="0.25">
      <c r="A1055" s="869"/>
    </row>
    <row r="1056" spans="1:1" ht="15.75" x14ac:dyDescent="0.25">
      <c r="A1056" s="869"/>
    </row>
    <row r="1057" spans="1:1" ht="15.75" x14ac:dyDescent="0.25">
      <c r="A1057" s="869"/>
    </row>
    <row r="1058" spans="1:1" ht="15.75" x14ac:dyDescent="0.25">
      <c r="A1058" s="869"/>
    </row>
    <row r="1059" spans="1:1" ht="15.75" x14ac:dyDescent="0.25">
      <c r="A1059" s="869"/>
    </row>
    <row r="1060" spans="1:1" ht="15.75" x14ac:dyDescent="0.25">
      <c r="A1060" s="869"/>
    </row>
    <row r="1061" spans="1:1" ht="15.75" x14ac:dyDescent="0.25">
      <c r="A1061" s="869"/>
    </row>
    <row r="1062" spans="1:1" ht="15.75" x14ac:dyDescent="0.25">
      <c r="A1062" s="869"/>
    </row>
    <row r="1063" spans="1:1" ht="15.75" x14ac:dyDescent="0.25">
      <c r="A1063" s="869"/>
    </row>
    <row r="1064" spans="1:1" ht="15.75" x14ac:dyDescent="0.25">
      <c r="A1064" s="869"/>
    </row>
    <row r="1065" spans="1:1" ht="15.75" x14ac:dyDescent="0.25">
      <c r="A1065" s="869"/>
    </row>
    <row r="1066" spans="1:1" ht="15.75" x14ac:dyDescent="0.25">
      <c r="A1066" s="869"/>
    </row>
    <row r="1067" spans="1:1" ht="15.75" x14ac:dyDescent="0.25">
      <c r="A1067" s="869"/>
    </row>
    <row r="1068" spans="1:1" ht="15.75" x14ac:dyDescent="0.25">
      <c r="A1068" s="869"/>
    </row>
    <row r="1069" spans="1:1" ht="15.75" x14ac:dyDescent="0.25">
      <c r="A1069" s="869"/>
    </row>
    <row r="1070" spans="1:1" ht="15.75" x14ac:dyDescent="0.25">
      <c r="A1070" s="869"/>
    </row>
    <row r="1071" spans="1:1" ht="15.75" x14ac:dyDescent="0.25">
      <c r="A1071" s="869"/>
    </row>
    <row r="1072" spans="1:1" ht="15.75" x14ac:dyDescent="0.25">
      <c r="A1072" s="869"/>
    </row>
    <row r="1073" spans="1:1" ht="15.75" x14ac:dyDescent="0.25">
      <c r="A1073" s="869"/>
    </row>
    <row r="1074" spans="1:1" ht="15.75" x14ac:dyDescent="0.25">
      <c r="A1074" s="869"/>
    </row>
    <row r="1075" spans="1:1" ht="15.75" x14ac:dyDescent="0.25">
      <c r="A1075" s="869"/>
    </row>
    <row r="1076" spans="1:1" ht="15.75" x14ac:dyDescent="0.25">
      <c r="A1076" s="869"/>
    </row>
    <row r="1077" spans="1:1" ht="15.75" x14ac:dyDescent="0.25">
      <c r="A1077" s="869"/>
    </row>
    <row r="1078" spans="1:1" ht="15.75" x14ac:dyDescent="0.25">
      <c r="A1078" s="869"/>
    </row>
    <row r="1079" spans="1:1" ht="15.75" x14ac:dyDescent="0.25">
      <c r="A1079" s="869"/>
    </row>
    <row r="1080" spans="1:1" ht="15.75" x14ac:dyDescent="0.25">
      <c r="A1080" s="869"/>
    </row>
    <row r="1081" spans="1:1" ht="15.75" x14ac:dyDescent="0.25">
      <c r="A1081" s="869"/>
    </row>
    <row r="1082" spans="1:1" ht="15.75" x14ac:dyDescent="0.25">
      <c r="A1082" s="869"/>
    </row>
    <row r="1083" spans="1:1" ht="15.75" x14ac:dyDescent="0.25">
      <c r="A1083" s="869"/>
    </row>
    <row r="1084" spans="1:1" ht="15.75" x14ac:dyDescent="0.25">
      <c r="A1084" s="869"/>
    </row>
    <row r="1085" spans="1:1" ht="15.75" x14ac:dyDescent="0.25">
      <c r="A1085" s="869"/>
    </row>
    <row r="1086" spans="1:1" ht="15.75" x14ac:dyDescent="0.25">
      <c r="A1086" s="869"/>
    </row>
    <row r="1087" spans="1:1" ht="15.75" x14ac:dyDescent="0.25">
      <c r="A1087" s="869"/>
    </row>
    <row r="1088" spans="1:1" ht="15.75" x14ac:dyDescent="0.25">
      <c r="A1088" s="869"/>
    </row>
    <row r="1089" spans="1:1" ht="15.75" x14ac:dyDescent="0.25">
      <c r="A1089" s="869"/>
    </row>
    <row r="1090" spans="1:1" ht="15.75" x14ac:dyDescent="0.25">
      <c r="A1090" s="869"/>
    </row>
    <row r="1091" spans="1:1" ht="15.75" x14ac:dyDescent="0.25">
      <c r="A1091" s="869"/>
    </row>
    <row r="1092" spans="1:1" ht="15.75" x14ac:dyDescent="0.25">
      <c r="A1092" s="869"/>
    </row>
    <row r="1093" spans="1:1" ht="15.75" x14ac:dyDescent="0.25">
      <c r="A1093" s="869"/>
    </row>
    <row r="1094" spans="1:1" ht="15.75" x14ac:dyDescent="0.25">
      <c r="A1094" s="869"/>
    </row>
    <row r="1095" spans="1:1" ht="15.75" x14ac:dyDescent="0.25">
      <c r="A1095" s="869"/>
    </row>
    <row r="1096" spans="1:1" ht="15.75" x14ac:dyDescent="0.25">
      <c r="A1096" s="869"/>
    </row>
    <row r="1097" spans="1:1" ht="15.75" x14ac:dyDescent="0.25">
      <c r="A1097" s="869"/>
    </row>
    <row r="1098" spans="1:1" ht="15.75" x14ac:dyDescent="0.25">
      <c r="A1098" s="869"/>
    </row>
    <row r="1099" spans="1:1" ht="15.75" x14ac:dyDescent="0.25">
      <c r="A1099" s="869"/>
    </row>
    <row r="1100" spans="1:1" ht="15.75" x14ac:dyDescent="0.25">
      <c r="A1100" s="869"/>
    </row>
    <row r="1101" spans="1:1" ht="15.75" x14ac:dyDescent="0.25">
      <c r="A1101" s="869"/>
    </row>
    <row r="1102" spans="1:1" ht="15.75" x14ac:dyDescent="0.25">
      <c r="A1102" s="869"/>
    </row>
    <row r="1103" spans="1:1" ht="15.75" x14ac:dyDescent="0.25">
      <c r="A1103" s="869"/>
    </row>
    <row r="1104" spans="1:1" ht="15.75" x14ac:dyDescent="0.25">
      <c r="A1104" s="869"/>
    </row>
    <row r="1105" spans="1:1" ht="15.75" x14ac:dyDescent="0.25">
      <c r="A1105" s="869"/>
    </row>
    <row r="1106" spans="1:1" ht="15.75" x14ac:dyDescent="0.25">
      <c r="A1106" s="869"/>
    </row>
    <row r="1107" spans="1:1" ht="15.75" x14ac:dyDescent="0.25">
      <c r="A1107" s="869"/>
    </row>
    <row r="1108" spans="1:1" ht="15.75" x14ac:dyDescent="0.25">
      <c r="A1108" s="869"/>
    </row>
    <row r="1109" spans="1:1" ht="15.75" x14ac:dyDescent="0.25">
      <c r="A1109" s="869"/>
    </row>
    <row r="1110" spans="1:1" ht="15.75" x14ac:dyDescent="0.25">
      <c r="A1110" s="869"/>
    </row>
    <row r="1111" spans="1:1" ht="15.75" x14ac:dyDescent="0.25">
      <c r="A1111" s="869"/>
    </row>
    <row r="1112" spans="1:1" ht="15.75" x14ac:dyDescent="0.25">
      <c r="A1112" s="869"/>
    </row>
    <row r="1113" spans="1:1" ht="15.75" x14ac:dyDescent="0.25">
      <c r="A1113" s="869"/>
    </row>
    <row r="1114" spans="1:1" ht="15.75" x14ac:dyDescent="0.25">
      <c r="A1114" s="869"/>
    </row>
    <row r="1115" spans="1:1" ht="15.75" x14ac:dyDescent="0.25">
      <c r="A1115" s="869"/>
    </row>
    <row r="1116" spans="1:1" ht="15.75" x14ac:dyDescent="0.25">
      <c r="A1116" s="869"/>
    </row>
    <row r="1117" spans="1:1" ht="15.75" x14ac:dyDescent="0.25">
      <c r="A1117" s="869"/>
    </row>
    <row r="1118" spans="1:1" ht="15.75" x14ac:dyDescent="0.25">
      <c r="A1118" s="869"/>
    </row>
    <row r="1119" spans="1:1" ht="15.75" x14ac:dyDescent="0.25">
      <c r="A1119" s="869"/>
    </row>
    <row r="1120" spans="1:1" ht="15.75" x14ac:dyDescent="0.25">
      <c r="A1120" s="869"/>
    </row>
    <row r="1121" spans="1:1" ht="15.75" x14ac:dyDescent="0.25">
      <c r="A1121" s="869"/>
    </row>
    <row r="1122" spans="1:1" ht="15.75" x14ac:dyDescent="0.25">
      <c r="A1122" s="869"/>
    </row>
    <row r="1123" spans="1:1" ht="15.75" x14ac:dyDescent="0.25">
      <c r="A1123" s="869"/>
    </row>
    <row r="1124" spans="1:1" ht="15.75" x14ac:dyDescent="0.25">
      <c r="A1124" s="869"/>
    </row>
    <row r="1125" spans="1:1" ht="15.75" x14ac:dyDescent="0.25">
      <c r="A1125" s="869"/>
    </row>
    <row r="1126" spans="1:1" ht="15.75" x14ac:dyDescent="0.25">
      <c r="A1126" s="869"/>
    </row>
    <row r="1127" spans="1:1" ht="15.75" x14ac:dyDescent="0.25">
      <c r="A1127" s="869"/>
    </row>
    <row r="1128" spans="1:1" ht="15.75" x14ac:dyDescent="0.25">
      <c r="A1128" s="869"/>
    </row>
    <row r="1129" spans="1:1" ht="15.75" x14ac:dyDescent="0.25">
      <c r="A1129" s="869"/>
    </row>
    <row r="1130" spans="1:1" ht="15.75" x14ac:dyDescent="0.25">
      <c r="A1130" s="869"/>
    </row>
    <row r="1131" spans="1:1" ht="15.75" x14ac:dyDescent="0.25">
      <c r="A1131" s="869"/>
    </row>
    <row r="1132" spans="1:1" ht="15.75" x14ac:dyDescent="0.25">
      <c r="A1132" s="869"/>
    </row>
    <row r="1133" spans="1:1" ht="15.75" x14ac:dyDescent="0.25">
      <c r="A1133" s="869"/>
    </row>
    <row r="1134" spans="1:1" ht="15.75" x14ac:dyDescent="0.25">
      <c r="A1134" s="869"/>
    </row>
    <row r="1135" spans="1:1" ht="15.75" x14ac:dyDescent="0.25">
      <c r="A1135" s="869"/>
    </row>
    <row r="1136" spans="1:1" ht="15.75" x14ac:dyDescent="0.25">
      <c r="A1136" s="869"/>
    </row>
    <row r="1137" spans="1:1" ht="15.75" x14ac:dyDescent="0.25">
      <c r="A1137" s="869"/>
    </row>
    <row r="1138" spans="1:1" ht="15.75" x14ac:dyDescent="0.25">
      <c r="A1138" s="869"/>
    </row>
    <row r="1139" spans="1:1" ht="15.75" x14ac:dyDescent="0.25">
      <c r="A1139" s="869"/>
    </row>
    <row r="1140" spans="1:1" ht="15.75" x14ac:dyDescent="0.25">
      <c r="A1140" s="869"/>
    </row>
    <row r="1141" spans="1:1" ht="15.75" x14ac:dyDescent="0.25">
      <c r="A1141" s="869"/>
    </row>
    <row r="1142" spans="1:1" ht="15.75" x14ac:dyDescent="0.25">
      <c r="A1142" s="869"/>
    </row>
    <row r="1143" spans="1:1" ht="15.75" x14ac:dyDescent="0.25">
      <c r="A1143" s="869"/>
    </row>
    <row r="1144" spans="1:1" ht="15.75" x14ac:dyDescent="0.25">
      <c r="A1144" s="869"/>
    </row>
    <row r="1145" spans="1:1" ht="15.75" x14ac:dyDescent="0.25">
      <c r="A1145" s="869"/>
    </row>
    <row r="1146" spans="1:1" ht="15.75" x14ac:dyDescent="0.25">
      <c r="A1146" s="869"/>
    </row>
    <row r="1147" spans="1:1" ht="15.75" x14ac:dyDescent="0.25">
      <c r="A1147" s="869"/>
    </row>
    <row r="1148" spans="1:1" ht="15.75" x14ac:dyDescent="0.25">
      <c r="A1148" s="869"/>
    </row>
    <row r="1149" spans="1:1" ht="15.75" x14ac:dyDescent="0.25">
      <c r="A1149" s="869"/>
    </row>
    <row r="1150" spans="1:1" ht="15.75" x14ac:dyDescent="0.25">
      <c r="A1150" s="869"/>
    </row>
    <row r="1151" spans="1:1" ht="15.75" x14ac:dyDescent="0.25">
      <c r="A1151" s="869"/>
    </row>
    <row r="1152" spans="1:1" ht="15.75" x14ac:dyDescent="0.25">
      <c r="A1152" s="869"/>
    </row>
    <row r="1153" spans="1:1" ht="15.75" x14ac:dyDescent="0.25">
      <c r="A1153" s="869"/>
    </row>
    <row r="1154" spans="1:1" ht="15.75" x14ac:dyDescent="0.25">
      <c r="A1154" s="869"/>
    </row>
    <row r="1155" spans="1:1" ht="15.75" x14ac:dyDescent="0.25">
      <c r="A1155" s="869"/>
    </row>
    <row r="1156" spans="1:1" ht="15.75" x14ac:dyDescent="0.25">
      <c r="A1156" s="869"/>
    </row>
    <row r="1157" spans="1:1" ht="15.75" x14ac:dyDescent="0.25">
      <c r="A1157" s="869"/>
    </row>
    <row r="1158" spans="1:1" ht="15.75" x14ac:dyDescent="0.25">
      <c r="A1158" s="869"/>
    </row>
    <row r="1159" spans="1:1" ht="15.75" x14ac:dyDescent="0.25">
      <c r="A1159" s="869"/>
    </row>
    <row r="1160" spans="1:1" ht="15.75" x14ac:dyDescent="0.25">
      <c r="A1160" s="869"/>
    </row>
    <row r="1161" spans="1:1" ht="15.75" x14ac:dyDescent="0.25">
      <c r="A1161" s="869"/>
    </row>
    <row r="1162" spans="1:1" ht="15.75" x14ac:dyDescent="0.25">
      <c r="A1162" s="869"/>
    </row>
    <row r="1163" spans="1:1" ht="15.75" x14ac:dyDescent="0.25">
      <c r="A1163" s="869"/>
    </row>
    <row r="1164" spans="1:1" ht="15.75" x14ac:dyDescent="0.25">
      <c r="A1164" s="869"/>
    </row>
    <row r="1165" spans="1:1" ht="15.75" x14ac:dyDescent="0.25">
      <c r="A1165" s="869"/>
    </row>
    <row r="1166" spans="1:1" ht="15.75" x14ac:dyDescent="0.25">
      <c r="A1166" s="869"/>
    </row>
    <row r="1167" spans="1:1" ht="15.75" x14ac:dyDescent="0.25">
      <c r="A1167" s="869"/>
    </row>
    <row r="1168" spans="1:1" ht="15.75" x14ac:dyDescent="0.25">
      <c r="A1168" s="869"/>
    </row>
    <row r="1169" spans="1:1" ht="15.75" x14ac:dyDescent="0.25">
      <c r="A1169" s="869"/>
    </row>
    <row r="1170" spans="1:1" ht="15.75" x14ac:dyDescent="0.25">
      <c r="A1170" s="869"/>
    </row>
    <row r="1171" spans="1:1" ht="15.75" x14ac:dyDescent="0.25">
      <c r="A1171" s="869"/>
    </row>
    <row r="1172" spans="1:1" ht="15.75" x14ac:dyDescent="0.25">
      <c r="A1172" s="869"/>
    </row>
    <row r="1173" spans="1:1" ht="15.75" x14ac:dyDescent="0.25">
      <c r="A1173" s="869"/>
    </row>
    <row r="1174" spans="1:1" ht="15.75" x14ac:dyDescent="0.25">
      <c r="A1174" s="869"/>
    </row>
    <row r="1175" spans="1:1" ht="15.75" x14ac:dyDescent="0.25">
      <c r="A1175" s="869"/>
    </row>
    <row r="1176" spans="1:1" ht="15.75" x14ac:dyDescent="0.25">
      <c r="A1176" s="869"/>
    </row>
    <row r="1177" spans="1:1" ht="15.75" x14ac:dyDescent="0.25">
      <c r="A1177" s="869"/>
    </row>
    <row r="1178" spans="1:1" ht="15.75" x14ac:dyDescent="0.25">
      <c r="A1178" s="869"/>
    </row>
    <row r="1179" spans="1:1" ht="15.75" x14ac:dyDescent="0.25">
      <c r="A1179" s="869"/>
    </row>
    <row r="1180" spans="1:1" ht="15.75" x14ac:dyDescent="0.25">
      <c r="A1180" s="869"/>
    </row>
    <row r="1181" spans="1:1" ht="15.75" x14ac:dyDescent="0.25">
      <c r="A1181" s="869"/>
    </row>
    <row r="1182" spans="1:1" ht="15.75" x14ac:dyDescent="0.25">
      <c r="A1182" s="869"/>
    </row>
    <row r="1183" spans="1:1" ht="15.75" x14ac:dyDescent="0.25">
      <c r="A1183" s="869"/>
    </row>
    <row r="1184" spans="1:1" ht="15.75" x14ac:dyDescent="0.25">
      <c r="A1184" s="869"/>
    </row>
    <row r="1185" spans="1:1" ht="15.75" x14ac:dyDescent="0.25">
      <c r="A1185" s="869"/>
    </row>
    <row r="1186" spans="1:1" ht="15.75" x14ac:dyDescent="0.25">
      <c r="A1186" s="869"/>
    </row>
    <row r="1187" spans="1:1" ht="15.75" x14ac:dyDescent="0.25">
      <c r="A1187" s="869"/>
    </row>
    <row r="1188" spans="1:1" ht="15.75" x14ac:dyDescent="0.25">
      <c r="A1188" s="869"/>
    </row>
    <row r="1189" spans="1:1" ht="15.75" x14ac:dyDescent="0.25">
      <c r="A1189" s="869"/>
    </row>
    <row r="1190" spans="1:1" ht="15.75" x14ac:dyDescent="0.25">
      <c r="A1190" s="869"/>
    </row>
    <row r="1191" spans="1:1" ht="15.75" x14ac:dyDescent="0.25">
      <c r="A1191" s="869"/>
    </row>
    <row r="1192" spans="1:1" ht="15.75" x14ac:dyDescent="0.25">
      <c r="A1192" s="869"/>
    </row>
    <row r="1193" spans="1:1" ht="15.75" x14ac:dyDescent="0.25">
      <c r="A1193" s="869"/>
    </row>
    <row r="1194" spans="1:1" ht="15.75" x14ac:dyDescent="0.25">
      <c r="A1194" s="869"/>
    </row>
    <row r="1195" spans="1:1" ht="15.75" x14ac:dyDescent="0.25">
      <c r="A1195" s="869"/>
    </row>
    <row r="1196" spans="1:1" ht="15.75" x14ac:dyDescent="0.25">
      <c r="A1196" s="869"/>
    </row>
    <row r="1197" spans="1:1" ht="15.75" x14ac:dyDescent="0.25">
      <c r="A1197" s="869"/>
    </row>
    <row r="1198" spans="1:1" ht="15.75" x14ac:dyDescent="0.25">
      <c r="A1198" s="869"/>
    </row>
    <row r="1199" spans="1:1" ht="15.75" x14ac:dyDescent="0.25">
      <c r="A1199" s="869"/>
    </row>
    <row r="1200" spans="1:1" ht="15.75" x14ac:dyDescent="0.25">
      <c r="A1200" s="869"/>
    </row>
    <row r="1201" spans="1:1" ht="15.75" x14ac:dyDescent="0.25">
      <c r="A1201" s="869"/>
    </row>
    <row r="1202" spans="1:1" ht="15.75" x14ac:dyDescent="0.25">
      <c r="A1202" s="869"/>
    </row>
    <row r="1203" spans="1:1" ht="15.75" x14ac:dyDescent="0.25">
      <c r="A1203" s="869"/>
    </row>
    <row r="1204" spans="1:1" ht="15.75" x14ac:dyDescent="0.25">
      <c r="A1204" s="869"/>
    </row>
    <row r="1205" spans="1:1" ht="15.75" x14ac:dyDescent="0.25">
      <c r="A1205" s="869"/>
    </row>
    <row r="1206" spans="1:1" ht="15.75" x14ac:dyDescent="0.25">
      <c r="A1206" s="869"/>
    </row>
    <row r="1207" spans="1:1" ht="15.75" x14ac:dyDescent="0.25">
      <c r="A1207" s="869"/>
    </row>
    <row r="1208" spans="1:1" ht="15.75" x14ac:dyDescent="0.25">
      <c r="A1208" s="869"/>
    </row>
    <row r="1209" spans="1:1" ht="15.75" x14ac:dyDescent="0.25">
      <c r="A1209" s="869"/>
    </row>
    <row r="1210" spans="1:1" ht="15.75" x14ac:dyDescent="0.25">
      <c r="A1210" s="869"/>
    </row>
    <row r="1211" spans="1:1" ht="15.75" x14ac:dyDescent="0.25">
      <c r="A1211" s="869"/>
    </row>
    <row r="1212" spans="1:1" ht="15.75" x14ac:dyDescent="0.25">
      <c r="A1212" s="869"/>
    </row>
    <row r="1213" spans="1:1" ht="15.75" x14ac:dyDescent="0.25">
      <c r="A1213" s="869"/>
    </row>
    <row r="1214" spans="1:1" ht="15.75" x14ac:dyDescent="0.25">
      <c r="A1214" s="869"/>
    </row>
    <row r="1215" spans="1:1" ht="15.75" x14ac:dyDescent="0.25">
      <c r="A1215" s="869"/>
    </row>
    <row r="1216" spans="1:1" ht="15.75" x14ac:dyDescent="0.25">
      <c r="A1216" s="869"/>
    </row>
    <row r="1217" spans="1:1" ht="15.75" x14ac:dyDescent="0.25">
      <c r="A1217" s="869"/>
    </row>
    <row r="1218" spans="1:1" ht="15.75" x14ac:dyDescent="0.25">
      <c r="A1218" s="869"/>
    </row>
    <row r="1219" spans="1:1" ht="15.75" x14ac:dyDescent="0.25">
      <c r="A1219" s="869"/>
    </row>
    <row r="1220" spans="1:1" ht="15.75" x14ac:dyDescent="0.25">
      <c r="A1220" s="869"/>
    </row>
    <row r="1221" spans="1:1" ht="15.75" x14ac:dyDescent="0.25">
      <c r="A1221" s="869"/>
    </row>
    <row r="1222" spans="1:1" ht="15.75" x14ac:dyDescent="0.25">
      <c r="A1222" s="869"/>
    </row>
    <row r="1223" spans="1:1" ht="15.75" x14ac:dyDescent="0.25">
      <c r="A1223" s="869"/>
    </row>
    <row r="1224" spans="1:1" ht="15.75" x14ac:dyDescent="0.25">
      <c r="A1224" s="869"/>
    </row>
    <row r="1225" spans="1:1" ht="15.75" x14ac:dyDescent="0.25">
      <c r="A1225" s="869"/>
    </row>
    <row r="1226" spans="1:1" ht="15.75" x14ac:dyDescent="0.25">
      <c r="A1226" s="869"/>
    </row>
    <row r="1227" spans="1:1" ht="15.75" x14ac:dyDescent="0.25">
      <c r="A1227" s="869"/>
    </row>
    <row r="1228" spans="1:1" ht="15.75" x14ac:dyDescent="0.25">
      <c r="A1228" s="869"/>
    </row>
    <row r="1229" spans="1:1" ht="15.75" x14ac:dyDescent="0.25">
      <c r="A1229" s="869"/>
    </row>
    <row r="1230" spans="1:1" ht="15.75" x14ac:dyDescent="0.25">
      <c r="A1230" s="869"/>
    </row>
    <row r="1231" spans="1:1" ht="15.75" x14ac:dyDescent="0.25">
      <c r="A1231" s="869"/>
    </row>
    <row r="1232" spans="1:1" ht="15.75" x14ac:dyDescent="0.25">
      <c r="A1232" s="869"/>
    </row>
    <row r="1233" spans="1:1" ht="15.75" x14ac:dyDescent="0.25">
      <c r="A1233" s="869"/>
    </row>
    <row r="1234" spans="1:1" ht="15.75" x14ac:dyDescent="0.25">
      <c r="A1234" s="869"/>
    </row>
    <row r="1235" spans="1:1" ht="15.75" x14ac:dyDescent="0.25">
      <c r="A1235" s="869"/>
    </row>
    <row r="1236" spans="1:1" ht="15.75" x14ac:dyDescent="0.25">
      <c r="A1236" s="869"/>
    </row>
    <row r="1237" spans="1:1" ht="15.75" x14ac:dyDescent="0.25">
      <c r="A1237" s="869"/>
    </row>
    <row r="1238" spans="1:1" ht="15.75" x14ac:dyDescent="0.25">
      <c r="A1238" s="869"/>
    </row>
    <row r="1239" spans="1:1" ht="15.75" x14ac:dyDescent="0.25">
      <c r="A1239" s="869"/>
    </row>
    <row r="1240" spans="1:1" ht="15.75" x14ac:dyDescent="0.25">
      <c r="A1240" s="869"/>
    </row>
    <row r="1241" spans="1:1" ht="15.75" x14ac:dyDescent="0.25">
      <c r="A1241" s="869"/>
    </row>
    <row r="1242" spans="1:1" ht="15.75" x14ac:dyDescent="0.25">
      <c r="A1242" s="869"/>
    </row>
    <row r="1243" spans="1:1" ht="15.75" x14ac:dyDescent="0.25">
      <c r="A1243" s="869"/>
    </row>
    <row r="1244" spans="1:1" ht="15.75" x14ac:dyDescent="0.25">
      <c r="A1244" s="869"/>
    </row>
    <row r="1245" spans="1:1" ht="15.75" x14ac:dyDescent="0.25">
      <c r="A1245" s="869"/>
    </row>
    <row r="1246" spans="1:1" ht="15.75" x14ac:dyDescent="0.25">
      <c r="A1246" s="869"/>
    </row>
    <row r="1247" spans="1:1" ht="15.75" x14ac:dyDescent="0.25">
      <c r="A1247" s="869"/>
    </row>
    <row r="1248" spans="1:1" ht="15.75" x14ac:dyDescent="0.25">
      <c r="A1248" s="869"/>
    </row>
    <row r="1249" spans="1:1" ht="15.75" x14ac:dyDescent="0.25">
      <c r="A1249" s="869"/>
    </row>
    <row r="1250" spans="1:1" ht="15.75" x14ac:dyDescent="0.25">
      <c r="A1250" s="869"/>
    </row>
    <row r="1251" spans="1:1" ht="15.75" x14ac:dyDescent="0.25">
      <c r="A1251" s="869"/>
    </row>
    <row r="1252" spans="1:1" ht="15.75" x14ac:dyDescent="0.25">
      <c r="A1252" s="869"/>
    </row>
    <row r="1253" spans="1:1" ht="15.75" x14ac:dyDescent="0.25">
      <c r="A1253" s="869"/>
    </row>
    <row r="1254" spans="1:1" ht="15.75" x14ac:dyDescent="0.25">
      <c r="A1254" s="869"/>
    </row>
    <row r="1255" spans="1:1" ht="15.75" x14ac:dyDescent="0.25">
      <c r="A1255" s="869"/>
    </row>
    <row r="1256" spans="1:1" ht="15.75" x14ac:dyDescent="0.25">
      <c r="A1256" s="869"/>
    </row>
    <row r="1257" spans="1:1" ht="15.75" x14ac:dyDescent="0.25">
      <c r="A1257" s="869"/>
    </row>
    <row r="1258" spans="1:1" ht="15.75" x14ac:dyDescent="0.25">
      <c r="A1258" s="869"/>
    </row>
    <row r="1259" spans="1:1" ht="15.75" x14ac:dyDescent="0.25">
      <c r="A1259" s="869"/>
    </row>
    <row r="1260" spans="1:1" ht="15.75" x14ac:dyDescent="0.25">
      <c r="A1260" s="869"/>
    </row>
    <row r="1261" spans="1:1" ht="15.75" x14ac:dyDescent="0.25">
      <c r="A1261" s="869"/>
    </row>
    <row r="1262" spans="1:1" ht="15.75" x14ac:dyDescent="0.25">
      <c r="A1262" s="869"/>
    </row>
    <row r="1263" spans="1:1" ht="15.75" x14ac:dyDescent="0.25">
      <c r="A1263" s="869"/>
    </row>
    <row r="1264" spans="1:1" ht="15.75" x14ac:dyDescent="0.25">
      <c r="A1264" s="869"/>
    </row>
    <row r="1265" spans="1:1" ht="15.75" x14ac:dyDescent="0.25">
      <c r="A1265" s="869"/>
    </row>
    <row r="1266" spans="1:1" ht="15.75" x14ac:dyDescent="0.25">
      <c r="A1266" s="869"/>
    </row>
    <row r="1267" spans="1:1" ht="15.75" x14ac:dyDescent="0.25">
      <c r="A1267" s="869"/>
    </row>
    <row r="1268" spans="1:1" ht="15.75" x14ac:dyDescent="0.25">
      <c r="A1268" s="869"/>
    </row>
    <row r="1269" spans="1:1" ht="15.75" x14ac:dyDescent="0.25">
      <c r="A1269" s="869"/>
    </row>
    <row r="1270" spans="1:1" ht="15.75" x14ac:dyDescent="0.25">
      <c r="A1270" s="869"/>
    </row>
    <row r="1271" spans="1:1" ht="15.75" x14ac:dyDescent="0.25">
      <c r="A1271" s="869"/>
    </row>
    <row r="1272" spans="1:1" ht="15.75" x14ac:dyDescent="0.25">
      <c r="A1272" s="869"/>
    </row>
    <row r="1273" spans="1:1" ht="15.75" x14ac:dyDescent="0.25">
      <c r="A1273" s="869"/>
    </row>
    <row r="1274" spans="1:1" ht="15.75" x14ac:dyDescent="0.25">
      <c r="A1274" s="869"/>
    </row>
    <row r="1275" spans="1:1" ht="15.75" x14ac:dyDescent="0.25">
      <c r="A1275" s="869"/>
    </row>
    <row r="1276" spans="1:1" ht="15.75" x14ac:dyDescent="0.25">
      <c r="A1276" s="869"/>
    </row>
    <row r="1277" spans="1:1" ht="15.75" x14ac:dyDescent="0.25">
      <c r="A1277" s="869"/>
    </row>
    <row r="1278" spans="1:1" ht="15.75" x14ac:dyDescent="0.25">
      <c r="A1278" s="869"/>
    </row>
    <row r="1279" spans="1:1" ht="15.75" x14ac:dyDescent="0.25">
      <c r="A1279" s="869"/>
    </row>
    <row r="1280" spans="1:1" ht="15.75" x14ac:dyDescent="0.25">
      <c r="A1280" s="869"/>
    </row>
    <row r="1281" spans="1:1" ht="15.75" x14ac:dyDescent="0.25">
      <c r="A1281" s="869"/>
    </row>
    <row r="1282" spans="1:1" ht="15.75" x14ac:dyDescent="0.25">
      <c r="A1282" s="869"/>
    </row>
    <row r="1283" spans="1:1" ht="15.75" x14ac:dyDescent="0.25">
      <c r="A1283" s="869"/>
    </row>
    <row r="1284" spans="1:1" ht="15.75" x14ac:dyDescent="0.25">
      <c r="A1284" s="869"/>
    </row>
    <row r="1285" spans="1:1" ht="15.75" x14ac:dyDescent="0.25">
      <c r="A1285" s="869"/>
    </row>
    <row r="1286" spans="1:1" ht="15.75" x14ac:dyDescent="0.25">
      <c r="A1286" s="869"/>
    </row>
    <row r="1287" spans="1:1" ht="15.75" x14ac:dyDescent="0.25">
      <c r="A1287" s="869"/>
    </row>
    <row r="1288" spans="1:1" ht="15.75" x14ac:dyDescent="0.25">
      <c r="A1288" s="869"/>
    </row>
    <row r="1289" spans="1:1" ht="15.75" x14ac:dyDescent="0.25">
      <c r="A1289" s="869"/>
    </row>
    <row r="1290" spans="1:1" ht="15.75" x14ac:dyDescent="0.25">
      <c r="A1290" s="869"/>
    </row>
    <row r="1291" spans="1:1" ht="15.75" x14ac:dyDescent="0.25">
      <c r="A1291" s="869"/>
    </row>
    <row r="1292" spans="1:1" ht="15.75" x14ac:dyDescent="0.25">
      <c r="A1292" s="869"/>
    </row>
    <row r="1293" spans="1:1" ht="15.75" x14ac:dyDescent="0.25">
      <c r="A1293" s="869"/>
    </row>
    <row r="1294" spans="1:1" ht="15.75" x14ac:dyDescent="0.25">
      <c r="A1294" s="869"/>
    </row>
    <row r="1295" spans="1:1" ht="15.75" x14ac:dyDescent="0.25">
      <c r="A1295" s="869"/>
    </row>
    <row r="1296" spans="1:1" ht="15.75" x14ac:dyDescent="0.25">
      <c r="A1296" s="869"/>
    </row>
    <row r="1297" spans="1:1" ht="15.75" x14ac:dyDescent="0.25">
      <c r="A1297" s="869"/>
    </row>
    <row r="1298" spans="1:1" ht="15.75" x14ac:dyDescent="0.25">
      <c r="A1298" s="869"/>
    </row>
    <row r="1299" spans="1:1" ht="15.75" x14ac:dyDescent="0.25">
      <c r="A1299" s="869"/>
    </row>
    <row r="1300" spans="1:1" ht="15.75" x14ac:dyDescent="0.25">
      <c r="A1300" s="869"/>
    </row>
    <row r="1301" spans="1:1" ht="15.75" x14ac:dyDescent="0.25">
      <c r="A1301" s="869"/>
    </row>
    <row r="1302" spans="1:1" ht="15.75" x14ac:dyDescent="0.25">
      <c r="A1302" s="869"/>
    </row>
    <row r="1303" spans="1:1" ht="15.75" x14ac:dyDescent="0.25">
      <c r="A1303" s="869"/>
    </row>
    <row r="1304" spans="1:1" ht="15.75" x14ac:dyDescent="0.25">
      <c r="A1304" s="869"/>
    </row>
    <row r="1305" spans="1:1" ht="15.75" x14ac:dyDescent="0.25">
      <c r="A1305" s="869"/>
    </row>
    <row r="1306" spans="1:1" ht="15.75" x14ac:dyDescent="0.25">
      <c r="A1306" s="869"/>
    </row>
    <row r="1307" spans="1:1" ht="15.75" x14ac:dyDescent="0.25">
      <c r="A1307" s="869"/>
    </row>
    <row r="1308" spans="1:1" ht="15.75" x14ac:dyDescent="0.25">
      <c r="A1308" s="869"/>
    </row>
    <row r="1309" spans="1:1" ht="15.75" x14ac:dyDescent="0.25">
      <c r="A1309" s="869"/>
    </row>
    <row r="1310" spans="1:1" ht="15.75" x14ac:dyDescent="0.25">
      <c r="A1310" s="869"/>
    </row>
    <row r="1311" spans="1:1" ht="15.75" x14ac:dyDescent="0.25">
      <c r="A1311" s="869"/>
    </row>
    <row r="1312" spans="1:1" ht="15.75" x14ac:dyDescent="0.25">
      <c r="A1312" s="869"/>
    </row>
    <row r="1313" spans="1:1" ht="15.75" x14ac:dyDescent="0.25">
      <c r="A1313" s="869"/>
    </row>
    <row r="1314" spans="1:1" ht="15.75" x14ac:dyDescent="0.25">
      <c r="A1314" s="869"/>
    </row>
    <row r="1315" spans="1:1" ht="15.75" x14ac:dyDescent="0.25">
      <c r="A1315" s="869"/>
    </row>
    <row r="1316" spans="1:1" ht="15.75" x14ac:dyDescent="0.25">
      <c r="A1316" s="869"/>
    </row>
    <row r="1317" spans="1:1" ht="15.75" x14ac:dyDescent="0.25">
      <c r="A1317" s="869"/>
    </row>
    <row r="1318" spans="1:1" ht="15.75" x14ac:dyDescent="0.25">
      <c r="A1318" s="869"/>
    </row>
    <row r="1319" spans="1:1" ht="15.75" x14ac:dyDescent="0.25">
      <c r="A1319" s="869"/>
    </row>
    <row r="1320" spans="1:1" ht="15.75" x14ac:dyDescent="0.25">
      <c r="A1320" s="869"/>
    </row>
    <row r="1321" spans="1:1" ht="15.75" x14ac:dyDescent="0.25">
      <c r="A1321" s="869"/>
    </row>
    <row r="1322" spans="1:1" ht="15.75" x14ac:dyDescent="0.25">
      <c r="A1322" s="869"/>
    </row>
    <row r="1323" spans="1:1" ht="15.75" x14ac:dyDescent="0.25">
      <c r="A1323" s="869"/>
    </row>
    <row r="1324" spans="1:1" ht="15.75" x14ac:dyDescent="0.25">
      <c r="A1324" s="869"/>
    </row>
    <row r="1325" spans="1:1" ht="15.75" x14ac:dyDescent="0.25">
      <c r="A1325" s="869"/>
    </row>
    <row r="1326" spans="1:1" ht="15.75" x14ac:dyDescent="0.25">
      <c r="A1326" s="869"/>
    </row>
    <row r="1327" spans="1:1" ht="15.75" x14ac:dyDescent="0.25">
      <c r="A1327" s="869"/>
    </row>
    <row r="1328" spans="1:1" ht="15.75" x14ac:dyDescent="0.25">
      <c r="A1328" s="869"/>
    </row>
    <row r="1329" spans="1:1" ht="15.75" x14ac:dyDescent="0.25">
      <c r="A1329" s="869"/>
    </row>
    <row r="1330" spans="1:1" ht="15.75" x14ac:dyDescent="0.25">
      <c r="A1330" s="869"/>
    </row>
    <row r="1331" spans="1:1" ht="15.75" x14ac:dyDescent="0.25">
      <c r="A1331" s="869"/>
    </row>
    <row r="1332" spans="1:1" ht="15.75" x14ac:dyDescent="0.25">
      <c r="A1332" s="869"/>
    </row>
    <row r="1333" spans="1:1" ht="15.75" x14ac:dyDescent="0.25">
      <c r="A1333" s="869"/>
    </row>
    <row r="1334" spans="1:1" ht="15.75" x14ac:dyDescent="0.25">
      <c r="A1334" s="869"/>
    </row>
    <row r="1335" spans="1:1" ht="15.75" x14ac:dyDescent="0.25">
      <c r="A1335" s="869"/>
    </row>
    <row r="1336" spans="1:1" ht="15.75" x14ac:dyDescent="0.25">
      <c r="A1336" s="869"/>
    </row>
    <row r="1337" spans="1:1" ht="15.75" x14ac:dyDescent="0.25">
      <c r="A1337" s="869"/>
    </row>
    <row r="1338" spans="1:1" ht="15.75" x14ac:dyDescent="0.25">
      <c r="A1338" s="869"/>
    </row>
    <row r="1339" spans="1:1" ht="15.75" x14ac:dyDescent="0.25">
      <c r="A1339" s="869"/>
    </row>
    <row r="1340" spans="1:1" ht="15.75" x14ac:dyDescent="0.25">
      <c r="A1340" s="869"/>
    </row>
    <row r="1341" spans="1:1" ht="15.75" x14ac:dyDescent="0.25">
      <c r="A1341" s="869"/>
    </row>
    <row r="1342" spans="1:1" ht="15.75" x14ac:dyDescent="0.25">
      <c r="A1342" s="869"/>
    </row>
    <row r="1343" spans="1:1" ht="15.75" x14ac:dyDescent="0.25">
      <c r="A1343" s="869"/>
    </row>
    <row r="1344" spans="1:1" ht="15.75" x14ac:dyDescent="0.25">
      <c r="A1344" s="869"/>
    </row>
    <row r="1345" spans="1:1" ht="15.75" x14ac:dyDescent="0.25">
      <c r="A1345" s="869"/>
    </row>
    <row r="1346" spans="1:1" ht="15.75" x14ac:dyDescent="0.25">
      <c r="A1346" s="869"/>
    </row>
    <row r="1347" spans="1:1" ht="15.75" x14ac:dyDescent="0.25">
      <c r="A1347" s="869"/>
    </row>
    <row r="1348" spans="1:1" ht="15.75" x14ac:dyDescent="0.25">
      <c r="A1348" s="869"/>
    </row>
    <row r="1349" spans="1:1" ht="15.75" x14ac:dyDescent="0.25">
      <c r="A1349" s="869"/>
    </row>
    <row r="1350" spans="1:1" ht="15.75" x14ac:dyDescent="0.25">
      <c r="A1350" s="869"/>
    </row>
    <row r="1351" spans="1:1" ht="15.75" x14ac:dyDescent="0.25">
      <c r="A1351" s="869"/>
    </row>
    <row r="1352" spans="1:1" ht="15.75" x14ac:dyDescent="0.25">
      <c r="A1352" s="869"/>
    </row>
    <row r="1353" spans="1:1" ht="15.75" x14ac:dyDescent="0.25">
      <c r="A1353" s="869"/>
    </row>
    <row r="1354" spans="1:1" ht="15.75" x14ac:dyDescent="0.25">
      <c r="A1354" s="869"/>
    </row>
    <row r="1355" spans="1:1" ht="15.75" x14ac:dyDescent="0.25">
      <c r="A1355" s="869"/>
    </row>
    <row r="1356" spans="1:1" ht="15.75" x14ac:dyDescent="0.25">
      <c r="A1356" s="869"/>
    </row>
    <row r="1357" spans="1:1" ht="15.75" x14ac:dyDescent="0.25">
      <c r="A1357" s="869"/>
    </row>
    <row r="1358" spans="1:1" ht="15.75" x14ac:dyDescent="0.25">
      <c r="A1358" s="869"/>
    </row>
    <row r="1359" spans="1:1" ht="15.75" x14ac:dyDescent="0.25">
      <c r="A1359" s="869"/>
    </row>
    <row r="1360" spans="1:1" ht="15.75" x14ac:dyDescent="0.25">
      <c r="A1360" s="869"/>
    </row>
    <row r="1361" spans="1:1" ht="15.75" x14ac:dyDescent="0.25">
      <c r="A1361" s="869"/>
    </row>
    <row r="1362" spans="1:1" ht="15.75" x14ac:dyDescent="0.25">
      <c r="A1362" s="869"/>
    </row>
    <row r="1363" spans="1:1" ht="15.75" x14ac:dyDescent="0.25">
      <c r="A1363" s="869"/>
    </row>
    <row r="1364" spans="1:1" ht="15.75" x14ac:dyDescent="0.25">
      <c r="A1364" s="869"/>
    </row>
    <row r="1365" spans="1:1" ht="15.75" x14ac:dyDescent="0.25">
      <c r="A1365" s="869"/>
    </row>
    <row r="1366" spans="1:1" ht="15.75" x14ac:dyDescent="0.25">
      <c r="A1366" s="869"/>
    </row>
    <row r="1367" spans="1:1" ht="15.75" x14ac:dyDescent="0.25">
      <c r="A1367" s="869"/>
    </row>
    <row r="1368" spans="1:1" ht="15.75" x14ac:dyDescent="0.25">
      <c r="A1368" s="869"/>
    </row>
    <row r="1369" spans="1:1" ht="15.75" x14ac:dyDescent="0.25">
      <c r="A1369" s="869"/>
    </row>
    <row r="1370" spans="1:1" ht="15.75" x14ac:dyDescent="0.25">
      <c r="A1370" s="869"/>
    </row>
    <row r="1371" spans="1:1" ht="15.75" x14ac:dyDescent="0.25">
      <c r="A1371" s="869"/>
    </row>
    <row r="1372" spans="1:1" ht="15.75" x14ac:dyDescent="0.25">
      <c r="A1372" s="869"/>
    </row>
    <row r="1373" spans="1:1" ht="15.75" x14ac:dyDescent="0.25">
      <c r="A1373" s="869"/>
    </row>
    <row r="1374" spans="1:1" ht="15.75" x14ac:dyDescent="0.25">
      <c r="A1374" s="869"/>
    </row>
    <row r="1375" spans="1:1" ht="15.75" x14ac:dyDescent="0.25">
      <c r="A1375" s="869"/>
    </row>
    <row r="1376" spans="1:1" ht="15.75" x14ac:dyDescent="0.25">
      <c r="A1376" s="869"/>
    </row>
    <row r="1377" spans="1:1" ht="15.75" x14ac:dyDescent="0.25">
      <c r="A1377" s="869"/>
    </row>
    <row r="1378" spans="1:1" ht="15.75" x14ac:dyDescent="0.25">
      <c r="A1378" s="869"/>
    </row>
    <row r="1379" spans="1:1" ht="15.75" x14ac:dyDescent="0.25">
      <c r="A1379" s="869"/>
    </row>
    <row r="1380" spans="1:1" ht="15.75" x14ac:dyDescent="0.25">
      <c r="A1380" s="869"/>
    </row>
    <row r="1381" spans="1:1" ht="15.75" x14ac:dyDescent="0.25">
      <c r="A1381" s="869"/>
    </row>
    <row r="1382" spans="1:1" ht="15.75" x14ac:dyDescent="0.25">
      <c r="A1382" s="869"/>
    </row>
    <row r="1383" spans="1:1" ht="15.75" x14ac:dyDescent="0.25">
      <c r="A1383" s="869"/>
    </row>
    <row r="1384" spans="1:1" ht="15.75" x14ac:dyDescent="0.25">
      <c r="A1384" s="869"/>
    </row>
    <row r="1385" spans="1:1" ht="15.75" x14ac:dyDescent="0.25">
      <c r="A1385" s="869"/>
    </row>
    <row r="1386" spans="1:1" ht="15.75" x14ac:dyDescent="0.25">
      <c r="A1386" s="869"/>
    </row>
    <row r="1387" spans="1:1" ht="15.75" x14ac:dyDescent="0.25">
      <c r="A1387" s="869"/>
    </row>
    <row r="1388" spans="1:1" ht="15.75" x14ac:dyDescent="0.25">
      <c r="A1388" s="869"/>
    </row>
    <row r="1389" spans="1:1" ht="15.75" x14ac:dyDescent="0.25">
      <c r="A1389" s="869"/>
    </row>
    <row r="1390" spans="1:1" ht="15.75" x14ac:dyDescent="0.25">
      <c r="A1390" s="869"/>
    </row>
    <row r="1391" spans="1:1" ht="15.75" x14ac:dyDescent="0.25">
      <c r="A1391" s="869"/>
    </row>
    <row r="1392" spans="1:1" ht="15.75" x14ac:dyDescent="0.25">
      <c r="A1392" s="869"/>
    </row>
    <row r="1393" spans="1:1" ht="15.75" x14ac:dyDescent="0.25">
      <c r="A1393" s="869"/>
    </row>
    <row r="1394" spans="1:1" ht="15.75" x14ac:dyDescent="0.25">
      <c r="A1394" s="869"/>
    </row>
    <row r="1395" spans="1:1" ht="15.75" x14ac:dyDescent="0.25">
      <c r="A1395" s="869"/>
    </row>
    <row r="1396" spans="1:1" ht="15.75" x14ac:dyDescent="0.25">
      <c r="A1396" s="869"/>
    </row>
    <row r="1397" spans="1:1" ht="15.75" x14ac:dyDescent="0.25">
      <c r="A1397" s="869"/>
    </row>
    <row r="1398" spans="1:1" ht="15.75" x14ac:dyDescent="0.25">
      <c r="A1398" s="869"/>
    </row>
    <row r="1399" spans="1:1" ht="15.75" x14ac:dyDescent="0.25">
      <c r="A1399" s="869"/>
    </row>
    <row r="1400" spans="1:1" ht="15.75" x14ac:dyDescent="0.25">
      <c r="A1400" s="869"/>
    </row>
    <row r="1401" spans="1:1" ht="15.75" x14ac:dyDescent="0.25">
      <c r="A1401" s="869"/>
    </row>
    <row r="1402" spans="1:1" ht="15.75" x14ac:dyDescent="0.25">
      <c r="A1402" s="869"/>
    </row>
    <row r="1403" spans="1:1" ht="15.75" x14ac:dyDescent="0.25">
      <c r="A1403" s="869"/>
    </row>
    <row r="1404" spans="1:1" ht="15.75" x14ac:dyDescent="0.25">
      <c r="A1404" s="869"/>
    </row>
    <row r="1405" spans="1:1" ht="15.75" x14ac:dyDescent="0.25">
      <c r="A1405" s="869"/>
    </row>
    <row r="1406" spans="1:1" ht="15.75" x14ac:dyDescent="0.25">
      <c r="A1406" s="869"/>
    </row>
    <row r="1407" spans="1:1" ht="15.75" x14ac:dyDescent="0.25">
      <c r="A1407" s="869"/>
    </row>
    <row r="1408" spans="1:1" ht="15.75" x14ac:dyDescent="0.25">
      <c r="A1408" s="869"/>
    </row>
    <row r="1409" spans="1:1" ht="15.75" x14ac:dyDescent="0.25">
      <c r="A1409" s="869"/>
    </row>
    <row r="1410" spans="1:1" ht="15.75" x14ac:dyDescent="0.25">
      <c r="A1410" s="869"/>
    </row>
    <row r="1411" spans="1:1" ht="15.75" x14ac:dyDescent="0.25">
      <c r="A1411" s="869"/>
    </row>
    <row r="1412" spans="1:1" ht="15.75" x14ac:dyDescent="0.25">
      <c r="A1412" s="869"/>
    </row>
    <row r="1413" spans="1:1" ht="15.75" x14ac:dyDescent="0.25">
      <c r="A1413" s="869"/>
    </row>
    <row r="1414" spans="1:1" ht="15.75" x14ac:dyDescent="0.25">
      <c r="A1414" s="869"/>
    </row>
    <row r="1415" spans="1:1" ht="15.75" x14ac:dyDescent="0.25">
      <c r="A1415" s="869"/>
    </row>
    <row r="1416" spans="1:1" ht="15.75" x14ac:dyDescent="0.25">
      <c r="A1416" s="869"/>
    </row>
    <row r="1417" spans="1:1" ht="15.75" x14ac:dyDescent="0.25">
      <c r="A1417" s="869"/>
    </row>
    <row r="1418" spans="1:1" ht="15.75" x14ac:dyDescent="0.25">
      <c r="A1418" s="869"/>
    </row>
    <row r="1419" spans="1:1" ht="15.75" x14ac:dyDescent="0.25">
      <c r="A1419" s="869"/>
    </row>
    <row r="1420" spans="1:1" ht="15.75" x14ac:dyDescent="0.25">
      <c r="A1420" s="869"/>
    </row>
    <row r="1421" spans="1:1" ht="15.75" x14ac:dyDescent="0.25">
      <c r="A1421" s="869"/>
    </row>
    <row r="1422" spans="1:1" ht="15.75" x14ac:dyDescent="0.25">
      <c r="A1422" s="869"/>
    </row>
    <row r="1423" spans="1:1" ht="15.75" x14ac:dyDescent="0.25">
      <c r="A1423" s="869"/>
    </row>
    <row r="1424" spans="1:1" ht="15.75" x14ac:dyDescent="0.25">
      <c r="A1424" s="869"/>
    </row>
    <row r="1425" spans="1:1" ht="15.75" x14ac:dyDescent="0.25">
      <c r="A1425" s="869"/>
    </row>
    <row r="1426" spans="1:1" ht="15.75" x14ac:dyDescent="0.25">
      <c r="A1426" s="869"/>
    </row>
    <row r="1427" spans="1:1" ht="15.75" x14ac:dyDescent="0.25">
      <c r="A1427" s="869"/>
    </row>
    <row r="1428" spans="1:1" ht="15.75" x14ac:dyDescent="0.25">
      <c r="A1428" s="869"/>
    </row>
    <row r="1429" spans="1:1" ht="15.75" x14ac:dyDescent="0.25">
      <c r="A1429" s="869"/>
    </row>
    <row r="1430" spans="1:1" ht="15.75" x14ac:dyDescent="0.25">
      <c r="A1430" s="869"/>
    </row>
    <row r="1431" spans="1:1" ht="15.75" x14ac:dyDescent="0.25">
      <c r="A1431" s="869"/>
    </row>
    <row r="1432" spans="1:1" ht="15.75" x14ac:dyDescent="0.25">
      <c r="A1432" s="869"/>
    </row>
    <row r="1433" spans="1:1" ht="15.75" x14ac:dyDescent="0.25">
      <c r="A1433" s="869"/>
    </row>
    <row r="1434" spans="1:1" ht="15.75" x14ac:dyDescent="0.25">
      <c r="A1434" s="869"/>
    </row>
    <row r="1435" spans="1:1" ht="15.75" x14ac:dyDescent="0.25">
      <c r="A1435" s="869"/>
    </row>
    <row r="1436" spans="1:1" ht="15.75" x14ac:dyDescent="0.25">
      <c r="A1436" s="869"/>
    </row>
    <row r="1437" spans="1:1" ht="15.75" x14ac:dyDescent="0.25">
      <c r="A1437" s="869"/>
    </row>
    <row r="1438" spans="1:1" ht="15.75" x14ac:dyDescent="0.25">
      <c r="A1438" s="869"/>
    </row>
    <row r="1439" spans="1:1" ht="15.75" x14ac:dyDescent="0.25">
      <c r="A1439" s="869"/>
    </row>
    <row r="1440" spans="1:1" ht="15.75" x14ac:dyDescent="0.25">
      <c r="A1440" s="869"/>
    </row>
    <row r="1441" spans="1:1" ht="15.75" x14ac:dyDescent="0.25">
      <c r="A1441" s="869"/>
    </row>
    <row r="1442" spans="1:1" ht="15.75" x14ac:dyDescent="0.25">
      <c r="A1442" s="869"/>
    </row>
    <row r="1443" spans="1:1" ht="15.75" x14ac:dyDescent="0.25">
      <c r="A1443" s="869"/>
    </row>
    <row r="1444" spans="1:1" ht="15.75" x14ac:dyDescent="0.25">
      <c r="A1444" s="869"/>
    </row>
    <row r="1445" spans="1:1" ht="15.75" x14ac:dyDescent="0.25">
      <c r="A1445" s="869"/>
    </row>
    <row r="1446" spans="1:1" ht="15.75" x14ac:dyDescent="0.25">
      <c r="A1446" s="869"/>
    </row>
    <row r="1447" spans="1:1" ht="15.75" x14ac:dyDescent="0.25">
      <c r="A1447" s="869"/>
    </row>
    <row r="1448" spans="1:1" ht="15.75" x14ac:dyDescent="0.25">
      <c r="A1448" s="869"/>
    </row>
    <row r="1449" spans="1:1" ht="15.75" x14ac:dyDescent="0.25">
      <c r="A1449" s="869"/>
    </row>
    <row r="1450" spans="1:1" ht="15.75" x14ac:dyDescent="0.25">
      <c r="A1450" s="869"/>
    </row>
    <row r="1451" spans="1:1" ht="15.75" x14ac:dyDescent="0.25">
      <c r="A1451" s="869"/>
    </row>
    <row r="1452" spans="1:1" ht="15.75" x14ac:dyDescent="0.25">
      <c r="A1452" s="869"/>
    </row>
    <row r="1453" spans="1:1" ht="15.75" x14ac:dyDescent="0.25">
      <c r="A1453" s="869"/>
    </row>
    <row r="1454" spans="1:1" ht="15.75" x14ac:dyDescent="0.25">
      <c r="A1454" s="869"/>
    </row>
    <row r="1455" spans="1:1" ht="15.75" x14ac:dyDescent="0.25">
      <c r="A1455" s="869"/>
    </row>
    <row r="1456" spans="1:1" ht="15.75" x14ac:dyDescent="0.25">
      <c r="A1456" s="869"/>
    </row>
    <row r="1457" spans="1:1" ht="15.75" x14ac:dyDescent="0.25">
      <c r="A1457" s="869"/>
    </row>
    <row r="1458" spans="1:1" ht="15.75" x14ac:dyDescent="0.25">
      <c r="A1458" s="869"/>
    </row>
    <row r="1459" spans="1:1" ht="15.75" x14ac:dyDescent="0.25">
      <c r="A1459" s="869"/>
    </row>
    <row r="1460" spans="1:1" ht="15.75" x14ac:dyDescent="0.25">
      <c r="A1460" s="869"/>
    </row>
    <row r="1461" spans="1:1" ht="15.75" x14ac:dyDescent="0.25">
      <c r="A1461" s="869"/>
    </row>
    <row r="1462" spans="1:1" ht="15.75" x14ac:dyDescent="0.25">
      <c r="A1462" s="869"/>
    </row>
    <row r="1463" spans="1:1" ht="15.75" x14ac:dyDescent="0.25">
      <c r="A1463" s="869"/>
    </row>
    <row r="1464" spans="1:1" ht="15.75" x14ac:dyDescent="0.25">
      <c r="A1464" s="869"/>
    </row>
    <row r="1465" spans="1:1" ht="15.75" x14ac:dyDescent="0.25">
      <c r="A1465" s="869"/>
    </row>
    <row r="1466" spans="1:1" ht="15.75" x14ac:dyDescent="0.25">
      <c r="A1466" s="869"/>
    </row>
    <row r="1467" spans="1:1" ht="15.75" x14ac:dyDescent="0.25">
      <c r="A1467" s="869"/>
    </row>
    <row r="1468" spans="1:1" ht="15.75" x14ac:dyDescent="0.25">
      <c r="A1468" s="869"/>
    </row>
    <row r="1469" spans="1:1" ht="15.75" x14ac:dyDescent="0.25">
      <c r="A1469" s="869"/>
    </row>
    <row r="1470" spans="1:1" ht="15.75" x14ac:dyDescent="0.25">
      <c r="A1470" s="869"/>
    </row>
    <row r="1471" spans="1:1" ht="15.75" x14ac:dyDescent="0.25">
      <c r="A1471" s="869"/>
    </row>
    <row r="1472" spans="1:1" ht="15.75" x14ac:dyDescent="0.25">
      <c r="A1472" s="869"/>
    </row>
    <row r="1473" spans="1:1" ht="15.75" x14ac:dyDescent="0.25">
      <c r="A1473" s="869"/>
    </row>
    <row r="1474" spans="1:1" ht="15.75" x14ac:dyDescent="0.25">
      <c r="A1474" s="869"/>
    </row>
    <row r="1475" spans="1:1" ht="15.75" x14ac:dyDescent="0.25">
      <c r="A1475" s="869"/>
    </row>
    <row r="1476" spans="1:1" ht="15.75" x14ac:dyDescent="0.25">
      <c r="A1476" s="869"/>
    </row>
    <row r="1477" spans="1:1" ht="15.75" x14ac:dyDescent="0.25">
      <c r="A1477" s="869"/>
    </row>
    <row r="1478" spans="1:1" ht="15.75" x14ac:dyDescent="0.25">
      <c r="A1478" s="869"/>
    </row>
    <row r="1479" spans="1:1" ht="15.75" x14ac:dyDescent="0.25">
      <c r="A1479" s="869"/>
    </row>
    <row r="1480" spans="1:1" ht="15.75" x14ac:dyDescent="0.25">
      <c r="A1480" s="869"/>
    </row>
    <row r="1481" spans="1:1" ht="15.75" x14ac:dyDescent="0.25">
      <c r="A1481" s="869"/>
    </row>
    <row r="1482" spans="1:1" ht="15.75" x14ac:dyDescent="0.25">
      <c r="A1482" s="869"/>
    </row>
    <row r="1483" spans="1:1" ht="15.75" x14ac:dyDescent="0.25">
      <c r="A1483" s="869"/>
    </row>
    <row r="1484" spans="1:1" ht="15.75" x14ac:dyDescent="0.25">
      <c r="A1484" s="869"/>
    </row>
    <row r="1485" spans="1:1" ht="15.75" x14ac:dyDescent="0.25">
      <c r="A1485" s="869"/>
    </row>
    <row r="1486" spans="1:1" ht="15.75" x14ac:dyDescent="0.25">
      <c r="A1486" s="869"/>
    </row>
    <row r="1487" spans="1:1" ht="15.75" x14ac:dyDescent="0.25">
      <c r="A1487" s="869"/>
    </row>
    <row r="1488" spans="1:1" ht="15.75" x14ac:dyDescent="0.25">
      <c r="A1488" s="869"/>
    </row>
    <row r="1489" spans="1:1" ht="15.75" x14ac:dyDescent="0.25">
      <c r="A1489" s="869"/>
    </row>
    <row r="1490" spans="1:1" ht="15.75" x14ac:dyDescent="0.25">
      <c r="A1490" s="869"/>
    </row>
    <row r="1491" spans="1:1" ht="15.75" x14ac:dyDescent="0.25">
      <c r="A1491" s="869"/>
    </row>
    <row r="1492" spans="1:1" ht="15.75" x14ac:dyDescent="0.25">
      <c r="A1492" s="869"/>
    </row>
    <row r="1493" spans="1:1" ht="15.75" x14ac:dyDescent="0.25">
      <c r="A1493" s="869"/>
    </row>
    <row r="1494" spans="1:1" ht="15.75" x14ac:dyDescent="0.25">
      <c r="A1494" s="869"/>
    </row>
    <row r="1495" spans="1:1" ht="15.75" x14ac:dyDescent="0.25">
      <c r="A1495" s="869"/>
    </row>
    <row r="1496" spans="1:1" ht="15.75" x14ac:dyDescent="0.25">
      <c r="A1496" s="869"/>
    </row>
    <row r="1497" spans="1:1" ht="15.75" x14ac:dyDescent="0.25">
      <c r="A1497" s="869"/>
    </row>
    <row r="1498" spans="1:1" ht="15.75" x14ac:dyDescent="0.25">
      <c r="A1498" s="869"/>
    </row>
    <row r="1499" spans="1:1" ht="15.75" x14ac:dyDescent="0.25">
      <c r="A1499" s="869"/>
    </row>
    <row r="1500" spans="1:1" ht="15.75" x14ac:dyDescent="0.25">
      <c r="A1500" s="869"/>
    </row>
    <row r="1501" spans="1:1" ht="15.75" x14ac:dyDescent="0.25">
      <c r="A1501" s="869"/>
    </row>
    <row r="1502" spans="1:1" ht="15.75" x14ac:dyDescent="0.25">
      <c r="A1502" s="869"/>
    </row>
    <row r="1503" spans="1:1" ht="15.75" x14ac:dyDescent="0.25">
      <c r="A1503" s="869"/>
    </row>
    <row r="1504" spans="1:1" ht="15.75" x14ac:dyDescent="0.25">
      <c r="A1504" s="869"/>
    </row>
    <row r="1505" spans="1:1" ht="15.75" x14ac:dyDescent="0.25">
      <c r="A1505" s="869"/>
    </row>
    <row r="1506" spans="1:1" ht="15.75" x14ac:dyDescent="0.25">
      <c r="A1506" s="869"/>
    </row>
    <row r="1507" spans="1:1" ht="15.75" x14ac:dyDescent="0.25">
      <c r="A1507" s="869"/>
    </row>
    <row r="1508" spans="1:1" ht="15.75" x14ac:dyDescent="0.25">
      <c r="A1508" s="869"/>
    </row>
    <row r="1509" spans="1:1" ht="15.75" x14ac:dyDescent="0.25">
      <c r="A1509" s="869"/>
    </row>
    <row r="1510" spans="1:1" ht="15.75" x14ac:dyDescent="0.25">
      <c r="A1510" s="869"/>
    </row>
    <row r="1511" spans="1:1" ht="15.75" x14ac:dyDescent="0.25">
      <c r="A1511" s="869"/>
    </row>
    <row r="1512" spans="1:1" ht="15.75" x14ac:dyDescent="0.25">
      <c r="A1512" s="869"/>
    </row>
    <row r="1513" spans="1:1" ht="15.75" x14ac:dyDescent="0.25">
      <c r="A1513" s="869"/>
    </row>
    <row r="1514" spans="1:1" ht="15.75" x14ac:dyDescent="0.25">
      <c r="A1514" s="869"/>
    </row>
    <row r="1515" spans="1:1" ht="15.75" x14ac:dyDescent="0.25">
      <c r="A1515" s="869"/>
    </row>
    <row r="1516" spans="1:1" ht="15.75" x14ac:dyDescent="0.25">
      <c r="A1516" s="869"/>
    </row>
    <row r="1517" spans="1:1" ht="15.75" x14ac:dyDescent="0.25">
      <c r="A1517" s="869"/>
    </row>
    <row r="1518" spans="1:1" ht="15.75" x14ac:dyDescent="0.25">
      <c r="A1518" s="869"/>
    </row>
    <row r="1519" spans="1:1" ht="15.75" x14ac:dyDescent="0.25">
      <c r="A1519" s="869"/>
    </row>
    <row r="1520" spans="1:1" ht="15.75" x14ac:dyDescent="0.25">
      <c r="A1520" s="869"/>
    </row>
    <row r="1521" spans="1:1" ht="15.75" x14ac:dyDescent="0.25">
      <c r="A1521" s="869"/>
    </row>
    <row r="1522" spans="1:1" ht="15.75" x14ac:dyDescent="0.25">
      <c r="A1522" s="869"/>
    </row>
    <row r="1523" spans="1:1" ht="15.75" x14ac:dyDescent="0.25">
      <c r="A1523" s="869"/>
    </row>
    <row r="1524" spans="1:1" ht="15.75" x14ac:dyDescent="0.25">
      <c r="A1524" s="869"/>
    </row>
    <row r="1525" spans="1:1" ht="15.75" x14ac:dyDescent="0.25">
      <c r="A1525" s="869"/>
    </row>
    <row r="1526" spans="1:1" ht="15.75" x14ac:dyDescent="0.25">
      <c r="A1526" s="869"/>
    </row>
    <row r="1527" spans="1:1" ht="15.75" x14ac:dyDescent="0.25">
      <c r="A1527" s="869"/>
    </row>
    <row r="1528" spans="1:1" ht="15.75" x14ac:dyDescent="0.25">
      <c r="A1528" s="869"/>
    </row>
    <row r="1529" spans="1:1" ht="15.75" x14ac:dyDescent="0.25">
      <c r="A1529" s="869"/>
    </row>
    <row r="1530" spans="1:1" ht="15.75" x14ac:dyDescent="0.25">
      <c r="A1530" s="869"/>
    </row>
    <row r="1531" spans="1:1" ht="15.75" x14ac:dyDescent="0.25">
      <c r="A1531" s="869"/>
    </row>
    <row r="1532" spans="1:1" ht="15.75" x14ac:dyDescent="0.25">
      <c r="A1532" s="869"/>
    </row>
    <row r="1533" spans="1:1" ht="15.75" x14ac:dyDescent="0.25">
      <c r="A1533" s="869"/>
    </row>
    <row r="1534" spans="1:1" ht="15.75" x14ac:dyDescent="0.25">
      <c r="A1534" s="869"/>
    </row>
    <row r="1535" spans="1:1" ht="15.75" x14ac:dyDescent="0.25">
      <c r="A1535" s="869"/>
    </row>
    <row r="1536" spans="1:1" ht="15.75" x14ac:dyDescent="0.25">
      <c r="A1536" s="869"/>
    </row>
    <row r="1537" spans="1:1" ht="15.75" x14ac:dyDescent="0.25">
      <c r="A1537" s="869"/>
    </row>
    <row r="1538" spans="1:1" ht="15.75" x14ac:dyDescent="0.25">
      <c r="A1538" s="869"/>
    </row>
    <row r="1539" spans="1:1" ht="15.75" x14ac:dyDescent="0.25">
      <c r="A1539" s="869"/>
    </row>
    <row r="1540" spans="1:1" ht="15.75" x14ac:dyDescent="0.25">
      <c r="A1540" s="869"/>
    </row>
    <row r="1541" spans="1:1" ht="15.75" x14ac:dyDescent="0.25">
      <c r="A1541" s="869"/>
    </row>
    <row r="1542" spans="1:1" ht="15.75" x14ac:dyDescent="0.25">
      <c r="A1542" s="869"/>
    </row>
    <row r="1543" spans="1:1" ht="15.75" x14ac:dyDescent="0.25">
      <c r="A1543" s="869"/>
    </row>
    <row r="1544" spans="1:1" ht="15.75" x14ac:dyDescent="0.25">
      <c r="A1544" s="869"/>
    </row>
    <row r="1545" spans="1:1" ht="15.75" x14ac:dyDescent="0.25">
      <c r="A1545" s="869"/>
    </row>
    <row r="1546" spans="1:1" ht="15.75" x14ac:dyDescent="0.25">
      <c r="A1546" s="869"/>
    </row>
    <row r="1547" spans="1:1" ht="15.75" x14ac:dyDescent="0.25">
      <c r="A1547" s="869"/>
    </row>
    <row r="1548" spans="1:1" ht="15.75" x14ac:dyDescent="0.25">
      <c r="A1548" s="869"/>
    </row>
    <row r="1549" spans="1:1" ht="15.75" x14ac:dyDescent="0.25">
      <c r="A1549" s="869"/>
    </row>
    <row r="1550" spans="1:1" ht="15.75" x14ac:dyDescent="0.25">
      <c r="A1550" s="869"/>
    </row>
    <row r="1551" spans="1:1" ht="15.75" x14ac:dyDescent="0.25">
      <c r="A1551" s="869"/>
    </row>
    <row r="1552" spans="1:1" ht="15.75" x14ac:dyDescent="0.25">
      <c r="A1552" s="869"/>
    </row>
    <row r="1553" spans="1:1" ht="15.75" x14ac:dyDescent="0.25">
      <c r="A1553" s="869"/>
    </row>
    <row r="1554" spans="1:1" ht="15.75" x14ac:dyDescent="0.25">
      <c r="A1554" s="869"/>
    </row>
    <row r="1555" spans="1:1" ht="15.75" x14ac:dyDescent="0.25">
      <c r="A1555" s="869"/>
    </row>
    <row r="1556" spans="1:1" ht="15.75" x14ac:dyDescent="0.25">
      <c r="A1556" s="869"/>
    </row>
    <row r="1557" spans="1:1" ht="15.75" x14ac:dyDescent="0.25">
      <c r="A1557" s="869"/>
    </row>
    <row r="1558" spans="1:1" ht="15.75" x14ac:dyDescent="0.25">
      <c r="A1558" s="869"/>
    </row>
    <row r="1559" spans="1:1" ht="15.75" x14ac:dyDescent="0.25">
      <c r="A1559" s="869"/>
    </row>
    <row r="1560" spans="1:1" ht="15.75" x14ac:dyDescent="0.25">
      <c r="A1560" s="869"/>
    </row>
    <row r="1561" spans="1:1" ht="15.75" x14ac:dyDescent="0.25">
      <c r="A1561" s="869"/>
    </row>
    <row r="1562" spans="1:1" ht="15.75" x14ac:dyDescent="0.25">
      <c r="A1562" s="869"/>
    </row>
    <row r="1563" spans="1:1" ht="15.75" x14ac:dyDescent="0.25">
      <c r="A1563" s="869"/>
    </row>
    <row r="1564" spans="1:1" ht="15.75" x14ac:dyDescent="0.25">
      <c r="A1564" s="869"/>
    </row>
    <row r="1565" spans="1:1" ht="15.75" x14ac:dyDescent="0.25">
      <c r="A1565" s="869"/>
    </row>
    <row r="1566" spans="1:1" ht="15.75" x14ac:dyDescent="0.25">
      <c r="A1566" s="869"/>
    </row>
    <row r="1567" spans="1:1" ht="15.75" x14ac:dyDescent="0.25">
      <c r="A1567" s="869"/>
    </row>
    <row r="1568" spans="1:1" ht="15.75" x14ac:dyDescent="0.25">
      <c r="A1568" s="869"/>
    </row>
    <row r="1569" spans="1:1" ht="15.75" x14ac:dyDescent="0.25">
      <c r="A1569" s="869"/>
    </row>
    <row r="1570" spans="1:1" ht="15.75" x14ac:dyDescent="0.25">
      <c r="A1570" s="869"/>
    </row>
    <row r="1571" spans="1:1" ht="15.75" x14ac:dyDescent="0.25">
      <c r="A1571" s="869"/>
    </row>
    <row r="1572" spans="1:1" ht="15.75" x14ac:dyDescent="0.25">
      <c r="A1572" s="869"/>
    </row>
    <row r="1573" spans="1:1" ht="15.75" x14ac:dyDescent="0.25">
      <c r="A1573" s="869"/>
    </row>
    <row r="1574" spans="1:1" ht="15.75" x14ac:dyDescent="0.25">
      <c r="A1574" s="869"/>
    </row>
    <row r="1575" spans="1:1" ht="15.75" x14ac:dyDescent="0.25">
      <c r="A1575" s="869"/>
    </row>
    <row r="1576" spans="1:1" ht="15.75" x14ac:dyDescent="0.25">
      <c r="A1576" s="869"/>
    </row>
    <row r="1577" spans="1:1" ht="15.75" x14ac:dyDescent="0.25">
      <c r="A1577" s="869"/>
    </row>
    <row r="1578" spans="1:1" ht="15.75" x14ac:dyDescent="0.25">
      <c r="A1578" s="869"/>
    </row>
    <row r="1579" spans="1:1" ht="15.75" x14ac:dyDescent="0.25">
      <c r="A1579" s="869"/>
    </row>
    <row r="1580" spans="1:1" ht="15.75" x14ac:dyDescent="0.25">
      <c r="A1580" s="869"/>
    </row>
    <row r="1581" spans="1:1" ht="15.75" x14ac:dyDescent="0.25">
      <c r="A1581" s="869"/>
    </row>
    <row r="1582" spans="1:1" ht="15.75" x14ac:dyDescent="0.25">
      <c r="A1582" s="869"/>
    </row>
    <row r="1583" spans="1:1" ht="15.75" x14ac:dyDescent="0.25">
      <c r="A1583" s="869"/>
    </row>
    <row r="1584" spans="1:1" ht="15.75" x14ac:dyDescent="0.25">
      <c r="A1584" s="869"/>
    </row>
    <row r="1585" spans="1:1" ht="15.75" x14ac:dyDescent="0.25">
      <c r="A1585" s="869"/>
    </row>
    <row r="1586" spans="1:1" ht="15.75" x14ac:dyDescent="0.25">
      <c r="A1586" s="869"/>
    </row>
    <row r="1587" spans="1:1" ht="15.75" x14ac:dyDescent="0.25">
      <c r="A1587" s="869"/>
    </row>
    <row r="1588" spans="1:1" ht="15.75" x14ac:dyDescent="0.25">
      <c r="A1588" s="869"/>
    </row>
    <row r="1589" spans="1:1" ht="15.75" x14ac:dyDescent="0.25">
      <c r="A1589" s="869"/>
    </row>
    <row r="1590" spans="1:1" ht="15.75" x14ac:dyDescent="0.25">
      <c r="A1590" s="869"/>
    </row>
    <row r="1591" spans="1:1" ht="15.75" x14ac:dyDescent="0.25">
      <c r="A1591" s="869"/>
    </row>
    <row r="1592" spans="1:1" ht="15.75" x14ac:dyDescent="0.25">
      <c r="A1592" s="869"/>
    </row>
    <row r="1593" spans="1:1" ht="15.75" x14ac:dyDescent="0.25">
      <c r="A1593" s="869"/>
    </row>
    <row r="1594" spans="1:1" ht="15.75" x14ac:dyDescent="0.25">
      <c r="A1594" s="869"/>
    </row>
    <row r="1595" spans="1:1" ht="15.75" x14ac:dyDescent="0.25">
      <c r="A1595" s="869"/>
    </row>
    <row r="1596" spans="1:1" ht="15.75" x14ac:dyDescent="0.25">
      <c r="A1596" s="869"/>
    </row>
    <row r="1597" spans="1:1" ht="15.75" x14ac:dyDescent="0.25">
      <c r="A1597" s="869"/>
    </row>
    <row r="1598" spans="1:1" ht="15.75" x14ac:dyDescent="0.25">
      <c r="A1598" s="869"/>
    </row>
    <row r="1599" spans="1:1" ht="15.75" x14ac:dyDescent="0.25">
      <c r="A1599" s="869"/>
    </row>
    <row r="1600" spans="1:1" ht="15.75" x14ac:dyDescent="0.25">
      <c r="A1600" s="869"/>
    </row>
    <row r="1601" spans="1:1" ht="15.75" x14ac:dyDescent="0.25">
      <c r="A1601" s="869"/>
    </row>
    <row r="1602" spans="1:1" ht="15.75" x14ac:dyDescent="0.25">
      <c r="A1602" s="869"/>
    </row>
    <row r="1603" spans="1:1" ht="15.75" x14ac:dyDescent="0.25">
      <c r="A1603" s="869"/>
    </row>
    <row r="1604" spans="1:1" ht="15.75" x14ac:dyDescent="0.25">
      <c r="A1604" s="869"/>
    </row>
    <row r="1605" spans="1:1" ht="15.75" x14ac:dyDescent="0.25">
      <c r="A1605" s="869"/>
    </row>
    <row r="1606" spans="1:1" ht="15.75" x14ac:dyDescent="0.25">
      <c r="A1606" s="869"/>
    </row>
    <row r="1607" spans="1:1" ht="15.75" x14ac:dyDescent="0.25">
      <c r="A1607" s="869"/>
    </row>
    <row r="1608" spans="1:1" ht="15.75" x14ac:dyDescent="0.25">
      <c r="A1608" s="869"/>
    </row>
    <row r="1609" spans="1:1" ht="15.75" x14ac:dyDescent="0.25">
      <c r="A1609" s="869"/>
    </row>
    <row r="1610" spans="1:1" ht="15.75" x14ac:dyDescent="0.25">
      <c r="A1610" s="869"/>
    </row>
    <row r="1611" spans="1:1" ht="15.75" x14ac:dyDescent="0.25">
      <c r="A1611" s="869"/>
    </row>
    <row r="1612" spans="1:1" ht="15.75" x14ac:dyDescent="0.25">
      <c r="A1612" s="869"/>
    </row>
    <row r="1613" spans="1:1" ht="15.75" x14ac:dyDescent="0.25">
      <c r="A1613" s="869"/>
    </row>
    <row r="1614" spans="1:1" ht="15.75" x14ac:dyDescent="0.25">
      <c r="A1614" s="869"/>
    </row>
    <row r="1615" spans="1:1" ht="15.75" x14ac:dyDescent="0.25">
      <c r="A1615" s="869"/>
    </row>
    <row r="1616" spans="1:1" ht="15.75" x14ac:dyDescent="0.25">
      <c r="A1616" s="869"/>
    </row>
    <row r="1617" spans="1:1" ht="15.75" x14ac:dyDescent="0.25">
      <c r="A1617" s="869"/>
    </row>
    <row r="1618" spans="1:1" ht="15.75" x14ac:dyDescent="0.25">
      <c r="A1618" s="869"/>
    </row>
    <row r="1619" spans="1:1" ht="15.75" x14ac:dyDescent="0.25">
      <c r="A1619" s="869"/>
    </row>
    <row r="1620" spans="1:1" ht="15.75" x14ac:dyDescent="0.25">
      <c r="A1620" s="869"/>
    </row>
    <row r="1621" spans="1:1" ht="15.75" x14ac:dyDescent="0.25">
      <c r="A1621" s="869"/>
    </row>
    <row r="1622" spans="1:1" ht="15.75" x14ac:dyDescent="0.25">
      <c r="A1622" s="869"/>
    </row>
    <row r="1623" spans="1:1" ht="15.75" x14ac:dyDescent="0.25">
      <c r="A1623" s="869"/>
    </row>
    <row r="1624" spans="1:1" ht="15.75" x14ac:dyDescent="0.25">
      <c r="A1624" s="869"/>
    </row>
    <row r="1625" spans="1:1" ht="15.75" x14ac:dyDescent="0.25">
      <c r="A1625" s="869"/>
    </row>
    <row r="1626" spans="1:1" ht="15.75" x14ac:dyDescent="0.25">
      <c r="A1626" s="869"/>
    </row>
    <row r="1627" spans="1:1" ht="15.75" x14ac:dyDescent="0.25">
      <c r="A1627" s="869"/>
    </row>
    <row r="1628" spans="1:1" ht="15.75" x14ac:dyDescent="0.25">
      <c r="A1628" s="869"/>
    </row>
    <row r="1629" spans="1:1" ht="15.75" x14ac:dyDescent="0.25">
      <c r="A1629" s="869"/>
    </row>
    <row r="1630" spans="1:1" ht="15.75" x14ac:dyDescent="0.25">
      <c r="A1630" s="869"/>
    </row>
    <row r="1631" spans="1:1" ht="15.75" x14ac:dyDescent="0.25">
      <c r="A1631" s="869"/>
    </row>
    <row r="1632" spans="1:1" ht="15.75" x14ac:dyDescent="0.25">
      <c r="A1632" s="869"/>
    </row>
    <row r="1633" spans="1:1" ht="15.75" x14ac:dyDescent="0.25">
      <c r="A1633" s="869"/>
    </row>
    <row r="1634" spans="1:1" ht="15.75" x14ac:dyDescent="0.25">
      <c r="A1634" s="869"/>
    </row>
    <row r="1635" spans="1:1" ht="15.75" x14ac:dyDescent="0.25">
      <c r="A1635" s="869"/>
    </row>
    <row r="1636" spans="1:1" ht="15.75" x14ac:dyDescent="0.25">
      <c r="A1636" s="869"/>
    </row>
    <row r="1637" spans="1:1" ht="15.75" x14ac:dyDescent="0.25">
      <c r="A1637" s="869"/>
    </row>
    <row r="1638" spans="1:1" ht="15.75" x14ac:dyDescent="0.25">
      <c r="A1638" s="869"/>
    </row>
    <row r="1639" spans="1:1" ht="15.75" x14ac:dyDescent="0.25">
      <c r="A1639" s="869"/>
    </row>
    <row r="1640" spans="1:1" ht="15.75" x14ac:dyDescent="0.25">
      <c r="A1640" s="869"/>
    </row>
    <row r="1641" spans="1:1" ht="15.75" x14ac:dyDescent="0.25">
      <c r="A1641" s="869"/>
    </row>
    <row r="1642" spans="1:1" ht="15.75" x14ac:dyDescent="0.25">
      <c r="A1642" s="869"/>
    </row>
    <row r="1643" spans="1:1" ht="15.75" x14ac:dyDescent="0.25">
      <c r="A1643" s="869"/>
    </row>
    <row r="1644" spans="1:1" ht="15.75" x14ac:dyDescent="0.25">
      <c r="A1644" s="869"/>
    </row>
    <row r="1645" spans="1:1" ht="15.75" x14ac:dyDescent="0.25">
      <c r="A1645" s="869"/>
    </row>
    <row r="1646" spans="1:1" ht="15.75" x14ac:dyDescent="0.25">
      <c r="A1646" s="869"/>
    </row>
    <row r="1647" spans="1:1" ht="15.75" x14ac:dyDescent="0.25">
      <c r="A1647" s="869"/>
    </row>
    <row r="1648" spans="1:1" ht="15.75" x14ac:dyDescent="0.25">
      <c r="A1648" s="869"/>
    </row>
    <row r="1649" spans="1:1" ht="15.75" x14ac:dyDescent="0.25">
      <c r="A1649" s="869"/>
    </row>
    <row r="1650" spans="1:1" ht="15.75" x14ac:dyDescent="0.25">
      <c r="A1650" s="869"/>
    </row>
    <row r="1651" spans="1:1" ht="15.75" x14ac:dyDescent="0.25">
      <c r="A1651" s="869"/>
    </row>
    <row r="1652" spans="1:1" ht="15.75" x14ac:dyDescent="0.25">
      <c r="A1652" s="869"/>
    </row>
    <row r="1653" spans="1:1" ht="15.75" x14ac:dyDescent="0.25">
      <c r="A1653" s="869"/>
    </row>
    <row r="1654" spans="1:1" ht="15.75" x14ac:dyDescent="0.25">
      <c r="A1654" s="869"/>
    </row>
    <row r="1655" spans="1:1" ht="15.75" x14ac:dyDescent="0.25">
      <c r="A1655" s="869"/>
    </row>
    <row r="1656" spans="1:1" ht="15.75" x14ac:dyDescent="0.25">
      <c r="A1656" s="869"/>
    </row>
    <row r="1657" spans="1:1" ht="15.75" x14ac:dyDescent="0.25">
      <c r="A1657" s="869"/>
    </row>
    <row r="1658" spans="1:1" ht="15.75" x14ac:dyDescent="0.25">
      <c r="A1658" s="869"/>
    </row>
    <row r="1659" spans="1:1" ht="15.75" x14ac:dyDescent="0.25">
      <c r="A1659" s="869"/>
    </row>
    <row r="1660" spans="1:1" ht="15.75" x14ac:dyDescent="0.25">
      <c r="A1660" s="869"/>
    </row>
    <row r="1661" spans="1:1" ht="15.75" x14ac:dyDescent="0.25">
      <c r="A1661" s="869"/>
    </row>
    <row r="1662" spans="1:1" ht="15.75" x14ac:dyDescent="0.25">
      <c r="A1662" s="869"/>
    </row>
    <row r="1663" spans="1:1" ht="15.75" x14ac:dyDescent="0.25">
      <c r="A1663" s="869"/>
    </row>
    <row r="1664" spans="1:1" ht="15.75" x14ac:dyDescent="0.25">
      <c r="A1664" s="869"/>
    </row>
    <row r="1665" spans="1:1" ht="15.75" x14ac:dyDescent="0.25">
      <c r="A1665" s="869"/>
    </row>
    <row r="1666" spans="1:1" ht="15.75" x14ac:dyDescent="0.25">
      <c r="A1666" s="869"/>
    </row>
    <row r="1667" spans="1:1" ht="15.75" x14ac:dyDescent="0.25">
      <c r="A1667" s="869"/>
    </row>
    <row r="1668" spans="1:1" ht="15.75" x14ac:dyDescent="0.25">
      <c r="A1668" s="869"/>
    </row>
    <row r="1669" spans="1:1" ht="15.75" x14ac:dyDescent="0.25">
      <c r="A1669" s="869"/>
    </row>
    <row r="1670" spans="1:1" ht="15.75" x14ac:dyDescent="0.25">
      <c r="A1670" s="869"/>
    </row>
    <row r="1671" spans="1:1" ht="15.75" x14ac:dyDescent="0.25">
      <c r="A1671" s="869"/>
    </row>
    <row r="1672" spans="1:1" ht="15.75" x14ac:dyDescent="0.25">
      <c r="A1672" s="869"/>
    </row>
    <row r="1673" spans="1:1" ht="15.75" x14ac:dyDescent="0.25">
      <c r="A1673" s="869"/>
    </row>
    <row r="1674" spans="1:1" ht="15.75" x14ac:dyDescent="0.25">
      <c r="A1674" s="869"/>
    </row>
    <row r="1675" spans="1:1" ht="15.75" x14ac:dyDescent="0.25">
      <c r="A1675" s="869"/>
    </row>
    <row r="1676" spans="1:1" ht="15.75" x14ac:dyDescent="0.25">
      <c r="A1676" s="869"/>
    </row>
    <row r="1677" spans="1:1" ht="15.75" x14ac:dyDescent="0.25">
      <c r="A1677" s="869"/>
    </row>
    <row r="1678" spans="1:1" ht="15.75" x14ac:dyDescent="0.25">
      <c r="A1678" s="869"/>
    </row>
    <row r="1679" spans="1:1" ht="15.75" x14ac:dyDescent="0.25">
      <c r="A1679" s="869"/>
    </row>
    <row r="1680" spans="1:1" ht="15.75" x14ac:dyDescent="0.25">
      <c r="A1680" s="869"/>
    </row>
    <row r="1681" spans="1:1" ht="15.75" x14ac:dyDescent="0.25">
      <c r="A1681" s="869"/>
    </row>
    <row r="1682" spans="1:1" ht="15.75" x14ac:dyDescent="0.25">
      <c r="A1682" s="869"/>
    </row>
    <row r="1683" spans="1:1" ht="15.75" x14ac:dyDescent="0.25">
      <c r="A1683" s="869"/>
    </row>
    <row r="1684" spans="1:1" ht="15.75" x14ac:dyDescent="0.25">
      <c r="A1684" s="869"/>
    </row>
    <row r="1685" spans="1:1" ht="15.75" x14ac:dyDescent="0.25">
      <c r="A1685" s="869"/>
    </row>
    <row r="1686" spans="1:1" ht="15.75" x14ac:dyDescent="0.25">
      <c r="A1686" s="869"/>
    </row>
    <row r="1687" spans="1:1" ht="15.75" x14ac:dyDescent="0.25">
      <c r="A1687" s="869"/>
    </row>
    <row r="1688" spans="1:1" ht="15.75" x14ac:dyDescent="0.25">
      <c r="A1688" s="869"/>
    </row>
    <row r="1689" spans="1:1" ht="15.75" x14ac:dyDescent="0.25">
      <c r="A1689" s="869"/>
    </row>
    <row r="1690" spans="1:1" ht="15.75" x14ac:dyDescent="0.25">
      <c r="A1690" s="869"/>
    </row>
    <row r="1691" spans="1:1" ht="15.75" x14ac:dyDescent="0.25">
      <c r="A1691" s="869"/>
    </row>
    <row r="1692" spans="1:1" ht="15.75" x14ac:dyDescent="0.25">
      <c r="A1692" s="869"/>
    </row>
    <row r="1693" spans="1:1" ht="15.75" x14ac:dyDescent="0.25">
      <c r="A1693" s="869"/>
    </row>
    <row r="1694" spans="1:1" ht="15.75" x14ac:dyDescent="0.25">
      <c r="A1694" s="869"/>
    </row>
    <row r="1695" spans="1:1" ht="15.75" x14ac:dyDescent="0.25">
      <c r="A1695" s="869"/>
    </row>
    <row r="1696" spans="1:1" ht="15.75" x14ac:dyDescent="0.25">
      <c r="A1696" s="869"/>
    </row>
    <row r="1697" spans="1:1" ht="15.75" x14ac:dyDescent="0.25">
      <c r="A1697" s="869"/>
    </row>
    <row r="1698" spans="1:1" ht="15.75" x14ac:dyDescent="0.25">
      <c r="A1698" s="869"/>
    </row>
    <row r="1699" spans="1:1" ht="15.75" x14ac:dyDescent="0.25">
      <c r="A1699" s="869"/>
    </row>
    <row r="1700" spans="1:1" ht="15.75" x14ac:dyDescent="0.25">
      <c r="A1700" s="869"/>
    </row>
    <row r="1701" spans="1:1" ht="15.75" x14ac:dyDescent="0.25">
      <c r="A1701" s="869"/>
    </row>
    <row r="1702" spans="1:1" ht="15.75" x14ac:dyDescent="0.25">
      <c r="A1702" s="869"/>
    </row>
    <row r="1703" spans="1:1" ht="15.75" x14ac:dyDescent="0.25">
      <c r="A1703" s="869"/>
    </row>
    <row r="1704" spans="1:1" ht="15.75" x14ac:dyDescent="0.25">
      <c r="A1704" s="869"/>
    </row>
    <row r="1705" spans="1:1" ht="15.75" x14ac:dyDescent="0.25">
      <c r="A1705" s="869"/>
    </row>
    <row r="1706" spans="1:1" ht="15.75" x14ac:dyDescent="0.25">
      <c r="A1706" s="869"/>
    </row>
    <row r="1707" spans="1:1" ht="15.75" x14ac:dyDescent="0.25">
      <c r="A1707" s="869"/>
    </row>
    <row r="1708" spans="1:1" ht="15.75" x14ac:dyDescent="0.25">
      <c r="A1708" s="869"/>
    </row>
    <row r="1709" spans="1:1" ht="15.75" x14ac:dyDescent="0.25">
      <c r="A1709" s="869"/>
    </row>
    <row r="1710" spans="1:1" ht="15.75" x14ac:dyDescent="0.25">
      <c r="A1710" s="869"/>
    </row>
    <row r="1711" spans="1:1" ht="15.75" x14ac:dyDescent="0.25">
      <c r="A1711" s="869"/>
    </row>
    <row r="1712" spans="1:1" ht="15.75" x14ac:dyDescent="0.25">
      <c r="A1712" s="869"/>
    </row>
    <row r="1713" spans="1:1" ht="15.75" x14ac:dyDescent="0.25">
      <c r="A1713" s="869"/>
    </row>
    <row r="1714" spans="1:1" ht="15.75" x14ac:dyDescent="0.25">
      <c r="A1714" s="869"/>
    </row>
    <row r="1715" spans="1:1" ht="15.75" x14ac:dyDescent="0.25">
      <c r="A1715" s="869"/>
    </row>
    <row r="1716" spans="1:1" ht="15.75" x14ac:dyDescent="0.25">
      <c r="A1716" s="869"/>
    </row>
    <row r="1717" spans="1:1" ht="15.75" x14ac:dyDescent="0.25">
      <c r="A1717" s="869"/>
    </row>
    <row r="1718" spans="1:1" ht="15.75" x14ac:dyDescent="0.25">
      <c r="A1718" s="869"/>
    </row>
    <row r="1719" spans="1:1" ht="15.75" x14ac:dyDescent="0.25">
      <c r="A1719" s="869"/>
    </row>
    <row r="1720" spans="1:1" ht="15.75" x14ac:dyDescent="0.25">
      <c r="A1720" s="869"/>
    </row>
    <row r="1721" spans="1:1" ht="15.75" x14ac:dyDescent="0.25">
      <c r="A1721" s="869"/>
    </row>
    <row r="1722" spans="1:1" ht="15.75" x14ac:dyDescent="0.25">
      <c r="A1722" s="869"/>
    </row>
    <row r="1723" spans="1:1" ht="15.75" x14ac:dyDescent="0.25">
      <c r="A1723" s="869"/>
    </row>
    <row r="1724" spans="1:1" ht="15.75" x14ac:dyDescent="0.25">
      <c r="A1724" s="869"/>
    </row>
    <row r="1725" spans="1:1" ht="15.75" x14ac:dyDescent="0.25">
      <c r="A1725" s="869"/>
    </row>
    <row r="1726" spans="1:1" ht="15.75" x14ac:dyDescent="0.25">
      <c r="A1726" s="869"/>
    </row>
    <row r="1727" spans="1:1" ht="15.75" x14ac:dyDescent="0.25">
      <c r="A1727" s="869"/>
    </row>
    <row r="1728" spans="1:1" ht="15.75" x14ac:dyDescent="0.25">
      <c r="A1728" s="869"/>
    </row>
    <row r="1729" spans="1:1" ht="15.75" x14ac:dyDescent="0.25">
      <c r="A1729" s="869"/>
    </row>
    <row r="1730" spans="1:1" ht="15.75" x14ac:dyDescent="0.25">
      <c r="A1730" s="869"/>
    </row>
    <row r="1731" spans="1:1" ht="15.75" x14ac:dyDescent="0.25">
      <c r="A1731" s="869"/>
    </row>
    <row r="1732" spans="1:1" ht="15.75" x14ac:dyDescent="0.25">
      <c r="A1732" s="869"/>
    </row>
    <row r="1733" spans="1:1" ht="15.75" x14ac:dyDescent="0.25">
      <c r="A1733" s="869"/>
    </row>
    <row r="1734" spans="1:1" ht="15.75" x14ac:dyDescent="0.25">
      <c r="A1734" s="869"/>
    </row>
    <row r="1735" spans="1:1" ht="15.75" x14ac:dyDescent="0.25">
      <c r="A1735" s="869"/>
    </row>
    <row r="1736" spans="1:1" ht="15.75" x14ac:dyDescent="0.25">
      <c r="A1736" s="869"/>
    </row>
    <row r="1737" spans="1:1" ht="15.75" x14ac:dyDescent="0.25">
      <c r="A1737" s="869"/>
    </row>
    <row r="1738" spans="1:1" ht="15.75" x14ac:dyDescent="0.25">
      <c r="A1738" s="869"/>
    </row>
    <row r="1739" spans="1:1" ht="15.75" x14ac:dyDescent="0.25">
      <c r="A1739" s="869"/>
    </row>
    <row r="1740" spans="1:1" ht="15.75" x14ac:dyDescent="0.25">
      <c r="A1740" s="869"/>
    </row>
    <row r="1741" spans="1:1" ht="15.75" x14ac:dyDescent="0.25">
      <c r="A1741" s="869"/>
    </row>
    <row r="1742" spans="1:1" ht="15.75" x14ac:dyDescent="0.25">
      <c r="A1742" s="869"/>
    </row>
    <row r="1743" spans="1:1" ht="15.75" x14ac:dyDescent="0.25">
      <c r="A1743" s="869"/>
    </row>
    <row r="1744" spans="1:1" ht="15.75" x14ac:dyDescent="0.25">
      <c r="A1744" s="869"/>
    </row>
    <row r="1745" spans="1:1" ht="15.75" x14ac:dyDescent="0.25">
      <c r="A1745" s="869"/>
    </row>
    <row r="1746" spans="1:1" ht="15.75" x14ac:dyDescent="0.25">
      <c r="A1746" s="869"/>
    </row>
    <row r="1747" spans="1:1" ht="15.75" x14ac:dyDescent="0.25">
      <c r="A1747" s="869"/>
    </row>
    <row r="1748" spans="1:1" ht="15.75" x14ac:dyDescent="0.25">
      <c r="A1748" s="869"/>
    </row>
    <row r="1749" spans="1:1" ht="15.75" x14ac:dyDescent="0.25">
      <c r="A1749" s="869"/>
    </row>
    <row r="1750" spans="1:1" ht="15.75" x14ac:dyDescent="0.25">
      <c r="A1750" s="869"/>
    </row>
    <row r="1751" spans="1:1" ht="15.75" x14ac:dyDescent="0.25">
      <c r="A1751" s="869"/>
    </row>
    <row r="1752" spans="1:1" ht="15.75" x14ac:dyDescent="0.25">
      <c r="A1752" s="869"/>
    </row>
    <row r="1753" spans="1:1" ht="15.75" x14ac:dyDescent="0.25">
      <c r="A1753" s="869"/>
    </row>
    <row r="1754" spans="1:1" ht="15.75" x14ac:dyDescent="0.25">
      <c r="A1754" s="869"/>
    </row>
    <row r="1755" spans="1:1" ht="15.75" x14ac:dyDescent="0.25">
      <c r="A1755" s="869"/>
    </row>
    <row r="1756" spans="1:1" ht="15.75" x14ac:dyDescent="0.25">
      <c r="A1756" s="869"/>
    </row>
    <row r="1757" spans="1:1" ht="15.75" x14ac:dyDescent="0.25">
      <c r="A1757" s="869"/>
    </row>
    <row r="1758" spans="1:1" ht="15.75" x14ac:dyDescent="0.25">
      <c r="A1758" s="869"/>
    </row>
    <row r="1759" spans="1:1" ht="15.75" x14ac:dyDescent="0.25">
      <c r="A1759" s="869"/>
    </row>
    <row r="1760" spans="1:1" ht="15.75" x14ac:dyDescent="0.25">
      <c r="A1760" s="869"/>
    </row>
    <row r="1761" spans="1:1" ht="15.75" x14ac:dyDescent="0.25">
      <c r="A1761" s="869"/>
    </row>
    <row r="1762" spans="1:1" ht="15.75" x14ac:dyDescent="0.25">
      <c r="A1762" s="869"/>
    </row>
    <row r="1763" spans="1:1" ht="15.75" x14ac:dyDescent="0.25">
      <c r="A1763" s="869"/>
    </row>
    <row r="1764" spans="1:1" ht="15.75" x14ac:dyDescent="0.25">
      <c r="A1764" s="869"/>
    </row>
    <row r="1765" spans="1:1" ht="15.75" x14ac:dyDescent="0.25">
      <c r="A1765" s="869"/>
    </row>
    <row r="1766" spans="1:1" ht="15.75" x14ac:dyDescent="0.25">
      <c r="A1766" s="869"/>
    </row>
    <row r="1767" spans="1:1" ht="15.75" x14ac:dyDescent="0.25">
      <c r="A1767" s="869"/>
    </row>
    <row r="1768" spans="1:1" ht="15.75" x14ac:dyDescent="0.25">
      <c r="A1768" s="869"/>
    </row>
    <row r="1769" spans="1:1" ht="15.75" x14ac:dyDescent="0.25">
      <c r="A1769" s="869"/>
    </row>
    <row r="1770" spans="1:1" ht="15.75" x14ac:dyDescent="0.25">
      <c r="A1770" s="869"/>
    </row>
    <row r="1771" spans="1:1" ht="15.75" x14ac:dyDescent="0.25">
      <c r="A1771" s="869"/>
    </row>
    <row r="1772" spans="1:1" ht="15.75" x14ac:dyDescent="0.25">
      <c r="A1772" s="869"/>
    </row>
    <row r="1773" spans="1:1" ht="15.75" x14ac:dyDescent="0.25">
      <c r="A1773" s="869"/>
    </row>
    <row r="1774" spans="1:1" ht="15.75" x14ac:dyDescent="0.25">
      <c r="A1774" s="869"/>
    </row>
    <row r="1775" spans="1:1" ht="15.75" x14ac:dyDescent="0.25">
      <c r="A1775" s="869"/>
    </row>
    <row r="1776" spans="1:1" ht="15.75" x14ac:dyDescent="0.25">
      <c r="A1776" s="869"/>
    </row>
    <row r="1777" spans="1:1" ht="15.75" x14ac:dyDescent="0.25">
      <c r="A1777" s="869"/>
    </row>
    <row r="1778" spans="1:1" ht="15.75" x14ac:dyDescent="0.25">
      <c r="A1778" s="869"/>
    </row>
    <row r="1779" spans="1:1" ht="15.75" x14ac:dyDescent="0.25">
      <c r="A1779" s="869"/>
    </row>
    <row r="1780" spans="1:1" ht="15.75" x14ac:dyDescent="0.25">
      <c r="A1780" s="869"/>
    </row>
    <row r="1781" spans="1:1" ht="15.75" x14ac:dyDescent="0.25">
      <c r="A1781" s="869"/>
    </row>
    <row r="1782" spans="1:1" ht="15.75" x14ac:dyDescent="0.25">
      <c r="A1782" s="869"/>
    </row>
    <row r="1783" spans="1:1" ht="15.75" x14ac:dyDescent="0.25">
      <c r="A1783" s="869"/>
    </row>
    <row r="1784" spans="1:1" ht="15.75" x14ac:dyDescent="0.25">
      <c r="A1784" s="869"/>
    </row>
    <row r="1785" spans="1:1" ht="15.75" x14ac:dyDescent="0.25">
      <c r="A1785" s="869"/>
    </row>
    <row r="1786" spans="1:1" ht="15.75" x14ac:dyDescent="0.25">
      <c r="A1786" s="869"/>
    </row>
    <row r="1787" spans="1:1" ht="15.75" x14ac:dyDescent="0.25">
      <c r="A1787" s="869"/>
    </row>
    <row r="1788" spans="1:1" ht="15.75" x14ac:dyDescent="0.25">
      <c r="A1788" s="869"/>
    </row>
    <row r="1789" spans="1:1" ht="15.75" x14ac:dyDescent="0.25">
      <c r="A1789" s="869"/>
    </row>
    <row r="1790" spans="1:1" ht="15.75" x14ac:dyDescent="0.25">
      <c r="A1790" s="869"/>
    </row>
    <row r="1791" spans="1:1" ht="15.75" x14ac:dyDescent="0.25">
      <c r="A1791" s="869"/>
    </row>
    <row r="1792" spans="1:1" ht="15.75" x14ac:dyDescent="0.25">
      <c r="A1792" s="869"/>
    </row>
    <row r="1793" spans="1:1" ht="15.75" x14ac:dyDescent="0.25">
      <c r="A1793" s="869"/>
    </row>
    <row r="1794" spans="1:1" ht="15.75" x14ac:dyDescent="0.25">
      <c r="A1794" s="869"/>
    </row>
    <row r="1795" spans="1:1" ht="15.75" x14ac:dyDescent="0.25">
      <c r="A1795" s="869"/>
    </row>
    <row r="1796" spans="1:1" ht="15.75" x14ac:dyDescent="0.25">
      <c r="A1796" s="869"/>
    </row>
    <row r="1797" spans="1:1" ht="15.75" x14ac:dyDescent="0.25">
      <c r="A1797" s="869"/>
    </row>
    <row r="1798" spans="1:1" ht="15.75" x14ac:dyDescent="0.25">
      <c r="A1798" s="869"/>
    </row>
    <row r="1799" spans="1:1" ht="15.75" x14ac:dyDescent="0.25">
      <c r="A1799" s="869"/>
    </row>
    <row r="1800" spans="1:1" ht="15.75" x14ac:dyDescent="0.25">
      <c r="A1800" s="869"/>
    </row>
    <row r="1801" spans="1:1" ht="15.75" x14ac:dyDescent="0.25">
      <c r="A1801" s="869"/>
    </row>
    <row r="1802" spans="1:1" ht="15.75" x14ac:dyDescent="0.25">
      <c r="A1802" s="869"/>
    </row>
    <row r="1803" spans="1:1" ht="15.75" x14ac:dyDescent="0.25">
      <c r="A1803" s="869"/>
    </row>
    <row r="1804" spans="1:1" ht="15.75" x14ac:dyDescent="0.25">
      <c r="A1804" s="869"/>
    </row>
    <row r="1805" spans="1:1" ht="15.75" x14ac:dyDescent="0.25">
      <c r="A1805" s="869"/>
    </row>
    <row r="1806" spans="1:1" ht="15.75" x14ac:dyDescent="0.25">
      <c r="A1806" s="869"/>
    </row>
    <row r="1807" spans="1:1" ht="15.75" x14ac:dyDescent="0.25">
      <c r="A1807" s="869"/>
    </row>
    <row r="1808" spans="1:1" ht="15.75" x14ac:dyDescent="0.25">
      <c r="A1808" s="869"/>
    </row>
    <row r="1809" spans="1:1" ht="15.75" x14ac:dyDescent="0.25">
      <c r="A1809" s="869"/>
    </row>
    <row r="1810" spans="1:1" ht="15.75" x14ac:dyDescent="0.25">
      <c r="A1810" s="869"/>
    </row>
    <row r="1811" spans="1:1" ht="15.75" x14ac:dyDescent="0.25">
      <c r="A1811" s="869"/>
    </row>
    <row r="1812" spans="1:1" ht="15.75" x14ac:dyDescent="0.25">
      <c r="A1812" s="869"/>
    </row>
    <row r="1813" spans="1:1" ht="15.75" x14ac:dyDescent="0.25">
      <c r="A1813" s="869"/>
    </row>
    <row r="1814" spans="1:1" ht="15.75" x14ac:dyDescent="0.25">
      <c r="A1814" s="869"/>
    </row>
    <row r="1815" spans="1:1" ht="15.75" x14ac:dyDescent="0.25">
      <c r="A1815" s="869"/>
    </row>
    <row r="1816" spans="1:1" ht="15.75" x14ac:dyDescent="0.25">
      <c r="A1816" s="869"/>
    </row>
    <row r="1817" spans="1:1" ht="15.75" x14ac:dyDescent="0.25">
      <c r="A1817" s="869"/>
    </row>
    <row r="1818" spans="1:1" ht="15.75" x14ac:dyDescent="0.25">
      <c r="A1818" s="869"/>
    </row>
    <row r="1819" spans="1:1" ht="15.75" x14ac:dyDescent="0.25">
      <c r="A1819" s="869"/>
    </row>
    <row r="1820" spans="1:1" ht="15.75" x14ac:dyDescent="0.25">
      <c r="A1820" s="869"/>
    </row>
    <row r="1821" spans="1:1" ht="15.75" x14ac:dyDescent="0.25">
      <c r="A1821" s="869"/>
    </row>
    <row r="1822" spans="1:1" ht="15.75" x14ac:dyDescent="0.25">
      <c r="A1822" s="869"/>
    </row>
    <row r="1823" spans="1:1" ht="15.75" x14ac:dyDescent="0.25">
      <c r="A1823" s="869"/>
    </row>
    <row r="1824" spans="1:1" ht="15.75" x14ac:dyDescent="0.25">
      <c r="A1824" s="869"/>
    </row>
    <row r="1825" spans="1:1" ht="15.75" x14ac:dyDescent="0.25">
      <c r="A1825" s="869"/>
    </row>
    <row r="1826" spans="1:1" ht="15.75" x14ac:dyDescent="0.25">
      <c r="A1826" s="869"/>
    </row>
    <row r="1827" spans="1:1" ht="15.75" x14ac:dyDescent="0.25">
      <c r="A1827" s="869"/>
    </row>
    <row r="1828" spans="1:1" ht="15.75" x14ac:dyDescent="0.25">
      <c r="A1828" s="869"/>
    </row>
    <row r="1829" spans="1:1" ht="15.75" x14ac:dyDescent="0.25">
      <c r="A1829" s="869"/>
    </row>
    <row r="1830" spans="1:1" ht="15.75" x14ac:dyDescent="0.25">
      <c r="A1830" s="869"/>
    </row>
    <row r="1831" spans="1:1" ht="15.75" x14ac:dyDescent="0.25">
      <c r="A1831" s="869"/>
    </row>
    <row r="1832" spans="1:1" ht="15.75" x14ac:dyDescent="0.25">
      <c r="A1832" s="869"/>
    </row>
    <row r="1833" spans="1:1" ht="15.75" x14ac:dyDescent="0.25">
      <c r="A1833" s="869"/>
    </row>
    <row r="1834" spans="1:1" ht="15.75" x14ac:dyDescent="0.25">
      <c r="A1834" s="869"/>
    </row>
    <row r="1835" spans="1:1" ht="15.75" x14ac:dyDescent="0.25">
      <c r="A1835" s="869"/>
    </row>
    <row r="1836" spans="1:1" ht="15.75" x14ac:dyDescent="0.25">
      <c r="A1836" s="869"/>
    </row>
    <row r="1837" spans="1:1" ht="15.75" x14ac:dyDescent="0.25">
      <c r="A1837" s="869"/>
    </row>
    <row r="1838" spans="1:1" ht="15.75" x14ac:dyDescent="0.25">
      <c r="A1838" s="869"/>
    </row>
    <row r="1839" spans="1:1" ht="15.75" x14ac:dyDescent="0.25">
      <c r="A1839" s="869"/>
    </row>
    <row r="1840" spans="1:1" ht="15.75" x14ac:dyDescent="0.25">
      <c r="A1840" s="869"/>
    </row>
    <row r="1841" spans="1:1" ht="15.75" x14ac:dyDescent="0.25">
      <c r="A1841" s="869"/>
    </row>
    <row r="1842" spans="1:1" ht="15.75" x14ac:dyDescent="0.25">
      <c r="A1842" s="869"/>
    </row>
    <row r="1843" spans="1:1" ht="15.75" x14ac:dyDescent="0.25">
      <c r="A1843" s="869"/>
    </row>
    <row r="1844" spans="1:1" ht="15.75" x14ac:dyDescent="0.25">
      <c r="A1844" s="869"/>
    </row>
    <row r="1845" spans="1:1" ht="15.75" x14ac:dyDescent="0.25">
      <c r="A1845" s="869"/>
    </row>
    <row r="1846" spans="1:1" ht="15.75" x14ac:dyDescent="0.25">
      <c r="A1846" s="869"/>
    </row>
    <row r="1847" spans="1:1" ht="15.75" x14ac:dyDescent="0.25">
      <c r="A1847" s="869"/>
    </row>
    <row r="1848" spans="1:1" ht="15.75" x14ac:dyDescent="0.25">
      <c r="A1848" s="869"/>
    </row>
    <row r="1849" spans="1:1" ht="15.75" x14ac:dyDescent="0.25">
      <c r="A1849" s="869"/>
    </row>
    <row r="1850" spans="1:1" ht="15.75" x14ac:dyDescent="0.25">
      <c r="A1850" s="869"/>
    </row>
    <row r="1851" spans="1:1" ht="15.75" x14ac:dyDescent="0.25">
      <c r="A1851" s="869"/>
    </row>
    <row r="1852" spans="1:1" ht="15.75" x14ac:dyDescent="0.25">
      <c r="A1852" s="869"/>
    </row>
    <row r="1853" spans="1:1" ht="15.75" x14ac:dyDescent="0.25">
      <c r="A1853" s="869"/>
    </row>
    <row r="1854" spans="1:1" ht="15.75" x14ac:dyDescent="0.25">
      <c r="A1854" s="869"/>
    </row>
    <row r="1855" spans="1:1" ht="15.75" x14ac:dyDescent="0.25">
      <c r="A1855" s="869"/>
    </row>
    <row r="1856" spans="1:1" ht="15.75" x14ac:dyDescent="0.25">
      <c r="A1856" s="869"/>
    </row>
    <row r="1857" spans="1:1" ht="15.75" x14ac:dyDescent="0.25">
      <c r="A1857" s="869"/>
    </row>
    <row r="1858" spans="1:1" ht="15.75" x14ac:dyDescent="0.25">
      <c r="A1858" s="869"/>
    </row>
    <row r="1859" spans="1:1" ht="15.75" x14ac:dyDescent="0.25">
      <c r="A1859" s="869"/>
    </row>
    <row r="1860" spans="1:1" ht="15.75" x14ac:dyDescent="0.25">
      <c r="A1860" s="869"/>
    </row>
    <row r="1861" spans="1:1" ht="15.75" x14ac:dyDescent="0.25">
      <c r="A1861" s="869"/>
    </row>
    <row r="1862" spans="1:1" ht="15.75" x14ac:dyDescent="0.25">
      <c r="A1862" s="869"/>
    </row>
    <row r="1863" spans="1:1" ht="15.75" x14ac:dyDescent="0.25">
      <c r="A1863" s="869"/>
    </row>
    <row r="1864" spans="1:1" ht="15.75" x14ac:dyDescent="0.25">
      <c r="A1864" s="869"/>
    </row>
    <row r="1865" spans="1:1" ht="15.75" x14ac:dyDescent="0.25">
      <c r="A1865" s="869"/>
    </row>
    <row r="1866" spans="1:1" ht="15.75" x14ac:dyDescent="0.25">
      <c r="A1866" s="869"/>
    </row>
    <row r="1867" spans="1:1" ht="15.75" x14ac:dyDescent="0.25">
      <c r="A1867" s="869"/>
    </row>
    <row r="1868" spans="1:1" ht="15.75" x14ac:dyDescent="0.25">
      <c r="A1868" s="869"/>
    </row>
    <row r="1869" spans="1:1" ht="15.75" x14ac:dyDescent="0.25">
      <c r="A1869" s="869"/>
    </row>
    <row r="1870" spans="1:1" ht="15.75" x14ac:dyDescent="0.25">
      <c r="A1870" s="869"/>
    </row>
    <row r="1871" spans="1:1" ht="15.75" x14ac:dyDescent="0.25">
      <c r="A1871" s="869"/>
    </row>
    <row r="1872" spans="1:1" ht="15.75" x14ac:dyDescent="0.25">
      <c r="A1872" s="869"/>
    </row>
    <row r="1873" spans="1:1" ht="15.75" x14ac:dyDescent="0.25">
      <c r="A1873" s="869"/>
    </row>
    <row r="1874" spans="1:1" ht="15.75" x14ac:dyDescent="0.25">
      <c r="A1874" s="869"/>
    </row>
    <row r="1875" spans="1:1" ht="15.75" x14ac:dyDescent="0.25">
      <c r="A1875" s="869"/>
    </row>
    <row r="1876" spans="1:1" ht="15.75" x14ac:dyDescent="0.25">
      <c r="A1876" s="869"/>
    </row>
    <row r="1877" spans="1:1" ht="15.75" x14ac:dyDescent="0.25">
      <c r="A1877" s="869"/>
    </row>
    <row r="1878" spans="1:1" ht="15.75" x14ac:dyDescent="0.25">
      <c r="A1878" s="869"/>
    </row>
    <row r="1879" spans="1:1" ht="15.75" x14ac:dyDescent="0.25">
      <c r="A1879" s="869"/>
    </row>
    <row r="1880" spans="1:1" ht="15.75" x14ac:dyDescent="0.25">
      <c r="A1880" s="869"/>
    </row>
    <row r="1881" spans="1:1" ht="15.75" x14ac:dyDescent="0.25">
      <c r="A1881" s="869"/>
    </row>
    <row r="1882" spans="1:1" ht="15.75" x14ac:dyDescent="0.25">
      <c r="A1882" s="869"/>
    </row>
    <row r="1883" spans="1:1" ht="15.75" x14ac:dyDescent="0.25">
      <c r="A1883" s="869"/>
    </row>
    <row r="1884" spans="1:1" ht="15.75" x14ac:dyDescent="0.25">
      <c r="A1884" s="869"/>
    </row>
    <row r="1885" spans="1:1" ht="15.75" x14ac:dyDescent="0.25">
      <c r="A1885" s="869"/>
    </row>
    <row r="1886" spans="1:1" ht="15.75" x14ac:dyDescent="0.25">
      <c r="A1886" s="869"/>
    </row>
    <row r="1887" spans="1:1" ht="15.75" x14ac:dyDescent="0.25">
      <c r="A1887" s="869"/>
    </row>
    <row r="1888" spans="1:1" ht="15.75" x14ac:dyDescent="0.25">
      <c r="A1888" s="869"/>
    </row>
    <row r="1889" spans="1:1" ht="15.75" x14ac:dyDescent="0.25">
      <c r="A1889" s="869"/>
    </row>
    <row r="1890" spans="1:1" ht="15.75" x14ac:dyDescent="0.25">
      <c r="A1890" s="869"/>
    </row>
    <row r="1891" spans="1:1" ht="15.75" x14ac:dyDescent="0.25">
      <c r="A1891" s="869"/>
    </row>
    <row r="1892" spans="1:1" ht="15.75" x14ac:dyDescent="0.25">
      <c r="A1892" s="869"/>
    </row>
    <row r="1893" spans="1:1" ht="15.75" x14ac:dyDescent="0.25">
      <c r="A1893" s="869"/>
    </row>
    <row r="1894" spans="1:1" ht="15.75" x14ac:dyDescent="0.25">
      <c r="A1894" s="869"/>
    </row>
    <row r="1895" spans="1:1" ht="15.75" x14ac:dyDescent="0.25">
      <c r="A1895" s="869"/>
    </row>
    <row r="1896" spans="1:1" ht="15.75" x14ac:dyDescent="0.25">
      <c r="A1896" s="869"/>
    </row>
    <row r="1897" spans="1:1" ht="15.75" x14ac:dyDescent="0.25">
      <c r="A1897" s="869"/>
    </row>
    <row r="1898" spans="1:1" ht="15.75" x14ac:dyDescent="0.25">
      <c r="A1898" s="869"/>
    </row>
    <row r="1899" spans="1:1" ht="15.75" x14ac:dyDescent="0.25">
      <c r="A1899" s="869"/>
    </row>
    <row r="1900" spans="1:1" ht="15.75" x14ac:dyDescent="0.25">
      <c r="A1900" s="869"/>
    </row>
    <row r="1901" spans="1:1" ht="15.75" x14ac:dyDescent="0.25">
      <c r="A1901" s="869"/>
    </row>
    <row r="1902" spans="1:1" ht="15.75" x14ac:dyDescent="0.25">
      <c r="A1902" s="869"/>
    </row>
    <row r="1903" spans="1:1" ht="15.75" x14ac:dyDescent="0.25">
      <c r="A1903" s="869"/>
    </row>
    <row r="1904" spans="1:1" ht="15.75" x14ac:dyDescent="0.25">
      <c r="A1904" s="869"/>
    </row>
    <row r="1905" spans="1:1" ht="15.75" x14ac:dyDescent="0.25">
      <c r="A1905" s="869"/>
    </row>
    <row r="1906" spans="1:1" ht="15.75" x14ac:dyDescent="0.25">
      <c r="A1906" s="869"/>
    </row>
    <row r="1907" spans="1:1" ht="15.75" x14ac:dyDescent="0.25">
      <c r="A1907" s="869"/>
    </row>
    <row r="1908" spans="1:1" ht="15.75" x14ac:dyDescent="0.25">
      <c r="A1908" s="869"/>
    </row>
    <row r="1909" spans="1:1" ht="15.75" x14ac:dyDescent="0.25">
      <c r="A1909" s="869"/>
    </row>
    <row r="1910" spans="1:1" ht="15.75" x14ac:dyDescent="0.25">
      <c r="A1910" s="869"/>
    </row>
    <row r="1911" spans="1:1" ht="15.75" x14ac:dyDescent="0.25">
      <c r="A1911" s="869"/>
    </row>
    <row r="1912" spans="1:1" ht="15.75" x14ac:dyDescent="0.25">
      <c r="A1912" s="869"/>
    </row>
    <row r="1913" spans="1:1" ht="15.75" x14ac:dyDescent="0.25">
      <c r="A1913" s="869"/>
    </row>
    <row r="1914" spans="1:1" ht="15.75" x14ac:dyDescent="0.25">
      <c r="A1914" s="869"/>
    </row>
    <row r="1915" spans="1:1" ht="15.75" x14ac:dyDescent="0.25">
      <c r="A1915" s="869"/>
    </row>
    <row r="1916" spans="1:1" ht="15.75" x14ac:dyDescent="0.25">
      <c r="A1916" s="869"/>
    </row>
    <row r="1917" spans="1:1" ht="15.75" x14ac:dyDescent="0.25">
      <c r="A1917" s="869"/>
    </row>
    <row r="1918" spans="1:1" ht="15.75" x14ac:dyDescent="0.25">
      <c r="A1918" s="869"/>
    </row>
    <row r="1919" spans="1:1" ht="15.75" x14ac:dyDescent="0.25">
      <c r="A1919" s="869"/>
    </row>
    <row r="1920" spans="1:1" ht="15.75" x14ac:dyDescent="0.25">
      <c r="A1920" s="869"/>
    </row>
    <row r="1921" spans="1:1" ht="15.75" x14ac:dyDescent="0.25">
      <c r="A1921" s="869"/>
    </row>
    <row r="1922" spans="1:1" ht="15.75" x14ac:dyDescent="0.25">
      <c r="A1922" s="869"/>
    </row>
    <row r="1923" spans="1:1" ht="15.75" x14ac:dyDescent="0.25">
      <c r="A1923" s="869"/>
    </row>
    <row r="1924" spans="1:1" ht="15.75" x14ac:dyDescent="0.25">
      <c r="A1924" s="869"/>
    </row>
    <row r="1925" spans="1:1" ht="15.75" x14ac:dyDescent="0.25">
      <c r="A1925" s="869"/>
    </row>
    <row r="1926" spans="1:1" ht="15.75" x14ac:dyDescent="0.25">
      <c r="A1926" s="869"/>
    </row>
    <row r="1927" spans="1:1" ht="15.75" x14ac:dyDescent="0.25">
      <c r="A1927" s="869"/>
    </row>
    <row r="1928" spans="1:1" ht="15.75" x14ac:dyDescent="0.25">
      <c r="A1928" s="869"/>
    </row>
    <row r="1929" spans="1:1" ht="15.75" x14ac:dyDescent="0.25">
      <c r="A1929" s="869"/>
    </row>
    <row r="1930" spans="1:1" ht="15.75" x14ac:dyDescent="0.25">
      <c r="A1930" s="869"/>
    </row>
    <row r="1931" spans="1:1" ht="15.75" x14ac:dyDescent="0.25">
      <c r="A1931" s="869"/>
    </row>
    <row r="1932" spans="1:1" ht="15.75" x14ac:dyDescent="0.25">
      <c r="A1932" s="869"/>
    </row>
    <row r="1933" spans="1:1" ht="15.75" x14ac:dyDescent="0.25">
      <c r="A1933" s="869"/>
    </row>
    <row r="1934" spans="1:1" ht="15.75" x14ac:dyDescent="0.25">
      <c r="A1934" s="869"/>
    </row>
    <row r="1935" spans="1:1" ht="15.75" x14ac:dyDescent="0.25">
      <c r="A1935" s="869"/>
    </row>
    <row r="1936" spans="1:1" ht="15.75" x14ac:dyDescent="0.25">
      <c r="A1936" s="869"/>
    </row>
    <row r="1937" spans="1:1" ht="15.75" x14ac:dyDescent="0.25">
      <c r="A1937" s="869"/>
    </row>
    <row r="1938" spans="1:1" ht="15.75" x14ac:dyDescent="0.25">
      <c r="A1938" s="869"/>
    </row>
    <row r="1939" spans="1:1" ht="15.75" x14ac:dyDescent="0.25">
      <c r="A1939" s="869"/>
    </row>
    <row r="1940" spans="1:1" ht="15.75" x14ac:dyDescent="0.25">
      <c r="A1940" s="869"/>
    </row>
    <row r="1941" spans="1:1" ht="15.75" x14ac:dyDescent="0.25">
      <c r="A1941" s="869"/>
    </row>
    <row r="1942" spans="1:1" ht="15.75" x14ac:dyDescent="0.25">
      <c r="A1942" s="869"/>
    </row>
    <row r="1943" spans="1:1" ht="15.75" x14ac:dyDescent="0.25">
      <c r="A1943" s="869"/>
    </row>
    <row r="1944" spans="1:1" ht="15.75" x14ac:dyDescent="0.25">
      <c r="A1944" s="869"/>
    </row>
    <row r="1945" spans="1:1" ht="15.75" x14ac:dyDescent="0.25">
      <c r="A1945" s="869"/>
    </row>
    <row r="1946" spans="1:1" ht="15.75" x14ac:dyDescent="0.25">
      <c r="A1946" s="869"/>
    </row>
    <row r="1947" spans="1:1" ht="15.75" x14ac:dyDescent="0.25">
      <c r="A1947" s="869"/>
    </row>
    <row r="1948" spans="1:1" ht="15.75" x14ac:dyDescent="0.25">
      <c r="A1948" s="869"/>
    </row>
    <row r="1949" spans="1:1" ht="15.75" x14ac:dyDescent="0.25">
      <c r="A1949" s="869"/>
    </row>
    <row r="1950" spans="1:1" ht="15.75" x14ac:dyDescent="0.25">
      <c r="A1950" s="869"/>
    </row>
    <row r="1951" spans="1:1" ht="15.75" x14ac:dyDescent="0.25">
      <c r="A1951" s="869"/>
    </row>
    <row r="1952" spans="1:1" ht="15.75" x14ac:dyDescent="0.25">
      <c r="A1952" s="869"/>
    </row>
    <row r="1953" spans="1:1" ht="15.75" x14ac:dyDescent="0.25">
      <c r="A1953" s="869"/>
    </row>
    <row r="1954" spans="1:1" ht="15.75" x14ac:dyDescent="0.25">
      <c r="A1954" s="869"/>
    </row>
    <row r="1955" spans="1:1" ht="15.75" x14ac:dyDescent="0.25">
      <c r="A1955" s="869"/>
    </row>
    <row r="1956" spans="1:1" ht="15.75" x14ac:dyDescent="0.25">
      <c r="A1956" s="869"/>
    </row>
    <row r="1957" spans="1:1" ht="15.75" x14ac:dyDescent="0.25">
      <c r="A1957" s="869"/>
    </row>
    <row r="1958" spans="1:1" ht="15.75" x14ac:dyDescent="0.25">
      <c r="A1958" s="869"/>
    </row>
    <row r="1959" spans="1:1" ht="15.75" x14ac:dyDescent="0.25">
      <c r="A1959" s="869"/>
    </row>
    <row r="1960" spans="1:1" ht="15.75" x14ac:dyDescent="0.25">
      <c r="A1960" s="869"/>
    </row>
    <row r="1961" spans="1:1" ht="15.75" x14ac:dyDescent="0.25">
      <c r="A1961" s="869"/>
    </row>
    <row r="1962" spans="1:1" ht="15.75" x14ac:dyDescent="0.25">
      <c r="A1962" s="869"/>
    </row>
    <row r="1963" spans="1:1" ht="15.75" x14ac:dyDescent="0.25">
      <c r="A1963" s="869"/>
    </row>
    <row r="1964" spans="1:1" ht="15.75" x14ac:dyDescent="0.25">
      <c r="A1964" s="869"/>
    </row>
    <row r="1965" spans="1:1" ht="15.75" x14ac:dyDescent="0.25">
      <c r="A1965" s="869"/>
    </row>
    <row r="1966" spans="1:1" ht="15.75" x14ac:dyDescent="0.25">
      <c r="A1966" s="869"/>
    </row>
    <row r="1967" spans="1:1" ht="15.75" x14ac:dyDescent="0.25">
      <c r="A1967" s="869"/>
    </row>
    <row r="1968" spans="1:1" ht="15.75" x14ac:dyDescent="0.25">
      <c r="A1968" s="869"/>
    </row>
    <row r="1969" spans="1:1" ht="15.75" x14ac:dyDescent="0.25">
      <c r="A1969" s="869"/>
    </row>
    <row r="1970" spans="1:1" ht="15.75" x14ac:dyDescent="0.25">
      <c r="A1970" s="869"/>
    </row>
    <row r="1971" spans="1:1" ht="15.75" x14ac:dyDescent="0.25">
      <c r="A1971" s="869"/>
    </row>
    <row r="1972" spans="1:1" ht="15.75" x14ac:dyDescent="0.25">
      <c r="A1972" s="869"/>
    </row>
    <row r="1973" spans="1:1" ht="15.75" x14ac:dyDescent="0.25">
      <c r="A1973" s="869"/>
    </row>
    <row r="1974" spans="1:1" ht="15.75" x14ac:dyDescent="0.25">
      <c r="A1974" s="869"/>
    </row>
    <row r="1975" spans="1:1" ht="15.75" x14ac:dyDescent="0.25">
      <c r="A1975" s="869"/>
    </row>
    <row r="1976" spans="1:1" ht="15.75" x14ac:dyDescent="0.25">
      <c r="A1976" s="869"/>
    </row>
    <row r="1977" spans="1:1" ht="15.75" x14ac:dyDescent="0.25">
      <c r="A1977" s="869"/>
    </row>
    <row r="1978" spans="1:1" ht="15.75" x14ac:dyDescent="0.25">
      <c r="A1978" s="869"/>
    </row>
    <row r="1979" spans="1:1" ht="15.75" x14ac:dyDescent="0.25">
      <c r="A1979" s="869"/>
    </row>
    <row r="1980" spans="1:1" ht="15.75" x14ac:dyDescent="0.25">
      <c r="A1980" s="869"/>
    </row>
    <row r="1981" spans="1:1" ht="15.75" x14ac:dyDescent="0.25">
      <c r="A1981" s="869"/>
    </row>
    <row r="1982" spans="1:1" ht="15.75" x14ac:dyDescent="0.25">
      <c r="A1982" s="869"/>
    </row>
    <row r="1983" spans="1:1" ht="15.75" x14ac:dyDescent="0.25">
      <c r="A1983" s="869"/>
    </row>
    <row r="1984" spans="1:1" ht="15.75" x14ac:dyDescent="0.25">
      <c r="A1984" s="869"/>
    </row>
    <row r="1985" spans="1:1" ht="15.75" x14ac:dyDescent="0.25">
      <c r="A1985" s="869"/>
    </row>
    <row r="1986" spans="1:1" ht="15.75" x14ac:dyDescent="0.25">
      <c r="A1986" s="869"/>
    </row>
    <row r="1987" spans="1:1" ht="15.75" x14ac:dyDescent="0.25">
      <c r="A1987" s="869"/>
    </row>
    <row r="1988" spans="1:1" ht="15.75" x14ac:dyDescent="0.25">
      <c r="A1988" s="869"/>
    </row>
    <row r="1989" spans="1:1" ht="15.75" x14ac:dyDescent="0.25">
      <c r="A1989" s="869"/>
    </row>
    <row r="1990" spans="1:1" ht="15.75" x14ac:dyDescent="0.25">
      <c r="A1990" s="869"/>
    </row>
    <row r="1991" spans="1:1" ht="15.75" x14ac:dyDescent="0.25">
      <c r="A1991" s="869"/>
    </row>
    <row r="1992" spans="1:1" ht="15.75" x14ac:dyDescent="0.25">
      <c r="A1992" s="869"/>
    </row>
    <row r="1993" spans="1:1" ht="15.75" x14ac:dyDescent="0.25">
      <c r="A1993" s="869"/>
    </row>
    <row r="1994" spans="1:1" ht="15.75" x14ac:dyDescent="0.25">
      <c r="A1994" s="869"/>
    </row>
    <row r="1995" spans="1:1" ht="15.75" x14ac:dyDescent="0.25">
      <c r="A1995" s="869"/>
    </row>
    <row r="1996" spans="1:1" ht="15.75" x14ac:dyDescent="0.25">
      <c r="A1996" s="869"/>
    </row>
    <row r="1997" spans="1:1" ht="15.75" x14ac:dyDescent="0.25">
      <c r="A1997" s="869"/>
    </row>
    <row r="1998" spans="1:1" ht="15.75" x14ac:dyDescent="0.25">
      <c r="A1998" s="869"/>
    </row>
    <row r="1999" spans="1:1" ht="15.75" x14ac:dyDescent="0.25">
      <c r="A1999" s="869"/>
    </row>
    <row r="2000" spans="1:1" ht="15.75" x14ac:dyDescent="0.25">
      <c r="A2000" s="869"/>
    </row>
    <row r="2001" spans="1:1" ht="15.75" x14ac:dyDescent="0.25">
      <c r="A2001" s="869"/>
    </row>
    <row r="2002" spans="1:1" ht="15.75" x14ac:dyDescent="0.25">
      <c r="A2002" s="869"/>
    </row>
    <row r="2003" spans="1:1" ht="15.75" x14ac:dyDescent="0.25">
      <c r="A2003" s="869"/>
    </row>
    <row r="2004" spans="1:1" ht="15.75" x14ac:dyDescent="0.25">
      <c r="A2004" s="869"/>
    </row>
    <row r="2005" spans="1:1" ht="15.75" x14ac:dyDescent="0.25">
      <c r="A2005" s="869"/>
    </row>
    <row r="2006" spans="1:1" ht="15.75" x14ac:dyDescent="0.25">
      <c r="A2006" s="869"/>
    </row>
    <row r="2007" spans="1:1" ht="15.75" x14ac:dyDescent="0.25">
      <c r="A2007" s="869"/>
    </row>
    <row r="2008" spans="1:1" ht="15.75" x14ac:dyDescent="0.25">
      <c r="A2008" s="869"/>
    </row>
    <row r="2009" spans="1:1" ht="15.75" x14ac:dyDescent="0.25">
      <c r="A2009" s="869"/>
    </row>
    <row r="2010" spans="1:1" ht="15.75" x14ac:dyDescent="0.25">
      <c r="A2010" s="869"/>
    </row>
    <row r="2011" spans="1:1" ht="15.75" x14ac:dyDescent="0.25">
      <c r="A2011" s="869"/>
    </row>
    <row r="2012" spans="1:1" ht="15.75" x14ac:dyDescent="0.25">
      <c r="A2012" s="869"/>
    </row>
    <row r="2013" spans="1:1" ht="15.75" x14ac:dyDescent="0.25">
      <c r="A2013" s="869"/>
    </row>
    <row r="2014" spans="1:1" ht="15.75" x14ac:dyDescent="0.25">
      <c r="A2014" s="869"/>
    </row>
    <row r="2015" spans="1:1" ht="15.75" x14ac:dyDescent="0.25">
      <c r="A2015" s="869"/>
    </row>
    <row r="2016" spans="1:1" ht="15.75" x14ac:dyDescent="0.25">
      <c r="A2016" s="869"/>
    </row>
    <row r="2017" spans="1:1" ht="15.75" x14ac:dyDescent="0.25">
      <c r="A2017" s="869"/>
    </row>
    <row r="2018" spans="1:1" ht="15.75" x14ac:dyDescent="0.25">
      <c r="A2018" s="869"/>
    </row>
    <row r="2019" spans="1:1" ht="15.75" x14ac:dyDescent="0.25">
      <c r="A2019" s="869"/>
    </row>
    <row r="2020" spans="1:1" ht="15.75" x14ac:dyDescent="0.25">
      <c r="A2020" s="869"/>
    </row>
    <row r="2021" spans="1:1" ht="15.75" x14ac:dyDescent="0.25">
      <c r="A2021" s="869"/>
    </row>
    <row r="2022" spans="1:1" ht="15.75" x14ac:dyDescent="0.25">
      <c r="A2022" s="869"/>
    </row>
    <row r="2023" spans="1:1" ht="15.75" x14ac:dyDescent="0.25">
      <c r="A2023" s="869"/>
    </row>
    <row r="2024" spans="1:1" ht="15.75" x14ac:dyDescent="0.25">
      <c r="A2024" s="869"/>
    </row>
    <row r="2025" spans="1:1" ht="15.75" x14ac:dyDescent="0.25">
      <c r="A2025" s="869"/>
    </row>
    <row r="2026" spans="1:1" ht="15.75" x14ac:dyDescent="0.25">
      <c r="A2026" s="869"/>
    </row>
    <row r="2027" spans="1:1" ht="15.75" x14ac:dyDescent="0.25">
      <c r="A2027" s="869"/>
    </row>
    <row r="2028" spans="1:1" ht="15.75" x14ac:dyDescent="0.25">
      <c r="A2028" s="869"/>
    </row>
    <row r="2029" spans="1:1" ht="15.75" x14ac:dyDescent="0.25">
      <c r="A2029" s="869"/>
    </row>
    <row r="2030" spans="1:1" ht="15.75" x14ac:dyDescent="0.25">
      <c r="A2030" s="869"/>
    </row>
    <row r="2031" spans="1:1" ht="15.75" x14ac:dyDescent="0.25">
      <c r="A2031" s="869"/>
    </row>
    <row r="2032" spans="1:1" ht="15.75" x14ac:dyDescent="0.25">
      <c r="A2032" s="869"/>
    </row>
    <row r="2033" spans="1:1" ht="15.75" x14ac:dyDescent="0.25">
      <c r="A2033" s="869"/>
    </row>
    <row r="2034" spans="1:1" ht="15.75" x14ac:dyDescent="0.25">
      <c r="A2034" s="869"/>
    </row>
    <row r="2035" spans="1:1" ht="15.75" x14ac:dyDescent="0.25">
      <c r="A2035" s="869"/>
    </row>
    <row r="2036" spans="1:1" ht="15.75" x14ac:dyDescent="0.25">
      <c r="A2036" s="869"/>
    </row>
    <row r="2037" spans="1:1" ht="15.75" x14ac:dyDescent="0.25">
      <c r="A2037" s="869"/>
    </row>
    <row r="2038" spans="1:1" ht="15.75" x14ac:dyDescent="0.25">
      <c r="A2038" s="869"/>
    </row>
    <row r="2039" spans="1:1" ht="15.75" x14ac:dyDescent="0.25">
      <c r="A2039" s="869"/>
    </row>
    <row r="2040" spans="1:1" ht="15.75" x14ac:dyDescent="0.25">
      <c r="A2040" s="869"/>
    </row>
    <row r="2041" spans="1:1" ht="15.75" x14ac:dyDescent="0.25">
      <c r="A2041" s="869"/>
    </row>
    <row r="2042" spans="1:1" ht="15.75" x14ac:dyDescent="0.25">
      <c r="A2042" s="869"/>
    </row>
    <row r="2043" spans="1:1" ht="15.75" x14ac:dyDescent="0.25">
      <c r="A2043" s="869"/>
    </row>
    <row r="2044" spans="1:1" ht="15.75" x14ac:dyDescent="0.25">
      <c r="A2044" s="869"/>
    </row>
    <row r="2045" spans="1:1" ht="15.75" x14ac:dyDescent="0.25">
      <c r="A2045" s="869"/>
    </row>
    <row r="2046" spans="1:1" ht="15.75" x14ac:dyDescent="0.25">
      <c r="A2046" s="869"/>
    </row>
    <row r="2047" spans="1:1" ht="15.75" x14ac:dyDescent="0.25">
      <c r="A2047" s="869"/>
    </row>
    <row r="2048" spans="1:1" ht="15.75" x14ac:dyDescent="0.25">
      <c r="A2048" s="869"/>
    </row>
    <row r="2049" spans="1:1" ht="15.75" x14ac:dyDescent="0.25">
      <c r="A2049" s="869"/>
    </row>
    <row r="2050" spans="1:1" ht="15.75" x14ac:dyDescent="0.25">
      <c r="A2050" s="869"/>
    </row>
    <row r="2051" spans="1:1" ht="15.75" x14ac:dyDescent="0.25">
      <c r="A2051" s="869"/>
    </row>
    <row r="2052" spans="1:1" ht="15.75" x14ac:dyDescent="0.25">
      <c r="A2052" s="869"/>
    </row>
    <row r="2053" spans="1:1" ht="15.75" x14ac:dyDescent="0.25">
      <c r="A2053" s="869"/>
    </row>
    <row r="2054" spans="1:1" ht="15.75" x14ac:dyDescent="0.25">
      <c r="A2054" s="869"/>
    </row>
    <row r="2055" spans="1:1" ht="15.75" x14ac:dyDescent="0.25">
      <c r="A2055" s="869"/>
    </row>
    <row r="2056" spans="1:1" ht="15.75" x14ac:dyDescent="0.25">
      <c r="A2056" s="869"/>
    </row>
    <row r="2057" spans="1:1" ht="15.75" x14ac:dyDescent="0.25">
      <c r="A2057" s="869"/>
    </row>
    <row r="2058" spans="1:1" ht="15.75" x14ac:dyDescent="0.25">
      <c r="A2058" s="869"/>
    </row>
    <row r="2059" spans="1:1" ht="15.75" x14ac:dyDescent="0.25">
      <c r="A2059" s="869"/>
    </row>
    <row r="2060" spans="1:1" ht="15.75" x14ac:dyDescent="0.25">
      <c r="A2060" s="869"/>
    </row>
    <row r="2061" spans="1:1" ht="15.75" x14ac:dyDescent="0.25">
      <c r="A2061" s="869"/>
    </row>
    <row r="2062" spans="1:1" ht="15.75" x14ac:dyDescent="0.25">
      <c r="A2062" s="869"/>
    </row>
    <row r="2063" spans="1:1" ht="15.75" x14ac:dyDescent="0.25">
      <c r="A2063" s="869"/>
    </row>
    <row r="2064" spans="1:1" ht="15.75" x14ac:dyDescent="0.25">
      <c r="A2064" s="869"/>
    </row>
    <row r="2065" spans="1:1" ht="15.75" x14ac:dyDescent="0.25">
      <c r="A2065" s="869"/>
    </row>
    <row r="2066" spans="1:1" ht="15.75" x14ac:dyDescent="0.25">
      <c r="A2066" s="869"/>
    </row>
    <row r="2067" spans="1:1" ht="15.75" x14ac:dyDescent="0.25">
      <c r="A2067" s="869"/>
    </row>
    <row r="2068" spans="1:1" ht="15.75" x14ac:dyDescent="0.25">
      <c r="A2068" s="869"/>
    </row>
    <row r="2069" spans="1:1" ht="15.75" x14ac:dyDescent="0.25">
      <c r="A2069" s="869"/>
    </row>
    <row r="2070" spans="1:1" ht="15.75" x14ac:dyDescent="0.25">
      <c r="A2070" s="869"/>
    </row>
    <row r="2071" spans="1:1" ht="15.75" x14ac:dyDescent="0.25">
      <c r="A2071" s="869"/>
    </row>
    <row r="2072" spans="1:1" ht="15.75" x14ac:dyDescent="0.25">
      <c r="A2072" s="869"/>
    </row>
    <row r="2073" spans="1:1" ht="15.75" x14ac:dyDescent="0.25">
      <c r="A2073" s="869"/>
    </row>
    <row r="2074" spans="1:1" ht="15.75" x14ac:dyDescent="0.25">
      <c r="A2074" s="869"/>
    </row>
    <row r="2075" spans="1:1" ht="15.75" x14ac:dyDescent="0.25">
      <c r="A2075" s="869"/>
    </row>
    <row r="2076" spans="1:1" ht="15.75" x14ac:dyDescent="0.25">
      <c r="A2076" s="869"/>
    </row>
    <row r="2077" spans="1:1" ht="15.75" x14ac:dyDescent="0.25">
      <c r="A2077" s="869"/>
    </row>
    <row r="2078" spans="1:1" ht="15.75" x14ac:dyDescent="0.25">
      <c r="A2078" s="869"/>
    </row>
    <row r="2079" spans="1:1" ht="15.75" x14ac:dyDescent="0.25">
      <c r="A2079" s="869"/>
    </row>
    <row r="2080" spans="1:1" ht="15.75" x14ac:dyDescent="0.25">
      <c r="A2080" s="869"/>
    </row>
    <row r="2081" spans="1:1" ht="15.75" x14ac:dyDescent="0.25">
      <c r="A2081" s="869"/>
    </row>
    <row r="2082" spans="1:1" ht="15.75" x14ac:dyDescent="0.25">
      <c r="A2082" s="869"/>
    </row>
    <row r="2083" spans="1:1" ht="15.75" x14ac:dyDescent="0.25">
      <c r="A2083" s="869"/>
    </row>
    <row r="2084" spans="1:1" ht="15.75" x14ac:dyDescent="0.25">
      <c r="A2084" s="869"/>
    </row>
    <row r="2085" spans="1:1" ht="15.75" x14ac:dyDescent="0.25">
      <c r="A2085" s="869"/>
    </row>
    <row r="2086" spans="1:1" ht="15.75" x14ac:dyDescent="0.25">
      <c r="A2086" s="869"/>
    </row>
    <row r="2087" spans="1:1" ht="15.75" x14ac:dyDescent="0.25">
      <c r="A2087" s="869"/>
    </row>
    <row r="2088" spans="1:1" ht="15.75" x14ac:dyDescent="0.25">
      <c r="A2088" s="869"/>
    </row>
    <row r="2089" spans="1:1" ht="15.75" x14ac:dyDescent="0.25">
      <c r="A2089" s="869"/>
    </row>
    <row r="2090" spans="1:1" ht="15.75" x14ac:dyDescent="0.25">
      <c r="A2090" s="869"/>
    </row>
    <row r="2091" spans="1:1" ht="15.75" x14ac:dyDescent="0.25">
      <c r="A2091" s="869"/>
    </row>
    <row r="2092" spans="1:1" ht="15.75" x14ac:dyDescent="0.25">
      <c r="A2092" s="869"/>
    </row>
    <row r="2093" spans="1:1" ht="15.75" x14ac:dyDescent="0.25">
      <c r="A2093" s="869"/>
    </row>
    <row r="2094" spans="1:1" ht="15.75" x14ac:dyDescent="0.25">
      <c r="A2094" s="869"/>
    </row>
    <row r="2095" spans="1:1" ht="15.75" x14ac:dyDescent="0.25">
      <c r="A2095" s="869"/>
    </row>
    <row r="2096" spans="1:1" ht="15.75" x14ac:dyDescent="0.25">
      <c r="A2096" s="869"/>
    </row>
    <row r="2097" spans="1:1" ht="15.75" x14ac:dyDescent="0.25">
      <c r="A2097" s="869"/>
    </row>
    <row r="2098" spans="1:1" ht="15.75" x14ac:dyDescent="0.25">
      <c r="A2098" s="869"/>
    </row>
    <row r="2099" spans="1:1" ht="15.75" x14ac:dyDescent="0.25">
      <c r="A2099" s="869"/>
    </row>
    <row r="2100" spans="1:1" ht="15.75" x14ac:dyDescent="0.25">
      <c r="A2100" s="869"/>
    </row>
  </sheetData>
  <mergeCells count="2">
    <mergeCell ref="B1:D1"/>
    <mergeCell ref="I1:J1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headerFooter>
    <oddHeader>&amp;CKöltségvetési szervek 2019. évi álláshelyeinek meghatározása&amp;R&amp;"Times New Roman CE,Félkövér"8.mellékelt a 6/2020.(II.24.) önkormányzati rendelelethez&amp;"Times New Roman CE,Normál"
9. melléklet az 5/2019 (II.15.) önkormányzati rendelethez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  <pageSetUpPr fitToPage="1"/>
  </sheetPr>
  <dimension ref="A1:Q442"/>
  <sheetViews>
    <sheetView view="pageBreakPreview" zoomScale="80" zoomScaleNormal="80" zoomScaleSheetLayoutView="80" workbookViewId="0">
      <pane xSplit="2" ySplit="11" topLeftCell="C159" activePane="bottomRight" state="frozen"/>
      <selection pane="topRight" activeCell="C1" sqref="C1"/>
      <selection pane="bottomLeft" activeCell="A12" sqref="A12"/>
      <selection pane="bottomRight" activeCell="B162" sqref="B162"/>
    </sheetView>
  </sheetViews>
  <sheetFormatPr defaultRowHeight="15.75" x14ac:dyDescent="0.25"/>
  <cols>
    <col min="1" max="1" width="5" style="302" customWidth="1"/>
    <col min="2" max="2" width="43.375" style="302" customWidth="1"/>
    <col min="3" max="3" width="12.375" style="302" customWidth="1"/>
    <col min="4" max="4" width="10.75" style="302" customWidth="1"/>
    <col min="5" max="5" width="10.875" style="302" bestFit="1" customWidth="1"/>
    <col min="6" max="6" width="9.625" style="302" bestFit="1" customWidth="1"/>
    <col min="7" max="7" width="11.5" style="302" bestFit="1" customWidth="1"/>
    <col min="8" max="8" width="12.25" style="302" customWidth="1"/>
    <col min="9" max="9" width="11.625" style="302" customWidth="1"/>
    <col min="10" max="10" width="9.75" style="302" customWidth="1"/>
    <col min="11" max="11" width="9.875" style="302" customWidth="1"/>
    <col min="12" max="12" width="12" style="302" customWidth="1"/>
    <col min="13" max="13" width="9.875" style="302" customWidth="1"/>
    <col min="14" max="15" width="10.375" style="302" customWidth="1"/>
    <col min="16" max="16" width="16.25" style="302" customWidth="1"/>
    <col min="17" max="17" width="9.875" style="302" bestFit="1" customWidth="1"/>
    <col min="18" max="256" width="9" style="302"/>
    <col min="257" max="257" width="5" style="302" customWidth="1"/>
    <col min="258" max="258" width="40.875" style="302" customWidth="1"/>
    <col min="259" max="259" width="10.125" style="302" customWidth="1"/>
    <col min="260" max="260" width="10.75" style="302" customWidth="1"/>
    <col min="261" max="261" width="10" style="302" customWidth="1"/>
    <col min="262" max="262" width="9.625" style="302" bestFit="1" customWidth="1"/>
    <col min="263" max="263" width="10.75" style="302" customWidth="1"/>
    <col min="264" max="264" width="12.25" style="302" customWidth="1"/>
    <col min="265" max="265" width="11.625" style="302" customWidth="1"/>
    <col min="266" max="266" width="9.75" style="302" customWidth="1"/>
    <col min="267" max="267" width="9.875" style="302" customWidth="1"/>
    <col min="268" max="268" width="12" style="302" customWidth="1"/>
    <col min="269" max="269" width="9.875" style="302" customWidth="1"/>
    <col min="270" max="271" width="10.375" style="302" customWidth="1"/>
    <col min="272" max="272" width="16.25" style="302" customWidth="1"/>
    <col min="273" max="273" width="9.875" style="302" bestFit="1" customWidth="1"/>
    <col min="274" max="512" width="9" style="302"/>
    <col min="513" max="513" width="5" style="302" customWidth="1"/>
    <col min="514" max="514" width="40.875" style="302" customWidth="1"/>
    <col min="515" max="515" width="10.125" style="302" customWidth="1"/>
    <col min="516" max="516" width="10.75" style="302" customWidth="1"/>
    <col min="517" max="517" width="10" style="302" customWidth="1"/>
    <col min="518" max="518" width="9.625" style="302" bestFit="1" customWidth="1"/>
    <col min="519" max="519" width="10.75" style="302" customWidth="1"/>
    <col min="520" max="520" width="12.25" style="302" customWidth="1"/>
    <col min="521" max="521" width="11.625" style="302" customWidth="1"/>
    <col min="522" max="522" width="9.75" style="302" customWidth="1"/>
    <col min="523" max="523" width="9.875" style="302" customWidth="1"/>
    <col min="524" max="524" width="12" style="302" customWidth="1"/>
    <col min="525" max="525" width="9.875" style="302" customWidth="1"/>
    <col min="526" max="527" width="10.375" style="302" customWidth="1"/>
    <col min="528" max="528" width="16.25" style="302" customWidth="1"/>
    <col min="529" max="529" width="9.875" style="302" bestFit="1" customWidth="1"/>
    <col min="530" max="768" width="9" style="302"/>
    <col min="769" max="769" width="5" style="302" customWidth="1"/>
    <col min="770" max="770" width="40.875" style="302" customWidth="1"/>
    <col min="771" max="771" width="10.125" style="302" customWidth="1"/>
    <col min="772" max="772" width="10.75" style="302" customWidth="1"/>
    <col min="773" max="773" width="10" style="302" customWidth="1"/>
    <col min="774" max="774" width="9.625" style="302" bestFit="1" customWidth="1"/>
    <col min="775" max="775" width="10.75" style="302" customWidth="1"/>
    <col min="776" max="776" width="12.25" style="302" customWidth="1"/>
    <col min="777" max="777" width="11.625" style="302" customWidth="1"/>
    <col min="778" max="778" width="9.75" style="302" customWidth="1"/>
    <col min="779" max="779" width="9.875" style="302" customWidth="1"/>
    <col min="780" max="780" width="12" style="302" customWidth="1"/>
    <col min="781" max="781" width="9.875" style="302" customWidth="1"/>
    <col min="782" max="783" width="10.375" style="302" customWidth="1"/>
    <col min="784" max="784" width="16.25" style="302" customWidth="1"/>
    <col min="785" max="785" width="9.875" style="302" bestFit="1" customWidth="1"/>
    <col min="786" max="1024" width="9" style="302"/>
    <col min="1025" max="1025" width="5" style="302" customWidth="1"/>
    <col min="1026" max="1026" width="40.875" style="302" customWidth="1"/>
    <col min="1027" max="1027" width="10.125" style="302" customWidth="1"/>
    <col min="1028" max="1028" width="10.75" style="302" customWidth="1"/>
    <col min="1029" max="1029" width="10" style="302" customWidth="1"/>
    <col min="1030" max="1030" width="9.625" style="302" bestFit="1" customWidth="1"/>
    <col min="1031" max="1031" width="10.75" style="302" customWidth="1"/>
    <col min="1032" max="1032" width="12.25" style="302" customWidth="1"/>
    <col min="1033" max="1033" width="11.625" style="302" customWidth="1"/>
    <col min="1034" max="1034" width="9.75" style="302" customWidth="1"/>
    <col min="1035" max="1035" width="9.875" style="302" customWidth="1"/>
    <col min="1036" max="1036" width="12" style="302" customWidth="1"/>
    <col min="1037" max="1037" width="9.875" style="302" customWidth="1"/>
    <col min="1038" max="1039" width="10.375" style="302" customWidth="1"/>
    <col min="1040" max="1040" width="16.25" style="302" customWidth="1"/>
    <col min="1041" max="1041" width="9.875" style="302" bestFit="1" customWidth="1"/>
    <col min="1042" max="1280" width="9" style="302"/>
    <col min="1281" max="1281" width="5" style="302" customWidth="1"/>
    <col min="1282" max="1282" width="40.875" style="302" customWidth="1"/>
    <col min="1283" max="1283" width="10.125" style="302" customWidth="1"/>
    <col min="1284" max="1284" width="10.75" style="302" customWidth="1"/>
    <col min="1285" max="1285" width="10" style="302" customWidth="1"/>
    <col min="1286" max="1286" width="9.625" style="302" bestFit="1" customWidth="1"/>
    <col min="1287" max="1287" width="10.75" style="302" customWidth="1"/>
    <col min="1288" max="1288" width="12.25" style="302" customWidth="1"/>
    <col min="1289" max="1289" width="11.625" style="302" customWidth="1"/>
    <col min="1290" max="1290" width="9.75" style="302" customWidth="1"/>
    <col min="1291" max="1291" width="9.875" style="302" customWidth="1"/>
    <col min="1292" max="1292" width="12" style="302" customWidth="1"/>
    <col min="1293" max="1293" width="9.875" style="302" customWidth="1"/>
    <col min="1294" max="1295" width="10.375" style="302" customWidth="1"/>
    <col min="1296" max="1296" width="16.25" style="302" customWidth="1"/>
    <col min="1297" max="1297" width="9.875" style="302" bestFit="1" customWidth="1"/>
    <col min="1298" max="1536" width="9" style="302"/>
    <col min="1537" max="1537" width="5" style="302" customWidth="1"/>
    <col min="1538" max="1538" width="40.875" style="302" customWidth="1"/>
    <col min="1539" max="1539" width="10.125" style="302" customWidth="1"/>
    <col min="1540" max="1540" width="10.75" style="302" customWidth="1"/>
    <col min="1541" max="1541" width="10" style="302" customWidth="1"/>
    <col min="1542" max="1542" width="9.625" style="302" bestFit="1" customWidth="1"/>
    <col min="1543" max="1543" width="10.75" style="302" customWidth="1"/>
    <col min="1544" max="1544" width="12.25" style="302" customWidth="1"/>
    <col min="1545" max="1545" width="11.625" style="302" customWidth="1"/>
    <col min="1546" max="1546" width="9.75" style="302" customWidth="1"/>
    <col min="1547" max="1547" width="9.875" style="302" customWidth="1"/>
    <col min="1548" max="1548" width="12" style="302" customWidth="1"/>
    <col min="1549" max="1549" width="9.875" style="302" customWidth="1"/>
    <col min="1550" max="1551" width="10.375" style="302" customWidth="1"/>
    <col min="1552" max="1552" width="16.25" style="302" customWidth="1"/>
    <col min="1553" max="1553" width="9.875" style="302" bestFit="1" customWidth="1"/>
    <col min="1554" max="1792" width="9" style="302"/>
    <col min="1793" max="1793" width="5" style="302" customWidth="1"/>
    <col min="1794" max="1794" width="40.875" style="302" customWidth="1"/>
    <col min="1795" max="1795" width="10.125" style="302" customWidth="1"/>
    <col min="1796" max="1796" width="10.75" style="302" customWidth="1"/>
    <col min="1797" max="1797" width="10" style="302" customWidth="1"/>
    <col min="1798" max="1798" width="9.625" style="302" bestFit="1" customWidth="1"/>
    <col min="1799" max="1799" width="10.75" style="302" customWidth="1"/>
    <col min="1800" max="1800" width="12.25" style="302" customWidth="1"/>
    <col min="1801" max="1801" width="11.625" style="302" customWidth="1"/>
    <col min="1802" max="1802" width="9.75" style="302" customWidth="1"/>
    <col min="1803" max="1803" width="9.875" style="302" customWidth="1"/>
    <col min="1804" max="1804" width="12" style="302" customWidth="1"/>
    <col min="1805" max="1805" width="9.875" style="302" customWidth="1"/>
    <col min="1806" max="1807" width="10.375" style="302" customWidth="1"/>
    <col min="1808" max="1808" width="16.25" style="302" customWidth="1"/>
    <col min="1809" max="1809" width="9.875" style="302" bestFit="1" customWidth="1"/>
    <col min="1810" max="2048" width="9" style="302"/>
    <col min="2049" max="2049" width="5" style="302" customWidth="1"/>
    <col min="2050" max="2050" width="40.875" style="302" customWidth="1"/>
    <col min="2051" max="2051" width="10.125" style="302" customWidth="1"/>
    <col min="2052" max="2052" width="10.75" style="302" customWidth="1"/>
    <col min="2053" max="2053" width="10" style="302" customWidth="1"/>
    <col min="2054" max="2054" width="9.625" style="302" bestFit="1" customWidth="1"/>
    <col min="2055" max="2055" width="10.75" style="302" customWidth="1"/>
    <col min="2056" max="2056" width="12.25" style="302" customWidth="1"/>
    <col min="2057" max="2057" width="11.625" style="302" customWidth="1"/>
    <col min="2058" max="2058" width="9.75" style="302" customWidth="1"/>
    <col min="2059" max="2059" width="9.875" style="302" customWidth="1"/>
    <col min="2060" max="2060" width="12" style="302" customWidth="1"/>
    <col min="2061" max="2061" width="9.875" style="302" customWidth="1"/>
    <col min="2062" max="2063" width="10.375" style="302" customWidth="1"/>
    <col min="2064" max="2064" width="16.25" style="302" customWidth="1"/>
    <col min="2065" max="2065" width="9.875" style="302" bestFit="1" customWidth="1"/>
    <col min="2066" max="2304" width="9" style="302"/>
    <col min="2305" max="2305" width="5" style="302" customWidth="1"/>
    <col min="2306" max="2306" width="40.875" style="302" customWidth="1"/>
    <col min="2307" max="2307" width="10.125" style="302" customWidth="1"/>
    <col min="2308" max="2308" width="10.75" style="302" customWidth="1"/>
    <col min="2309" max="2309" width="10" style="302" customWidth="1"/>
    <col min="2310" max="2310" width="9.625" style="302" bestFit="1" customWidth="1"/>
    <col min="2311" max="2311" width="10.75" style="302" customWidth="1"/>
    <col min="2312" max="2312" width="12.25" style="302" customWidth="1"/>
    <col min="2313" max="2313" width="11.625" style="302" customWidth="1"/>
    <col min="2314" max="2314" width="9.75" style="302" customWidth="1"/>
    <col min="2315" max="2315" width="9.875" style="302" customWidth="1"/>
    <col min="2316" max="2316" width="12" style="302" customWidth="1"/>
    <col min="2317" max="2317" width="9.875" style="302" customWidth="1"/>
    <col min="2318" max="2319" width="10.375" style="302" customWidth="1"/>
    <col min="2320" max="2320" width="16.25" style="302" customWidth="1"/>
    <col min="2321" max="2321" width="9.875" style="302" bestFit="1" customWidth="1"/>
    <col min="2322" max="2560" width="9" style="302"/>
    <col min="2561" max="2561" width="5" style="302" customWidth="1"/>
    <col min="2562" max="2562" width="40.875" style="302" customWidth="1"/>
    <col min="2563" max="2563" width="10.125" style="302" customWidth="1"/>
    <col min="2564" max="2564" width="10.75" style="302" customWidth="1"/>
    <col min="2565" max="2565" width="10" style="302" customWidth="1"/>
    <col min="2566" max="2566" width="9.625" style="302" bestFit="1" customWidth="1"/>
    <col min="2567" max="2567" width="10.75" style="302" customWidth="1"/>
    <col min="2568" max="2568" width="12.25" style="302" customWidth="1"/>
    <col min="2569" max="2569" width="11.625" style="302" customWidth="1"/>
    <col min="2570" max="2570" width="9.75" style="302" customWidth="1"/>
    <col min="2571" max="2571" width="9.875" style="302" customWidth="1"/>
    <col min="2572" max="2572" width="12" style="302" customWidth="1"/>
    <col min="2573" max="2573" width="9.875" style="302" customWidth="1"/>
    <col min="2574" max="2575" width="10.375" style="302" customWidth="1"/>
    <col min="2576" max="2576" width="16.25" style="302" customWidth="1"/>
    <col min="2577" max="2577" width="9.875" style="302" bestFit="1" customWidth="1"/>
    <col min="2578" max="2816" width="9" style="302"/>
    <col min="2817" max="2817" width="5" style="302" customWidth="1"/>
    <col min="2818" max="2818" width="40.875" style="302" customWidth="1"/>
    <col min="2819" max="2819" width="10.125" style="302" customWidth="1"/>
    <col min="2820" max="2820" width="10.75" style="302" customWidth="1"/>
    <col min="2821" max="2821" width="10" style="302" customWidth="1"/>
    <col min="2822" max="2822" width="9.625" style="302" bestFit="1" customWidth="1"/>
    <col min="2823" max="2823" width="10.75" style="302" customWidth="1"/>
    <col min="2824" max="2824" width="12.25" style="302" customWidth="1"/>
    <col min="2825" max="2825" width="11.625" style="302" customWidth="1"/>
    <col min="2826" max="2826" width="9.75" style="302" customWidth="1"/>
    <col min="2827" max="2827" width="9.875" style="302" customWidth="1"/>
    <col min="2828" max="2828" width="12" style="302" customWidth="1"/>
    <col min="2829" max="2829" width="9.875" style="302" customWidth="1"/>
    <col min="2830" max="2831" width="10.375" style="302" customWidth="1"/>
    <col min="2832" max="2832" width="16.25" style="302" customWidth="1"/>
    <col min="2833" max="2833" width="9.875" style="302" bestFit="1" customWidth="1"/>
    <col min="2834" max="3072" width="9" style="302"/>
    <col min="3073" max="3073" width="5" style="302" customWidth="1"/>
    <col min="3074" max="3074" width="40.875" style="302" customWidth="1"/>
    <col min="3075" max="3075" width="10.125" style="302" customWidth="1"/>
    <col min="3076" max="3076" width="10.75" style="302" customWidth="1"/>
    <col min="3077" max="3077" width="10" style="302" customWidth="1"/>
    <col min="3078" max="3078" width="9.625" style="302" bestFit="1" customWidth="1"/>
    <col min="3079" max="3079" width="10.75" style="302" customWidth="1"/>
    <col min="3080" max="3080" width="12.25" style="302" customWidth="1"/>
    <col min="3081" max="3081" width="11.625" style="302" customWidth="1"/>
    <col min="3082" max="3082" width="9.75" style="302" customWidth="1"/>
    <col min="3083" max="3083" width="9.875" style="302" customWidth="1"/>
    <col min="3084" max="3084" width="12" style="302" customWidth="1"/>
    <col min="3085" max="3085" width="9.875" style="302" customWidth="1"/>
    <col min="3086" max="3087" width="10.375" style="302" customWidth="1"/>
    <col min="3088" max="3088" width="16.25" style="302" customWidth="1"/>
    <col min="3089" max="3089" width="9.875" style="302" bestFit="1" customWidth="1"/>
    <col min="3090" max="3328" width="9" style="302"/>
    <col min="3329" max="3329" width="5" style="302" customWidth="1"/>
    <col min="3330" max="3330" width="40.875" style="302" customWidth="1"/>
    <col min="3331" max="3331" width="10.125" style="302" customWidth="1"/>
    <col min="3332" max="3332" width="10.75" style="302" customWidth="1"/>
    <col min="3333" max="3333" width="10" style="302" customWidth="1"/>
    <col min="3334" max="3334" width="9.625" style="302" bestFit="1" customWidth="1"/>
    <col min="3335" max="3335" width="10.75" style="302" customWidth="1"/>
    <col min="3336" max="3336" width="12.25" style="302" customWidth="1"/>
    <col min="3337" max="3337" width="11.625" style="302" customWidth="1"/>
    <col min="3338" max="3338" width="9.75" style="302" customWidth="1"/>
    <col min="3339" max="3339" width="9.875" style="302" customWidth="1"/>
    <col min="3340" max="3340" width="12" style="302" customWidth="1"/>
    <col min="3341" max="3341" width="9.875" style="302" customWidth="1"/>
    <col min="3342" max="3343" width="10.375" style="302" customWidth="1"/>
    <col min="3344" max="3344" width="16.25" style="302" customWidth="1"/>
    <col min="3345" max="3345" width="9.875" style="302" bestFit="1" customWidth="1"/>
    <col min="3346" max="3584" width="9" style="302"/>
    <col min="3585" max="3585" width="5" style="302" customWidth="1"/>
    <col min="3586" max="3586" width="40.875" style="302" customWidth="1"/>
    <col min="3587" max="3587" width="10.125" style="302" customWidth="1"/>
    <col min="3588" max="3588" width="10.75" style="302" customWidth="1"/>
    <col min="3589" max="3589" width="10" style="302" customWidth="1"/>
    <col min="3590" max="3590" width="9.625" style="302" bestFit="1" customWidth="1"/>
    <col min="3591" max="3591" width="10.75" style="302" customWidth="1"/>
    <col min="3592" max="3592" width="12.25" style="302" customWidth="1"/>
    <col min="3593" max="3593" width="11.625" style="302" customWidth="1"/>
    <col min="3594" max="3594" width="9.75" style="302" customWidth="1"/>
    <col min="3595" max="3595" width="9.875" style="302" customWidth="1"/>
    <col min="3596" max="3596" width="12" style="302" customWidth="1"/>
    <col min="3597" max="3597" width="9.875" style="302" customWidth="1"/>
    <col min="3598" max="3599" width="10.375" style="302" customWidth="1"/>
    <col min="3600" max="3600" width="16.25" style="302" customWidth="1"/>
    <col min="3601" max="3601" width="9.875" style="302" bestFit="1" customWidth="1"/>
    <col min="3602" max="3840" width="9" style="302"/>
    <col min="3841" max="3841" width="5" style="302" customWidth="1"/>
    <col min="3842" max="3842" width="40.875" style="302" customWidth="1"/>
    <col min="3843" max="3843" width="10.125" style="302" customWidth="1"/>
    <col min="3844" max="3844" width="10.75" style="302" customWidth="1"/>
    <col min="3845" max="3845" width="10" style="302" customWidth="1"/>
    <col min="3846" max="3846" width="9.625" style="302" bestFit="1" customWidth="1"/>
    <col min="3847" max="3847" width="10.75" style="302" customWidth="1"/>
    <col min="3848" max="3848" width="12.25" style="302" customWidth="1"/>
    <col min="3849" max="3849" width="11.625" style="302" customWidth="1"/>
    <col min="3850" max="3850" width="9.75" style="302" customWidth="1"/>
    <col min="3851" max="3851" width="9.875" style="302" customWidth="1"/>
    <col min="3852" max="3852" width="12" style="302" customWidth="1"/>
    <col min="3853" max="3853" width="9.875" style="302" customWidth="1"/>
    <col min="3854" max="3855" width="10.375" style="302" customWidth="1"/>
    <col min="3856" max="3856" width="16.25" style="302" customWidth="1"/>
    <col min="3857" max="3857" width="9.875" style="302" bestFit="1" customWidth="1"/>
    <col min="3858" max="4096" width="9" style="302"/>
    <col min="4097" max="4097" width="5" style="302" customWidth="1"/>
    <col min="4098" max="4098" width="40.875" style="302" customWidth="1"/>
    <col min="4099" max="4099" width="10.125" style="302" customWidth="1"/>
    <col min="4100" max="4100" width="10.75" style="302" customWidth="1"/>
    <col min="4101" max="4101" width="10" style="302" customWidth="1"/>
    <col min="4102" max="4102" width="9.625" style="302" bestFit="1" customWidth="1"/>
    <col min="4103" max="4103" width="10.75" style="302" customWidth="1"/>
    <col min="4104" max="4104" width="12.25" style="302" customWidth="1"/>
    <col min="4105" max="4105" width="11.625" style="302" customWidth="1"/>
    <col min="4106" max="4106" width="9.75" style="302" customWidth="1"/>
    <col min="4107" max="4107" width="9.875" style="302" customWidth="1"/>
    <col min="4108" max="4108" width="12" style="302" customWidth="1"/>
    <col min="4109" max="4109" width="9.875" style="302" customWidth="1"/>
    <col min="4110" max="4111" width="10.375" style="302" customWidth="1"/>
    <col min="4112" max="4112" width="16.25" style="302" customWidth="1"/>
    <col min="4113" max="4113" width="9.875" style="302" bestFit="1" customWidth="1"/>
    <col min="4114" max="4352" width="9" style="302"/>
    <col min="4353" max="4353" width="5" style="302" customWidth="1"/>
    <col min="4354" max="4354" width="40.875" style="302" customWidth="1"/>
    <col min="4355" max="4355" width="10.125" style="302" customWidth="1"/>
    <col min="4356" max="4356" width="10.75" style="302" customWidth="1"/>
    <col min="4357" max="4357" width="10" style="302" customWidth="1"/>
    <col min="4358" max="4358" width="9.625" style="302" bestFit="1" customWidth="1"/>
    <col min="4359" max="4359" width="10.75" style="302" customWidth="1"/>
    <col min="4360" max="4360" width="12.25" style="302" customWidth="1"/>
    <col min="4361" max="4361" width="11.625" style="302" customWidth="1"/>
    <col min="4362" max="4362" width="9.75" style="302" customWidth="1"/>
    <col min="4363" max="4363" width="9.875" style="302" customWidth="1"/>
    <col min="4364" max="4364" width="12" style="302" customWidth="1"/>
    <col min="4365" max="4365" width="9.875" style="302" customWidth="1"/>
    <col min="4366" max="4367" width="10.375" style="302" customWidth="1"/>
    <col min="4368" max="4368" width="16.25" style="302" customWidth="1"/>
    <col min="4369" max="4369" width="9.875" style="302" bestFit="1" customWidth="1"/>
    <col min="4370" max="4608" width="9" style="302"/>
    <col min="4609" max="4609" width="5" style="302" customWidth="1"/>
    <col min="4610" max="4610" width="40.875" style="302" customWidth="1"/>
    <col min="4611" max="4611" width="10.125" style="302" customWidth="1"/>
    <col min="4612" max="4612" width="10.75" style="302" customWidth="1"/>
    <col min="4613" max="4613" width="10" style="302" customWidth="1"/>
    <col min="4614" max="4614" width="9.625" style="302" bestFit="1" customWidth="1"/>
    <col min="4615" max="4615" width="10.75" style="302" customWidth="1"/>
    <col min="4616" max="4616" width="12.25" style="302" customWidth="1"/>
    <col min="4617" max="4617" width="11.625" style="302" customWidth="1"/>
    <col min="4618" max="4618" width="9.75" style="302" customWidth="1"/>
    <col min="4619" max="4619" width="9.875" style="302" customWidth="1"/>
    <col min="4620" max="4620" width="12" style="302" customWidth="1"/>
    <col min="4621" max="4621" width="9.875" style="302" customWidth="1"/>
    <col min="4622" max="4623" width="10.375" style="302" customWidth="1"/>
    <col min="4624" max="4624" width="16.25" style="302" customWidth="1"/>
    <col min="4625" max="4625" width="9.875" style="302" bestFit="1" customWidth="1"/>
    <col min="4626" max="4864" width="9" style="302"/>
    <col min="4865" max="4865" width="5" style="302" customWidth="1"/>
    <col min="4866" max="4866" width="40.875" style="302" customWidth="1"/>
    <col min="4867" max="4867" width="10.125" style="302" customWidth="1"/>
    <col min="4868" max="4868" width="10.75" style="302" customWidth="1"/>
    <col min="4869" max="4869" width="10" style="302" customWidth="1"/>
    <col min="4870" max="4870" width="9.625" style="302" bestFit="1" customWidth="1"/>
    <col min="4871" max="4871" width="10.75" style="302" customWidth="1"/>
    <col min="4872" max="4872" width="12.25" style="302" customWidth="1"/>
    <col min="4873" max="4873" width="11.625" style="302" customWidth="1"/>
    <col min="4874" max="4874" width="9.75" style="302" customWidth="1"/>
    <col min="4875" max="4875" width="9.875" style="302" customWidth="1"/>
    <col min="4876" max="4876" width="12" style="302" customWidth="1"/>
    <col min="4877" max="4877" width="9.875" style="302" customWidth="1"/>
    <col min="4878" max="4879" width="10.375" style="302" customWidth="1"/>
    <col min="4880" max="4880" width="16.25" style="302" customWidth="1"/>
    <col min="4881" max="4881" width="9.875" style="302" bestFit="1" customWidth="1"/>
    <col min="4882" max="5120" width="9" style="302"/>
    <col min="5121" max="5121" width="5" style="302" customWidth="1"/>
    <col min="5122" max="5122" width="40.875" style="302" customWidth="1"/>
    <col min="5123" max="5123" width="10.125" style="302" customWidth="1"/>
    <col min="5124" max="5124" width="10.75" style="302" customWidth="1"/>
    <col min="5125" max="5125" width="10" style="302" customWidth="1"/>
    <col min="5126" max="5126" width="9.625" style="302" bestFit="1" customWidth="1"/>
    <col min="5127" max="5127" width="10.75" style="302" customWidth="1"/>
    <col min="5128" max="5128" width="12.25" style="302" customWidth="1"/>
    <col min="5129" max="5129" width="11.625" style="302" customWidth="1"/>
    <col min="5130" max="5130" width="9.75" style="302" customWidth="1"/>
    <col min="5131" max="5131" width="9.875" style="302" customWidth="1"/>
    <col min="5132" max="5132" width="12" style="302" customWidth="1"/>
    <col min="5133" max="5133" width="9.875" style="302" customWidth="1"/>
    <col min="5134" max="5135" width="10.375" style="302" customWidth="1"/>
    <col min="5136" max="5136" width="16.25" style="302" customWidth="1"/>
    <col min="5137" max="5137" width="9.875" style="302" bestFit="1" customWidth="1"/>
    <col min="5138" max="5376" width="9" style="302"/>
    <col min="5377" max="5377" width="5" style="302" customWidth="1"/>
    <col min="5378" max="5378" width="40.875" style="302" customWidth="1"/>
    <col min="5379" max="5379" width="10.125" style="302" customWidth="1"/>
    <col min="5380" max="5380" width="10.75" style="302" customWidth="1"/>
    <col min="5381" max="5381" width="10" style="302" customWidth="1"/>
    <col min="5382" max="5382" width="9.625" style="302" bestFit="1" customWidth="1"/>
    <col min="5383" max="5383" width="10.75" style="302" customWidth="1"/>
    <col min="5384" max="5384" width="12.25" style="302" customWidth="1"/>
    <col min="5385" max="5385" width="11.625" style="302" customWidth="1"/>
    <col min="5386" max="5386" width="9.75" style="302" customWidth="1"/>
    <col min="5387" max="5387" width="9.875" style="302" customWidth="1"/>
    <col min="5388" max="5388" width="12" style="302" customWidth="1"/>
    <col min="5389" max="5389" width="9.875" style="302" customWidth="1"/>
    <col min="5390" max="5391" width="10.375" style="302" customWidth="1"/>
    <col min="5392" max="5392" width="16.25" style="302" customWidth="1"/>
    <col min="5393" max="5393" width="9.875" style="302" bestFit="1" customWidth="1"/>
    <col min="5394" max="5632" width="9" style="302"/>
    <col min="5633" max="5633" width="5" style="302" customWidth="1"/>
    <col min="5634" max="5634" width="40.875" style="302" customWidth="1"/>
    <col min="5635" max="5635" width="10.125" style="302" customWidth="1"/>
    <col min="5636" max="5636" width="10.75" style="302" customWidth="1"/>
    <col min="5637" max="5637" width="10" style="302" customWidth="1"/>
    <col min="5638" max="5638" width="9.625" style="302" bestFit="1" customWidth="1"/>
    <col min="5639" max="5639" width="10.75" style="302" customWidth="1"/>
    <col min="5640" max="5640" width="12.25" style="302" customWidth="1"/>
    <col min="5641" max="5641" width="11.625" style="302" customWidth="1"/>
    <col min="5642" max="5642" width="9.75" style="302" customWidth="1"/>
    <col min="5643" max="5643" width="9.875" style="302" customWidth="1"/>
    <col min="5644" max="5644" width="12" style="302" customWidth="1"/>
    <col min="5645" max="5645" width="9.875" style="302" customWidth="1"/>
    <col min="5646" max="5647" width="10.375" style="302" customWidth="1"/>
    <col min="5648" max="5648" width="16.25" style="302" customWidth="1"/>
    <col min="5649" max="5649" width="9.875" style="302" bestFit="1" customWidth="1"/>
    <col min="5650" max="5888" width="9" style="302"/>
    <col min="5889" max="5889" width="5" style="302" customWidth="1"/>
    <col min="5890" max="5890" width="40.875" style="302" customWidth="1"/>
    <col min="5891" max="5891" width="10.125" style="302" customWidth="1"/>
    <col min="5892" max="5892" width="10.75" style="302" customWidth="1"/>
    <col min="5893" max="5893" width="10" style="302" customWidth="1"/>
    <col min="5894" max="5894" width="9.625" style="302" bestFit="1" customWidth="1"/>
    <col min="5895" max="5895" width="10.75" style="302" customWidth="1"/>
    <col min="5896" max="5896" width="12.25" style="302" customWidth="1"/>
    <col min="5897" max="5897" width="11.625" style="302" customWidth="1"/>
    <col min="5898" max="5898" width="9.75" style="302" customWidth="1"/>
    <col min="5899" max="5899" width="9.875" style="302" customWidth="1"/>
    <col min="5900" max="5900" width="12" style="302" customWidth="1"/>
    <col min="5901" max="5901" width="9.875" style="302" customWidth="1"/>
    <col min="5902" max="5903" width="10.375" style="302" customWidth="1"/>
    <col min="5904" max="5904" width="16.25" style="302" customWidth="1"/>
    <col min="5905" max="5905" width="9.875" style="302" bestFit="1" customWidth="1"/>
    <col min="5906" max="6144" width="9" style="302"/>
    <col min="6145" max="6145" width="5" style="302" customWidth="1"/>
    <col min="6146" max="6146" width="40.875" style="302" customWidth="1"/>
    <col min="6147" max="6147" width="10.125" style="302" customWidth="1"/>
    <col min="6148" max="6148" width="10.75" style="302" customWidth="1"/>
    <col min="6149" max="6149" width="10" style="302" customWidth="1"/>
    <col min="6150" max="6150" width="9.625" style="302" bestFit="1" customWidth="1"/>
    <col min="6151" max="6151" width="10.75" style="302" customWidth="1"/>
    <col min="6152" max="6152" width="12.25" style="302" customWidth="1"/>
    <col min="6153" max="6153" width="11.625" style="302" customWidth="1"/>
    <col min="6154" max="6154" width="9.75" style="302" customWidth="1"/>
    <col min="6155" max="6155" width="9.875" style="302" customWidth="1"/>
    <col min="6156" max="6156" width="12" style="302" customWidth="1"/>
    <col min="6157" max="6157" width="9.875" style="302" customWidth="1"/>
    <col min="6158" max="6159" width="10.375" style="302" customWidth="1"/>
    <col min="6160" max="6160" width="16.25" style="302" customWidth="1"/>
    <col min="6161" max="6161" width="9.875" style="302" bestFit="1" customWidth="1"/>
    <col min="6162" max="6400" width="9" style="302"/>
    <col min="6401" max="6401" width="5" style="302" customWidth="1"/>
    <col min="6402" max="6402" width="40.875" style="302" customWidth="1"/>
    <col min="6403" max="6403" width="10.125" style="302" customWidth="1"/>
    <col min="6404" max="6404" width="10.75" style="302" customWidth="1"/>
    <col min="6405" max="6405" width="10" style="302" customWidth="1"/>
    <col min="6406" max="6406" width="9.625" style="302" bestFit="1" customWidth="1"/>
    <col min="6407" max="6407" width="10.75" style="302" customWidth="1"/>
    <col min="6408" max="6408" width="12.25" style="302" customWidth="1"/>
    <col min="6409" max="6409" width="11.625" style="302" customWidth="1"/>
    <col min="6410" max="6410" width="9.75" style="302" customWidth="1"/>
    <col min="6411" max="6411" width="9.875" style="302" customWidth="1"/>
    <col min="6412" max="6412" width="12" style="302" customWidth="1"/>
    <col min="6413" max="6413" width="9.875" style="302" customWidth="1"/>
    <col min="6414" max="6415" width="10.375" style="302" customWidth="1"/>
    <col min="6416" max="6416" width="16.25" style="302" customWidth="1"/>
    <col min="6417" max="6417" width="9.875" style="302" bestFit="1" customWidth="1"/>
    <col min="6418" max="6656" width="9" style="302"/>
    <col min="6657" max="6657" width="5" style="302" customWidth="1"/>
    <col min="6658" max="6658" width="40.875" style="302" customWidth="1"/>
    <col min="6659" max="6659" width="10.125" style="302" customWidth="1"/>
    <col min="6660" max="6660" width="10.75" style="302" customWidth="1"/>
    <col min="6661" max="6661" width="10" style="302" customWidth="1"/>
    <col min="6662" max="6662" width="9.625" style="302" bestFit="1" customWidth="1"/>
    <col min="6663" max="6663" width="10.75" style="302" customWidth="1"/>
    <col min="6664" max="6664" width="12.25" style="302" customWidth="1"/>
    <col min="6665" max="6665" width="11.625" style="302" customWidth="1"/>
    <col min="6666" max="6666" width="9.75" style="302" customWidth="1"/>
    <col min="6667" max="6667" width="9.875" style="302" customWidth="1"/>
    <col min="6668" max="6668" width="12" style="302" customWidth="1"/>
    <col min="6669" max="6669" width="9.875" style="302" customWidth="1"/>
    <col min="6670" max="6671" width="10.375" style="302" customWidth="1"/>
    <col min="6672" max="6672" width="16.25" style="302" customWidth="1"/>
    <col min="6673" max="6673" width="9.875" style="302" bestFit="1" customWidth="1"/>
    <col min="6674" max="6912" width="9" style="302"/>
    <col min="6913" max="6913" width="5" style="302" customWidth="1"/>
    <col min="6914" max="6914" width="40.875" style="302" customWidth="1"/>
    <col min="6915" max="6915" width="10.125" style="302" customWidth="1"/>
    <col min="6916" max="6916" width="10.75" style="302" customWidth="1"/>
    <col min="6917" max="6917" width="10" style="302" customWidth="1"/>
    <col min="6918" max="6918" width="9.625" style="302" bestFit="1" customWidth="1"/>
    <col min="6919" max="6919" width="10.75" style="302" customWidth="1"/>
    <col min="6920" max="6920" width="12.25" style="302" customWidth="1"/>
    <col min="6921" max="6921" width="11.625" style="302" customWidth="1"/>
    <col min="6922" max="6922" width="9.75" style="302" customWidth="1"/>
    <col min="6923" max="6923" width="9.875" style="302" customWidth="1"/>
    <col min="6924" max="6924" width="12" style="302" customWidth="1"/>
    <col min="6925" max="6925" width="9.875" style="302" customWidth="1"/>
    <col min="6926" max="6927" width="10.375" style="302" customWidth="1"/>
    <col min="6928" max="6928" width="16.25" style="302" customWidth="1"/>
    <col min="6929" max="6929" width="9.875" style="302" bestFit="1" customWidth="1"/>
    <col min="6930" max="7168" width="9" style="302"/>
    <col min="7169" max="7169" width="5" style="302" customWidth="1"/>
    <col min="7170" max="7170" width="40.875" style="302" customWidth="1"/>
    <col min="7171" max="7171" width="10.125" style="302" customWidth="1"/>
    <col min="7172" max="7172" width="10.75" style="302" customWidth="1"/>
    <col min="7173" max="7173" width="10" style="302" customWidth="1"/>
    <col min="7174" max="7174" width="9.625" style="302" bestFit="1" customWidth="1"/>
    <col min="7175" max="7175" width="10.75" style="302" customWidth="1"/>
    <col min="7176" max="7176" width="12.25" style="302" customWidth="1"/>
    <col min="7177" max="7177" width="11.625" style="302" customWidth="1"/>
    <col min="7178" max="7178" width="9.75" style="302" customWidth="1"/>
    <col min="7179" max="7179" width="9.875" style="302" customWidth="1"/>
    <col min="7180" max="7180" width="12" style="302" customWidth="1"/>
    <col min="7181" max="7181" width="9.875" style="302" customWidth="1"/>
    <col min="7182" max="7183" width="10.375" style="302" customWidth="1"/>
    <col min="7184" max="7184" width="16.25" style="302" customWidth="1"/>
    <col min="7185" max="7185" width="9.875" style="302" bestFit="1" customWidth="1"/>
    <col min="7186" max="7424" width="9" style="302"/>
    <col min="7425" max="7425" width="5" style="302" customWidth="1"/>
    <col min="7426" max="7426" width="40.875" style="302" customWidth="1"/>
    <col min="7427" max="7427" width="10.125" style="302" customWidth="1"/>
    <col min="7428" max="7428" width="10.75" style="302" customWidth="1"/>
    <col min="7429" max="7429" width="10" style="302" customWidth="1"/>
    <col min="7430" max="7430" width="9.625" style="302" bestFit="1" customWidth="1"/>
    <col min="7431" max="7431" width="10.75" style="302" customWidth="1"/>
    <col min="7432" max="7432" width="12.25" style="302" customWidth="1"/>
    <col min="7433" max="7433" width="11.625" style="302" customWidth="1"/>
    <col min="7434" max="7434" width="9.75" style="302" customWidth="1"/>
    <col min="7435" max="7435" width="9.875" style="302" customWidth="1"/>
    <col min="7436" max="7436" width="12" style="302" customWidth="1"/>
    <col min="7437" max="7437" width="9.875" style="302" customWidth="1"/>
    <col min="7438" max="7439" width="10.375" style="302" customWidth="1"/>
    <col min="7440" max="7440" width="16.25" style="302" customWidth="1"/>
    <col min="7441" max="7441" width="9.875" style="302" bestFit="1" customWidth="1"/>
    <col min="7442" max="7680" width="9" style="302"/>
    <col min="7681" max="7681" width="5" style="302" customWidth="1"/>
    <col min="7682" max="7682" width="40.875" style="302" customWidth="1"/>
    <col min="7683" max="7683" width="10.125" style="302" customWidth="1"/>
    <col min="7684" max="7684" width="10.75" style="302" customWidth="1"/>
    <col min="7685" max="7685" width="10" style="302" customWidth="1"/>
    <col min="7686" max="7686" width="9.625" style="302" bestFit="1" customWidth="1"/>
    <col min="7687" max="7687" width="10.75" style="302" customWidth="1"/>
    <col min="7688" max="7688" width="12.25" style="302" customWidth="1"/>
    <col min="7689" max="7689" width="11.625" style="302" customWidth="1"/>
    <col min="7690" max="7690" width="9.75" style="302" customWidth="1"/>
    <col min="7691" max="7691" width="9.875" style="302" customWidth="1"/>
    <col min="7692" max="7692" width="12" style="302" customWidth="1"/>
    <col min="7693" max="7693" width="9.875" style="302" customWidth="1"/>
    <col min="7694" max="7695" width="10.375" style="302" customWidth="1"/>
    <col min="7696" max="7696" width="16.25" style="302" customWidth="1"/>
    <col min="7697" max="7697" width="9.875" style="302" bestFit="1" customWidth="1"/>
    <col min="7698" max="7936" width="9" style="302"/>
    <col min="7937" max="7937" width="5" style="302" customWidth="1"/>
    <col min="7938" max="7938" width="40.875" style="302" customWidth="1"/>
    <col min="7939" max="7939" width="10.125" style="302" customWidth="1"/>
    <col min="7940" max="7940" width="10.75" style="302" customWidth="1"/>
    <col min="7941" max="7941" width="10" style="302" customWidth="1"/>
    <col min="7942" max="7942" width="9.625" style="302" bestFit="1" customWidth="1"/>
    <col min="7943" max="7943" width="10.75" style="302" customWidth="1"/>
    <col min="7944" max="7944" width="12.25" style="302" customWidth="1"/>
    <col min="7945" max="7945" width="11.625" style="302" customWidth="1"/>
    <col min="7946" max="7946" width="9.75" style="302" customWidth="1"/>
    <col min="7947" max="7947" width="9.875" style="302" customWidth="1"/>
    <col min="7948" max="7948" width="12" style="302" customWidth="1"/>
    <col min="7949" max="7949" width="9.875" style="302" customWidth="1"/>
    <col min="7950" max="7951" width="10.375" style="302" customWidth="1"/>
    <col min="7952" max="7952" width="16.25" style="302" customWidth="1"/>
    <col min="7953" max="7953" width="9.875" style="302" bestFit="1" customWidth="1"/>
    <col min="7954" max="8192" width="9" style="302"/>
    <col min="8193" max="8193" width="5" style="302" customWidth="1"/>
    <col min="8194" max="8194" width="40.875" style="302" customWidth="1"/>
    <col min="8195" max="8195" width="10.125" style="302" customWidth="1"/>
    <col min="8196" max="8196" width="10.75" style="302" customWidth="1"/>
    <col min="8197" max="8197" width="10" style="302" customWidth="1"/>
    <col min="8198" max="8198" width="9.625" style="302" bestFit="1" customWidth="1"/>
    <col min="8199" max="8199" width="10.75" style="302" customWidth="1"/>
    <col min="8200" max="8200" width="12.25" style="302" customWidth="1"/>
    <col min="8201" max="8201" width="11.625" style="302" customWidth="1"/>
    <col min="8202" max="8202" width="9.75" style="302" customWidth="1"/>
    <col min="8203" max="8203" width="9.875" style="302" customWidth="1"/>
    <col min="8204" max="8204" width="12" style="302" customWidth="1"/>
    <col min="8205" max="8205" width="9.875" style="302" customWidth="1"/>
    <col min="8206" max="8207" width="10.375" style="302" customWidth="1"/>
    <col min="8208" max="8208" width="16.25" style="302" customWidth="1"/>
    <col min="8209" max="8209" width="9.875" style="302" bestFit="1" customWidth="1"/>
    <col min="8210" max="8448" width="9" style="302"/>
    <col min="8449" max="8449" width="5" style="302" customWidth="1"/>
    <col min="8450" max="8450" width="40.875" style="302" customWidth="1"/>
    <col min="8451" max="8451" width="10.125" style="302" customWidth="1"/>
    <col min="8452" max="8452" width="10.75" style="302" customWidth="1"/>
    <col min="8453" max="8453" width="10" style="302" customWidth="1"/>
    <col min="8454" max="8454" width="9.625" style="302" bestFit="1" customWidth="1"/>
    <col min="8455" max="8455" width="10.75" style="302" customWidth="1"/>
    <col min="8456" max="8456" width="12.25" style="302" customWidth="1"/>
    <col min="8457" max="8457" width="11.625" style="302" customWidth="1"/>
    <col min="8458" max="8458" width="9.75" style="302" customWidth="1"/>
    <col min="8459" max="8459" width="9.875" style="302" customWidth="1"/>
    <col min="8460" max="8460" width="12" style="302" customWidth="1"/>
    <col min="8461" max="8461" width="9.875" style="302" customWidth="1"/>
    <col min="8462" max="8463" width="10.375" style="302" customWidth="1"/>
    <col min="8464" max="8464" width="16.25" style="302" customWidth="1"/>
    <col min="8465" max="8465" width="9.875" style="302" bestFit="1" customWidth="1"/>
    <col min="8466" max="8704" width="9" style="302"/>
    <col min="8705" max="8705" width="5" style="302" customWidth="1"/>
    <col min="8706" max="8706" width="40.875" style="302" customWidth="1"/>
    <col min="8707" max="8707" width="10.125" style="302" customWidth="1"/>
    <col min="8708" max="8708" width="10.75" style="302" customWidth="1"/>
    <col min="8709" max="8709" width="10" style="302" customWidth="1"/>
    <col min="8710" max="8710" width="9.625" style="302" bestFit="1" customWidth="1"/>
    <col min="8711" max="8711" width="10.75" style="302" customWidth="1"/>
    <col min="8712" max="8712" width="12.25" style="302" customWidth="1"/>
    <col min="8713" max="8713" width="11.625" style="302" customWidth="1"/>
    <col min="8714" max="8714" width="9.75" style="302" customWidth="1"/>
    <col min="8715" max="8715" width="9.875" style="302" customWidth="1"/>
    <col min="8716" max="8716" width="12" style="302" customWidth="1"/>
    <col min="8717" max="8717" width="9.875" style="302" customWidth="1"/>
    <col min="8718" max="8719" width="10.375" style="302" customWidth="1"/>
    <col min="8720" max="8720" width="16.25" style="302" customWidth="1"/>
    <col min="8721" max="8721" width="9.875" style="302" bestFit="1" customWidth="1"/>
    <col min="8722" max="8960" width="9" style="302"/>
    <col min="8961" max="8961" width="5" style="302" customWidth="1"/>
    <col min="8962" max="8962" width="40.875" style="302" customWidth="1"/>
    <col min="8963" max="8963" width="10.125" style="302" customWidth="1"/>
    <col min="8964" max="8964" width="10.75" style="302" customWidth="1"/>
    <col min="8965" max="8965" width="10" style="302" customWidth="1"/>
    <col min="8966" max="8966" width="9.625" style="302" bestFit="1" customWidth="1"/>
    <col min="8967" max="8967" width="10.75" style="302" customWidth="1"/>
    <col min="8968" max="8968" width="12.25" style="302" customWidth="1"/>
    <col min="8969" max="8969" width="11.625" style="302" customWidth="1"/>
    <col min="8970" max="8970" width="9.75" style="302" customWidth="1"/>
    <col min="8971" max="8971" width="9.875" style="302" customWidth="1"/>
    <col min="8972" max="8972" width="12" style="302" customWidth="1"/>
    <col min="8973" max="8973" width="9.875" style="302" customWidth="1"/>
    <col min="8974" max="8975" width="10.375" style="302" customWidth="1"/>
    <col min="8976" max="8976" width="16.25" style="302" customWidth="1"/>
    <col min="8977" max="8977" width="9.875" style="302" bestFit="1" customWidth="1"/>
    <col min="8978" max="9216" width="9" style="302"/>
    <col min="9217" max="9217" width="5" style="302" customWidth="1"/>
    <col min="9218" max="9218" width="40.875" style="302" customWidth="1"/>
    <col min="9219" max="9219" width="10.125" style="302" customWidth="1"/>
    <col min="9220" max="9220" width="10.75" style="302" customWidth="1"/>
    <col min="9221" max="9221" width="10" style="302" customWidth="1"/>
    <col min="9222" max="9222" width="9.625" style="302" bestFit="1" customWidth="1"/>
    <col min="9223" max="9223" width="10.75" style="302" customWidth="1"/>
    <col min="9224" max="9224" width="12.25" style="302" customWidth="1"/>
    <col min="9225" max="9225" width="11.625" style="302" customWidth="1"/>
    <col min="9226" max="9226" width="9.75" style="302" customWidth="1"/>
    <col min="9227" max="9227" width="9.875" style="302" customWidth="1"/>
    <col min="9228" max="9228" width="12" style="302" customWidth="1"/>
    <col min="9229" max="9229" width="9.875" style="302" customWidth="1"/>
    <col min="9230" max="9231" width="10.375" style="302" customWidth="1"/>
    <col min="9232" max="9232" width="16.25" style="302" customWidth="1"/>
    <col min="9233" max="9233" width="9.875" style="302" bestFit="1" customWidth="1"/>
    <col min="9234" max="9472" width="9" style="302"/>
    <col min="9473" max="9473" width="5" style="302" customWidth="1"/>
    <col min="9474" max="9474" width="40.875" style="302" customWidth="1"/>
    <col min="9475" max="9475" width="10.125" style="302" customWidth="1"/>
    <col min="9476" max="9476" width="10.75" style="302" customWidth="1"/>
    <col min="9477" max="9477" width="10" style="302" customWidth="1"/>
    <col min="9478" max="9478" width="9.625" style="302" bestFit="1" customWidth="1"/>
    <col min="9479" max="9479" width="10.75" style="302" customWidth="1"/>
    <col min="9480" max="9480" width="12.25" style="302" customWidth="1"/>
    <col min="9481" max="9481" width="11.625" style="302" customWidth="1"/>
    <col min="9482" max="9482" width="9.75" style="302" customWidth="1"/>
    <col min="9483" max="9483" width="9.875" style="302" customWidth="1"/>
    <col min="9484" max="9484" width="12" style="302" customWidth="1"/>
    <col min="9485" max="9485" width="9.875" style="302" customWidth="1"/>
    <col min="9486" max="9487" width="10.375" style="302" customWidth="1"/>
    <col min="9488" max="9488" width="16.25" style="302" customWidth="1"/>
    <col min="9489" max="9489" width="9.875" style="302" bestFit="1" customWidth="1"/>
    <col min="9490" max="9728" width="9" style="302"/>
    <col min="9729" max="9729" width="5" style="302" customWidth="1"/>
    <col min="9730" max="9730" width="40.875" style="302" customWidth="1"/>
    <col min="9731" max="9731" width="10.125" style="302" customWidth="1"/>
    <col min="9732" max="9732" width="10.75" style="302" customWidth="1"/>
    <col min="9733" max="9733" width="10" style="302" customWidth="1"/>
    <col min="9734" max="9734" width="9.625" style="302" bestFit="1" customWidth="1"/>
    <col min="9735" max="9735" width="10.75" style="302" customWidth="1"/>
    <col min="9736" max="9736" width="12.25" style="302" customWidth="1"/>
    <col min="9737" max="9737" width="11.625" style="302" customWidth="1"/>
    <col min="9738" max="9738" width="9.75" style="302" customWidth="1"/>
    <col min="9739" max="9739" width="9.875" style="302" customWidth="1"/>
    <col min="9740" max="9740" width="12" style="302" customWidth="1"/>
    <col min="9741" max="9741" width="9.875" style="302" customWidth="1"/>
    <col min="9742" max="9743" width="10.375" style="302" customWidth="1"/>
    <col min="9744" max="9744" width="16.25" style="302" customWidth="1"/>
    <col min="9745" max="9745" width="9.875" style="302" bestFit="1" customWidth="1"/>
    <col min="9746" max="9984" width="9" style="302"/>
    <col min="9985" max="9985" width="5" style="302" customWidth="1"/>
    <col min="9986" max="9986" width="40.875" style="302" customWidth="1"/>
    <col min="9987" max="9987" width="10.125" style="302" customWidth="1"/>
    <col min="9988" max="9988" width="10.75" style="302" customWidth="1"/>
    <col min="9989" max="9989" width="10" style="302" customWidth="1"/>
    <col min="9990" max="9990" width="9.625" style="302" bestFit="1" customWidth="1"/>
    <col min="9991" max="9991" width="10.75" style="302" customWidth="1"/>
    <col min="9992" max="9992" width="12.25" style="302" customWidth="1"/>
    <col min="9993" max="9993" width="11.625" style="302" customWidth="1"/>
    <col min="9994" max="9994" width="9.75" style="302" customWidth="1"/>
    <col min="9995" max="9995" width="9.875" style="302" customWidth="1"/>
    <col min="9996" max="9996" width="12" style="302" customWidth="1"/>
    <col min="9997" max="9997" width="9.875" style="302" customWidth="1"/>
    <col min="9998" max="9999" width="10.375" style="302" customWidth="1"/>
    <col min="10000" max="10000" width="16.25" style="302" customWidth="1"/>
    <col min="10001" max="10001" width="9.875" style="302" bestFit="1" customWidth="1"/>
    <col min="10002" max="10240" width="9" style="302"/>
    <col min="10241" max="10241" width="5" style="302" customWidth="1"/>
    <col min="10242" max="10242" width="40.875" style="302" customWidth="1"/>
    <col min="10243" max="10243" width="10.125" style="302" customWidth="1"/>
    <col min="10244" max="10244" width="10.75" style="302" customWidth="1"/>
    <col min="10245" max="10245" width="10" style="302" customWidth="1"/>
    <col min="10246" max="10246" width="9.625" style="302" bestFit="1" customWidth="1"/>
    <col min="10247" max="10247" width="10.75" style="302" customWidth="1"/>
    <col min="10248" max="10248" width="12.25" style="302" customWidth="1"/>
    <col min="10249" max="10249" width="11.625" style="302" customWidth="1"/>
    <col min="10250" max="10250" width="9.75" style="302" customWidth="1"/>
    <col min="10251" max="10251" width="9.875" style="302" customWidth="1"/>
    <col min="10252" max="10252" width="12" style="302" customWidth="1"/>
    <col min="10253" max="10253" width="9.875" style="302" customWidth="1"/>
    <col min="10254" max="10255" width="10.375" style="302" customWidth="1"/>
    <col min="10256" max="10256" width="16.25" style="302" customWidth="1"/>
    <col min="10257" max="10257" width="9.875" style="302" bestFit="1" customWidth="1"/>
    <col min="10258" max="10496" width="9" style="302"/>
    <col min="10497" max="10497" width="5" style="302" customWidth="1"/>
    <col min="10498" max="10498" width="40.875" style="302" customWidth="1"/>
    <col min="10499" max="10499" width="10.125" style="302" customWidth="1"/>
    <col min="10500" max="10500" width="10.75" style="302" customWidth="1"/>
    <col min="10501" max="10501" width="10" style="302" customWidth="1"/>
    <col min="10502" max="10502" width="9.625" style="302" bestFit="1" customWidth="1"/>
    <col min="10503" max="10503" width="10.75" style="302" customWidth="1"/>
    <col min="10504" max="10504" width="12.25" style="302" customWidth="1"/>
    <col min="10505" max="10505" width="11.625" style="302" customWidth="1"/>
    <col min="10506" max="10506" width="9.75" style="302" customWidth="1"/>
    <col min="10507" max="10507" width="9.875" style="302" customWidth="1"/>
    <col min="10508" max="10508" width="12" style="302" customWidth="1"/>
    <col min="10509" max="10509" width="9.875" style="302" customWidth="1"/>
    <col min="10510" max="10511" width="10.375" style="302" customWidth="1"/>
    <col min="10512" max="10512" width="16.25" style="302" customWidth="1"/>
    <col min="10513" max="10513" width="9.875" style="302" bestFit="1" customWidth="1"/>
    <col min="10514" max="10752" width="9" style="302"/>
    <col min="10753" max="10753" width="5" style="302" customWidth="1"/>
    <col min="10754" max="10754" width="40.875" style="302" customWidth="1"/>
    <col min="10755" max="10755" width="10.125" style="302" customWidth="1"/>
    <col min="10756" max="10756" width="10.75" style="302" customWidth="1"/>
    <col min="10757" max="10757" width="10" style="302" customWidth="1"/>
    <col min="10758" max="10758" width="9.625" style="302" bestFit="1" customWidth="1"/>
    <col min="10759" max="10759" width="10.75" style="302" customWidth="1"/>
    <col min="10760" max="10760" width="12.25" style="302" customWidth="1"/>
    <col min="10761" max="10761" width="11.625" style="302" customWidth="1"/>
    <col min="10762" max="10762" width="9.75" style="302" customWidth="1"/>
    <col min="10763" max="10763" width="9.875" style="302" customWidth="1"/>
    <col min="10764" max="10764" width="12" style="302" customWidth="1"/>
    <col min="10765" max="10765" width="9.875" style="302" customWidth="1"/>
    <col min="10766" max="10767" width="10.375" style="302" customWidth="1"/>
    <col min="10768" max="10768" width="16.25" style="302" customWidth="1"/>
    <col min="10769" max="10769" width="9.875" style="302" bestFit="1" customWidth="1"/>
    <col min="10770" max="11008" width="9" style="302"/>
    <col min="11009" max="11009" width="5" style="302" customWidth="1"/>
    <col min="11010" max="11010" width="40.875" style="302" customWidth="1"/>
    <col min="11011" max="11011" width="10.125" style="302" customWidth="1"/>
    <col min="11012" max="11012" width="10.75" style="302" customWidth="1"/>
    <col min="11013" max="11013" width="10" style="302" customWidth="1"/>
    <col min="11014" max="11014" width="9.625" style="302" bestFit="1" customWidth="1"/>
    <col min="11015" max="11015" width="10.75" style="302" customWidth="1"/>
    <col min="11016" max="11016" width="12.25" style="302" customWidth="1"/>
    <col min="11017" max="11017" width="11.625" style="302" customWidth="1"/>
    <col min="11018" max="11018" width="9.75" style="302" customWidth="1"/>
    <col min="11019" max="11019" width="9.875" style="302" customWidth="1"/>
    <col min="11020" max="11020" width="12" style="302" customWidth="1"/>
    <col min="11021" max="11021" width="9.875" style="302" customWidth="1"/>
    <col min="11022" max="11023" width="10.375" style="302" customWidth="1"/>
    <col min="11024" max="11024" width="16.25" style="302" customWidth="1"/>
    <col min="11025" max="11025" width="9.875" style="302" bestFit="1" customWidth="1"/>
    <col min="11026" max="11264" width="9" style="302"/>
    <col min="11265" max="11265" width="5" style="302" customWidth="1"/>
    <col min="11266" max="11266" width="40.875" style="302" customWidth="1"/>
    <col min="11267" max="11267" width="10.125" style="302" customWidth="1"/>
    <col min="11268" max="11268" width="10.75" style="302" customWidth="1"/>
    <col min="11269" max="11269" width="10" style="302" customWidth="1"/>
    <col min="11270" max="11270" width="9.625" style="302" bestFit="1" customWidth="1"/>
    <col min="11271" max="11271" width="10.75" style="302" customWidth="1"/>
    <col min="11272" max="11272" width="12.25" style="302" customWidth="1"/>
    <col min="11273" max="11273" width="11.625" style="302" customWidth="1"/>
    <col min="11274" max="11274" width="9.75" style="302" customWidth="1"/>
    <col min="11275" max="11275" width="9.875" style="302" customWidth="1"/>
    <col min="11276" max="11276" width="12" style="302" customWidth="1"/>
    <col min="11277" max="11277" width="9.875" style="302" customWidth="1"/>
    <col min="11278" max="11279" width="10.375" style="302" customWidth="1"/>
    <col min="11280" max="11280" width="16.25" style="302" customWidth="1"/>
    <col min="11281" max="11281" width="9.875" style="302" bestFit="1" customWidth="1"/>
    <col min="11282" max="11520" width="9" style="302"/>
    <col min="11521" max="11521" width="5" style="302" customWidth="1"/>
    <col min="11522" max="11522" width="40.875" style="302" customWidth="1"/>
    <col min="11523" max="11523" width="10.125" style="302" customWidth="1"/>
    <col min="11524" max="11524" width="10.75" style="302" customWidth="1"/>
    <col min="11525" max="11525" width="10" style="302" customWidth="1"/>
    <col min="11526" max="11526" width="9.625" style="302" bestFit="1" customWidth="1"/>
    <col min="11527" max="11527" width="10.75" style="302" customWidth="1"/>
    <col min="11528" max="11528" width="12.25" style="302" customWidth="1"/>
    <col min="11529" max="11529" width="11.625" style="302" customWidth="1"/>
    <col min="11530" max="11530" width="9.75" style="302" customWidth="1"/>
    <col min="11531" max="11531" width="9.875" style="302" customWidth="1"/>
    <col min="11532" max="11532" width="12" style="302" customWidth="1"/>
    <col min="11533" max="11533" width="9.875" style="302" customWidth="1"/>
    <col min="11534" max="11535" width="10.375" style="302" customWidth="1"/>
    <col min="11536" max="11536" width="16.25" style="302" customWidth="1"/>
    <col min="11537" max="11537" width="9.875" style="302" bestFit="1" customWidth="1"/>
    <col min="11538" max="11776" width="9" style="302"/>
    <col min="11777" max="11777" width="5" style="302" customWidth="1"/>
    <col min="11778" max="11778" width="40.875" style="302" customWidth="1"/>
    <col min="11779" max="11779" width="10.125" style="302" customWidth="1"/>
    <col min="11780" max="11780" width="10.75" style="302" customWidth="1"/>
    <col min="11781" max="11781" width="10" style="302" customWidth="1"/>
    <col min="11782" max="11782" width="9.625" style="302" bestFit="1" customWidth="1"/>
    <col min="11783" max="11783" width="10.75" style="302" customWidth="1"/>
    <col min="11784" max="11784" width="12.25" style="302" customWidth="1"/>
    <col min="11785" max="11785" width="11.625" style="302" customWidth="1"/>
    <col min="11786" max="11786" width="9.75" style="302" customWidth="1"/>
    <col min="11787" max="11787" width="9.875" style="302" customWidth="1"/>
    <col min="11788" max="11788" width="12" style="302" customWidth="1"/>
    <col min="11789" max="11789" width="9.875" style="302" customWidth="1"/>
    <col min="11790" max="11791" width="10.375" style="302" customWidth="1"/>
    <col min="11792" max="11792" width="16.25" style="302" customWidth="1"/>
    <col min="11793" max="11793" width="9.875" style="302" bestFit="1" customWidth="1"/>
    <col min="11794" max="12032" width="9" style="302"/>
    <col min="12033" max="12033" width="5" style="302" customWidth="1"/>
    <col min="12034" max="12034" width="40.875" style="302" customWidth="1"/>
    <col min="12035" max="12035" width="10.125" style="302" customWidth="1"/>
    <col min="12036" max="12036" width="10.75" style="302" customWidth="1"/>
    <col min="12037" max="12037" width="10" style="302" customWidth="1"/>
    <col min="12038" max="12038" width="9.625" style="302" bestFit="1" customWidth="1"/>
    <col min="12039" max="12039" width="10.75" style="302" customWidth="1"/>
    <col min="12040" max="12040" width="12.25" style="302" customWidth="1"/>
    <col min="12041" max="12041" width="11.625" style="302" customWidth="1"/>
    <col min="12042" max="12042" width="9.75" style="302" customWidth="1"/>
    <col min="12043" max="12043" width="9.875" style="302" customWidth="1"/>
    <col min="12044" max="12044" width="12" style="302" customWidth="1"/>
    <col min="12045" max="12045" width="9.875" style="302" customWidth="1"/>
    <col min="12046" max="12047" width="10.375" style="302" customWidth="1"/>
    <col min="12048" max="12048" width="16.25" style="302" customWidth="1"/>
    <col min="12049" max="12049" width="9.875" style="302" bestFit="1" customWidth="1"/>
    <col min="12050" max="12288" width="9" style="302"/>
    <col min="12289" max="12289" width="5" style="302" customWidth="1"/>
    <col min="12290" max="12290" width="40.875" style="302" customWidth="1"/>
    <col min="12291" max="12291" width="10.125" style="302" customWidth="1"/>
    <col min="12292" max="12292" width="10.75" style="302" customWidth="1"/>
    <col min="12293" max="12293" width="10" style="302" customWidth="1"/>
    <col min="12294" max="12294" width="9.625" style="302" bestFit="1" customWidth="1"/>
    <col min="12295" max="12295" width="10.75" style="302" customWidth="1"/>
    <col min="12296" max="12296" width="12.25" style="302" customWidth="1"/>
    <col min="12297" max="12297" width="11.625" style="302" customWidth="1"/>
    <col min="12298" max="12298" width="9.75" style="302" customWidth="1"/>
    <col min="12299" max="12299" width="9.875" style="302" customWidth="1"/>
    <col min="12300" max="12300" width="12" style="302" customWidth="1"/>
    <col min="12301" max="12301" width="9.875" style="302" customWidth="1"/>
    <col min="12302" max="12303" width="10.375" style="302" customWidth="1"/>
    <col min="12304" max="12304" width="16.25" style="302" customWidth="1"/>
    <col min="12305" max="12305" width="9.875" style="302" bestFit="1" customWidth="1"/>
    <col min="12306" max="12544" width="9" style="302"/>
    <col min="12545" max="12545" width="5" style="302" customWidth="1"/>
    <col min="12546" max="12546" width="40.875" style="302" customWidth="1"/>
    <col min="12547" max="12547" width="10.125" style="302" customWidth="1"/>
    <col min="12548" max="12548" width="10.75" style="302" customWidth="1"/>
    <col min="12549" max="12549" width="10" style="302" customWidth="1"/>
    <col min="12550" max="12550" width="9.625" style="302" bestFit="1" customWidth="1"/>
    <col min="12551" max="12551" width="10.75" style="302" customWidth="1"/>
    <col min="12552" max="12552" width="12.25" style="302" customWidth="1"/>
    <col min="12553" max="12553" width="11.625" style="302" customWidth="1"/>
    <col min="12554" max="12554" width="9.75" style="302" customWidth="1"/>
    <col min="12555" max="12555" width="9.875" style="302" customWidth="1"/>
    <col min="12556" max="12556" width="12" style="302" customWidth="1"/>
    <col min="12557" max="12557" width="9.875" style="302" customWidth="1"/>
    <col min="12558" max="12559" width="10.375" style="302" customWidth="1"/>
    <col min="12560" max="12560" width="16.25" style="302" customWidth="1"/>
    <col min="12561" max="12561" width="9.875" style="302" bestFit="1" customWidth="1"/>
    <col min="12562" max="12800" width="9" style="302"/>
    <col min="12801" max="12801" width="5" style="302" customWidth="1"/>
    <col min="12802" max="12802" width="40.875" style="302" customWidth="1"/>
    <col min="12803" max="12803" width="10.125" style="302" customWidth="1"/>
    <col min="12804" max="12804" width="10.75" style="302" customWidth="1"/>
    <col min="12805" max="12805" width="10" style="302" customWidth="1"/>
    <col min="12806" max="12806" width="9.625" style="302" bestFit="1" customWidth="1"/>
    <col min="12807" max="12807" width="10.75" style="302" customWidth="1"/>
    <col min="12808" max="12808" width="12.25" style="302" customWidth="1"/>
    <col min="12809" max="12809" width="11.625" style="302" customWidth="1"/>
    <col min="12810" max="12810" width="9.75" style="302" customWidth="1"/>
    <col min="12811" max="12811" width="9.875" style="302" customWidth="1"/>
    <col min="12812" max="12812" width="12" style="302" customWidth="1"/>
    <col min="12813" max="12813" width="9.875" style="302" customWidth="1"/>
    <col min="12814" max="12815" width="10.375" style="302" customWidth="1"/>
    <col min="12816" max="12816" width="16.25" style="302" customWidth="1"/>
    <col min="12817" max="12817" width="9.875" style="302" bestFit="1" customWidth="1"/>
    <col min="12818" max="13056" width="9" style="302"/>
    <col min="13057" max="13057" width="5" style="302" customWidth="1"/>
    <col min="13058" max="13058" width="40.875" style="302" customWidth="1"/>
    <col min="13059" max="13059" width="10.125" style="302" customWidth="1"/>
    <col min="13060" max="13060" width="10.75" style="302" customWidth="1"/>
    <col min="13061" max="13061" width="10" style="302" customWidth="1"/>
    <col min="13062" max="13062" width="9.625" style="302" bestFit="1" customWidth="1"/>
    <col min="13063" max="13063" width="10.75" style="302" customWidth="1"/>
    <col min="13064" max="13064" width="12.25" style="302" customWidth="1"/>
    <col min="13065" max="13065" width="11.625" style="302" customWidth="1"/>
    <col min="13066" max="13066" width="9.75" style="302" customWidth="1"/>
    <col min="13067" max="13067" width="9.875" style="302" customWidth="1"/>
    <col min="13068" max="13068" width="12" style="302" customWidth="1"/>
    <col min="13069" max="13069" width="9.875" style="302" customWidth="1"/>
    <col min="13070" max="13071" width="10.375" style="302" customWidth="1"/>
    <col min="13072" max="13072" width="16.25" style="302" customWidth="1"/>
    <col min="13073" max="13073" width="9.875" style="302" bestFit="1" customWidth="1"/>
    <col min="13074" max="13312" width="9" style="302"/>
    <col min="13313" max="13313" width="5" style="302" customWidth="1"/>
    <col min="13314" max="13314" width="40.875" style="302" customWidth="1"/>
    <col min="13315" max="13315" width="10.125" style="302" customWidth="1"/>
    <col min="13316" max="13316" width="10.75" style="302" customWidth="1"/>
    <col min="13317" max="13317" width="10" style="302" customWidth="1"/>
    <col min="13318" max="13318" width="9.625" style="302" bestFit="1" customWidth="1"/>
    <col min="13319" max="13319" width="10.75" style="302" customWidth="1"/>
    <col min="13320" max="13320" width="12.25" style="302" customWidth="1"/>
    <col min="13321" max="13321" width="11.625" style="302" customWidth="1"/>
    <col min="13322" max="13322" width="9.75" style="302" customWidth="1"/>
    <col min="13323" max="13323" width="9.875" style="302" customWidth="1"/>
    <col min="13324" max="13324" width="12" style="302" customWidth="1"/>
    <col min="13325" max="13325" width="9.875" style="302" customWidth="1"/>
    <col min="13326" max="13327" width="10.375" style="302" customWidth="1"/>
    <col min="13328" max="13328" width="16.25" style="302" customWidth="1"/>
    <col min="13329" max="13329" width="9.875" style="302" bestFit="1" customWidth="1"/>
    <col min="13330" max="13568" width="9" style="302"/>
    <col min="13569" max="13569" width="5" style="302" customWidth="1"/>
    <col min="13570" max="13570" width="40.875" style="302" customWidth="1"/>
    <col min="13571" max="13571" width="10.125" style="302" customWidth="1"/>
    <col min="13572" max="13572" width="10.75" style="302" customWidth="1"/>
    <col min="13573" max="13573" width="10" style="302" customWidth="1"/>
    <col min="13574" max="13574" width="9.625" style="302" bestFit="1" customWidth="1"/>
    <col min="13575" max="13575" width="10.75" style="302" customWidth="1"/>
    <col min="13576" max="13576" width="12.25" style="302" customWidth="1"/>
    <col min="13577" max="13577" width="11.625" style="302" customWidth="1"/>
    <col min="13578" max="13578" width="9.75" style="302" customWidth="1"/>
    <col min="13579" max="13579" width="9.875" style="302" customWidth="1"/>
    <col min="13580" max="13580" width="12" style="302" customWidth="1"/>
    <col min="13581" max="13581" width="9.875" style="302" customWidth="1"/>
    <col min="13582" max="13583" width="10.375" style="302" customWidth="1"/>
    <col min="13584" max="13584" width="16.25" style="302" customWidth="1"/>
    <col min="13585" max="13585" width="9.875" style="302" bestFit="1" customWidth="1"/>
    <col min="13586" max="13824" width="9" style="302"/>
    <col min="13825" max="13825" width="5" style="302" customWidth="1"/>
    <col min="13826" max="13826" width="40.875" style="302" customWidth="1"/>
    <col min="13827" max="13827" width="10.125" style="302" customWidth="1"/>
    <col min="13828" max="13828" width="10.75" style="302" customWidth="1"/>
    <col min="13829" max="13829" width="10" style="302" customWidth="1"/>
    <col min="13830" max="13830" width="9.625" style="302" bestFit="1" customWidth="1"/>
    <col min="13831" max="13831" width="10.75" style="302" customWidth="1"/>
    <col min="13832" max="13832" width="12.25" style="302" customWidth="1"/>
    <col min="13833" max="13833" width="11.625" style="302" customWidth="1"/>
    <col min="13834" max="13834" width="9.75" style="302" customWidth="1"/>
    <col min="13835" max="13835" width="9.875" style="302" customWidth="1"/>
    <col min="13836" max="13836" width="12" style="302" customWidth="1"/>
    <col min="13837" max="13837" width="9.875" style="302" customWidth="1"/>
    <col min="13838" max="13839" width="10.375" style="302" customWidth="1"/>
    <col min="13840" max="13840" width="16.25" style="302" customWidth="1"/>
    <col min="13841" max="13841" width="9.875" style="302" bestFit="1" customWidth="1"/>
    <col min="13842" max="14080" width="9" style="302"/>
    <col min="14081" max="14081" width="5" style="302" customWidth="1"/>
    <col min="14082" max="14082" width="40.875" style="302" customWidth="1"/>
    <col min="14083" max="14083" width="10.125" style="302" customWidth="1"/>
    <col min="14084" max="14084" width="10.75" style="302" customWidth="1"/>
    <col min="14085" max="14085" width="10" style="302" customWidth="1"/>
    <col min="14086" max="14086" width="9.625" style="302" bestFit="1" customWidth="1"/>
    <col min="14087" max="14087" width="10.75" style="302" customWidth="1"/>
    <col min="14088" max="14088" width="12.25" style="302" customWidth="1"/>
    <col min="14089" max="14089" width="11.625" style="302" customWidth="1"/>
    <col min="14090" max="14090" width="9.75" style="302" customWidth="1"/>
    <col min="14091" max="14091" width="9.875" style="302" customWidth="1"/>
    <col min="14092" max="14092" width="12" style="302" customWidth="1"/>
    <col min="14093" max="14093" width="9.875" style="302" customWidth="1"/>
    <col min="14094" max="14095" width="10.375" style="302" customWidth="1"/>
    <col min="14096" max="14096" width="16.25" style="302" customWidth="1"/>
    <col min="14097" max="14097" width="9.875" style="302" bestFit="1" customWidth="1"/>
    <col min="14098" max="14336" width="9" style="302"/>
    <col min="14337" max="14337" width="5" style="302" customWidth="1"/>
    <col min="14338" max="14338" width="40.875" style="302" customWidth="1"/>
    <col min="14339" max="14339" width="10.125" style="302" customWidth="1"/>
    <col min="14340" max="14340" width="10.75" style="302" customWidth="1"/>
    <col min="14341" max="14341" width="10" style="302" customWidth="1"/>
    <col min="14342" max="14342" width="9.625" style="302" bestFit="1" customWidth="1"/>
    <col min="14343" max="14343" width="10.75" style="302" customWidth="1"/>
    <col min="14344" max="14344" width="12.25" style="302" customWidth="1"/>
    <col min="14345" max="14345" width="11.625" style="302" customWidth="1"/>
    <col min="14346" max="14346" width="9.75" style="302" customWidth="1"/>
    <col min="14347" max="14347" width="9.875" style="302" customWidth="1"/>
    <col min="14348" max="14348" width="12" style="302" customWidth="1"/>
    <col min="14349" max="14349" width="9.875" style="302" customWidth="1"/>
    <col min="14350" max="14351" width="10.375" style="302" customWidth="1"/>
    <col min="14352" max="14352" width="16.25" style="302" customWidth="1"/>
    <col min="14353" max="14353" width="9.875" style="302" bestFit="1" customWidth="1"/>
    <col min="14354" max="14592" width="9" style="302"/>
    <col min="14593" max="14593" width="5" style="302" customWidth="1"/>
    <col min="14594" max="14594" width="40.875" style="302" customWidth="1"/>
    <col min="14595" max="14595" width="10.125" style="302" customWidth="1"/>
    <col min="14596" max="14596" width="10.75" style="302" customWidth="1"/>
    <col min="14597" max="14597" width="10" style="302" customWidth="1"/>
    <col min="14598" max="14598" width="9.625" style="302" bestFit="1" customWidth="1"/>
    <col min="14599" max="14599" width="10.75" style="302" customWidth="1"/>
    <col min="14600" max="14600" width="12.25" style="302" customWidth="1"/>
    <col min="14601" max="14601" width="11.625" style="302" customWidth="1"/>
    <col min="14602" max="14602" width="9.75" style="302" customWidth="1"/>
    <col min="14603" max="14603" width="9.875" style="302" customWidth="1"/>
    <col min="14604" max="14604" width="12" style="302" customWidth="1"/>
    <col min="14605" max="14605" width="9.875" style="302" customWidth="1"/>
    <col min="14606" max="14607" width="10.375" style="302" customWidth="1"/>
    <col min="14608" max="14608" width="16.25" style="302" customWidth="1"/>
    <col min="14609" max="14609" width="9.875" style="302" bestFit="1" customWidth="1"/>
    <col min="14610" max="14848" width="9" style="302"/>
    <col min="14849" max="14849" width="5" style="302" customWidth="1"/>
    <col min="14850" max="14850" width="40.875" style="302" customWidth="1"/>
    <col min="14851" max="14851" width="10.125" style="302" customWidth="1"/>
    <col min="14852" max="14852" width="10.75" style="302" customWidth="1"/>
    <col min="14853" max="14853" width="10" style="302" customWidth="1"/>
    <col min="14854" max="14854" width="9.625" style="302" bestFit="1" customWidth="1"/>
    <col min="14855" max="14855" width="10.75" style="302" customWidth="1"/>
    <col min="14856" max="14856" width="12.25" style="302" customWidth="1"/>
    <col min="14857" max="14857" width="11.625" style="302" customWidth="1"/>
    <col min="14858" max="14858" width="9.75" style="302" customWidth="1"/>
    <col min="14859" max="14859" width="9.875" style="302" customWidth="1"/>
    <col min="14860" max="14860" width="12" style="302" customWidth="1"/>
    <col min="14861" max="14861" width="9.875" style="302" customWidth="1"/>
    <col min="14862" max="14863" width="10.375" style="302" customWidth="1"/>
    <col min="14864" max="14864" width="16.25" style="302" customWidth="1"/>
    <col min="14865" max="14865" width="9.875" style="302" bestFit="1" customWidth="1"/>
    <col min="14866" max="15104" width="9" style="302"/>
    <col min="15105" max="15105" width="5" style="302" customWidth="1"/>
    <col min="15106" max="15106" width="40.875" style="302" customWidth="1"/>
    <col min="15107" max="15107" width="10.125" style="302" customWidth="1"/>
    <col min="15108" max="15108" width="10.75" style="302" customWidth="1"/>
    <col min="15109" max="15109" width="10" style="302" customWidth="1"/>
    <col min="15110" max="15110" width="9.625" style="302" bestFit="1" customWidth="1"/>
    <col min="15111" max="15111" width="10.75" style="302" customWidth="1"/>
    <col min="15112" max="15112" width="12.25" style="302" customWidth="1"/>
    <col min="15113" max="15113" width="11.625" style="302" customWidth="1"/>
    <col min="15114" max="15114" width="9.75" style="302" customWidth="1"/>
    <col min="15115" max="15115" width="9.875" style="302" customWidth="1"/>
    <col min="15116" max="15116" width="12" style="302" customWidth="1"/>
    <col min="15117" max="15117" width="9.875" style="302" customWidth="1"/>
    <col min="15118" max="15119" width="10.375" style="302" customWidth="1"/>
    <col min="15120" max="15120" width="16.25" style="302" customWidth="1"/>
    <col min="15121" max="15121" width="9.875" style="302" bestFit="1" customWidth="1"/>
    <col min="15122" max="15360" width="9" style="302"/>
    <col min="15361" max="15361" width="5" style="302" customWidth="1"/>
    <col min="15362" max="15362" width="40.875" style="302" customWidth="1"/>
    <col min="15363" max="15363" width="10.125" style="302" customWidth="1"/>
    <col min="15364" max="15364" width="10.75" style="302" customWidth="1"/>
    <col min="15365" max="15365" width="10" style="302" customWidth="1"/>
    <col min="15366" max="15366" width="9.625" style="302" bestFit="1" customWidth="1"/>
    <col min="15367" max="15367" width="10.75" style="302" customWidth="1"/>
    <col min="15368" max="15368" width="12.25" style="302" customWidth="1"/>
    <col min="15369" max="15369" width="11.625" style="302" customWidth="1"/>
    <col min="15370" max="15370" width="9.75" style="302" customWidth="1"/>
    <col min="15371" max="15371" width="9.875" style="302" customWidth="1"/>
    <col min="15372" max="15372" width="12" style="302" customWidth="1"/>
    <col min="15373" max="15373" width="9.875" style="302" customWidth="1"/>
    <col min="15374" max="15375" width="10.375" style="302" customWidth="1"/>
    <col min="15376" max="15376" width="16.25" style="302" customWidth="1"/>
    <col min="15377" max="15377" width="9.875" style="302" bestFit="1" customWidth="1"/>
    <col min="15378" max="15616" width="9" style="302"/>
    <col min="15617" max="15617" width="5" style="302" customWidth="1"/>
    <col min="15618" max="15618" width="40.875" style="302" customWidth="1"/>
    <col min="15619" max="15619" width="10.125" style="302" customWidth="1"/>
    <col min="15620" max="15620" width="10.75" style="302" customWidth="1"/>
    <col min="15621" max="15621" width="10" style="302" customWidth="1"/>
    <col min="15622" max="15622" width="9.625" style="302" bestFit="1" customWidth="1"/>
    <col min="15623" max="15623" width="10.75" style="302" customWidth="1"/>
    <col min="15624" max="15624" width="12.25" style="302" customWidth="1"/>
    <col min="15625" max="15625" width="11.625" style="302" customWidth="1"/>
    <col min="15626" max="15626" width="9.75" style="302" customWidth="1"/>
    <col min="15627" max="15627" width="9.875" style="302" customWidth="1"/>
    <col min="15628" max="15628" width="12" style="302" customWidth="1"/>
    <col min="15629" max="15629" width="9.875" style="302" customWidth="1"/>
    <col min="15630" max="15631" width="10.375" style="302" customWidth="1"/>
    <col min="15632" max="15632" width="16.25" style="302" customWidth="1"/>
    <col min="15633" max="15633" width="9.875" style="302" bestFit="1" customWidth="1"/>
    <col min="15634" max="15872" width="9" style="302"/>
    <col min="15873" max="15873" width="5" style="302" customWidth="1"/>
    <col min="15874" max="15874" width="40.875" style="302" customWidth="1"/>
    <col min="15875" max="15875" width="10.125" style="302" customWidth="1"/>
    <col min="15876" max="15876" width="10.75" style="302" customWidth="1"/>
    <col min="15877" max="15877" width="10" style="302" customWidth="1"/>
    <col min="15878" max="15878" width="9.625" style="302" bestFit="1" customWidth="1"/>
    <col min="15879" max="15879" width="10.75" style="302" customWidth="1"/>
    <col min="15880" max="15880" width="12.25" style="302" customWidth="1"/>
    <col min="15881" max="15881" width="11.625" style="302" customWidth="1"/>
    <col min="15882" max="15882" width="9.75" style="302" customWidth="1"/>
    <col min="15883" max="15883" width="9.875" style="302" customWidth="1"/>
    <col min="15884" max="15884" width="12" style="302" customWidth="1"/>
    <col min="15885" max="15885" width="9.875" style="302" customWidth="1"/>
    <col min="15886" max="15887" width="10.375" style="302" customWidth="1"/>
    <col min="15888" max="15888" width="16.25" style="302" customWidth="1"/>
    <col min="15889" max="15889" width="9.875" style="302" bestFit="1" customWidth="1"/>
    <col min="15890" max="16128" width="9" style="302"/>
    <col min="16129" max="16129" width="5" style="302" customWidth="1"/>
    <col min="16130" max="16130" width="40.875" style="302" customWidth="1"/>
    <col min="16131" max="16131" width="10.125" style="302" customWidth="1"/>
    <col min="16132" max="16132" width="10.75" style="302" customWidth="1"/>
    <col min="16133" max="16133" width="10" style="302" customWidth="1"/>
    <col min="16134" max="16134" width="9.625" style="302" bestFit="1" customWidth="1"/>
    <col min="16135" max="16135" width="10.75" style="302" customWidth="1"/>
    <col min="16136" max="16136" width="12.25" style="302" customWidth="1"/>
    <col min="16137" max="16137" width="11.625" style="302" customWidth="1"/>
    <col min="16138" max="16138" width="9.75" style="302" customWidth="1"/>
    <col min="16139" max="16139" width="9.875" style="302" customWidth="1"/>
    <col min="16140" max="16140" width="12" style="302" customWidth="1"/>
    <col min="16141" max="16141" width="9.875" style="302" customWidth="1"/>
    <col min="16142" max="16143" width="10.375" style="302" customWidth="1"/>
    <col min="16144" max="16144" width="16.25" style="302" customWidth="1"/>
    <col min="16145" max="16145" width="9.875" style="302" bestFit="1" customWidth="1"/>
    <col min="16146" max="16384" width="9" style="302"/>
  </cols>
  <sheetData>
    <row r="1" spans="1:17" x14ac:dyDescent="0.25">
      <c r="A1" s="1032" t="s">
        <v>686</v>
      </c>
      <c r="B1" s="1032"/>
      <c r="C1" s="1032"/>
      <c r="D1" s="1032"/>
      <c r="E1" s="1032"/>
      <c r="F1" s="1032"/>
      <c r="G1" s="1032"/>
      <c r="H1" s="1032"/>
      <c r="I1" s="1032"/>
      <c r="J1" s="1032"/>
      <c r="K1" s="1032"/>
      <c r="L1" s="1032"/>
      <c r="M1" s="1032"/>
      <c r="N1" s="1032"/>
      <c r="O1" s="1032"/>
      <c r="P1" s="1032"/>
    </row>
    <row r="2" spans="1:17" x14ac:dyDescent="0.25">
      <c r="A2" s="583"/>
      <c r="B2" s="583"/>
      <c r="C2" s="583"/>
      <c r="D2" s="583"/>
      <c r="E2" s="583"/>
      <c r="F2" s="583"/>
      <c r="G2" s="583"/>
      <c r="H2" s="583"/>
      <c r="I2" s="583"/>
      <c r="J2" s="583"/>
      <c r="K2" s="583"/>
      <c r="L2" s="583"/>
      <c r="M2" s="583"/>
      <c r="N2" s="583"/>
      <c r="O2" s="583"/>
      <c r="P2" s="583"/>
    </row>
    <row r="3" spans="1:17" ht="16.5" thickBot="1" x14ac:dyDescent="0.3"/>
    <row r="4" spans="1:17" s="534" customFormat="1" ht="77.25" thickBot="1" x14ac:dyDescent="0.3">
      <c r="A4" s="533"/>
      <c r="B4" s="33" t="s">
        <v>137</v>
      </c>
      <c r="C4" s="33" t="s">
        <v>30</v>
      </c>
      <c r="D4" s="33" t="s">
        <v>31</v>
      </c>
      <c r="E4" s="33" t="s">
        <v>32</v>
      </c>
      <c r="F4" s="446" t="s">
        <v>460</v>
      </c>
      <c r="G4" s="446" t="s">
        <v>267</v>
      </c>
      <c r="H4" s="33" t="s">
        <v>359</v>
      </c>
      <c r="I4" s="447" t="s">
        <v>51</v>
      </c>
      <c r="J4" s="447" t="s">
        <v>59</v>
      </c>
      <c r="K4" s="446" t="s">
        <v>268</v>
      </c>
      <c r="L4" s="33" t="s">
        <v>360</v>
      </c>
      <c r="M4" s="447" t="s">
        <v>74</v>
      </c>
      <c r="N4" s="446" t="s">
        <v>69</v>
      </c>
      <c r="O4" s="33" t="s">
        <v>47</v>
      </c>
      <c r="P4" s="33" t="s">
        <v>258</v>
      </c>
    </row>
    <row r="5" spans="1:17" s="534" customFormat="1" ht="16.5" thickBot="1" x14ac:dyDescent="0.3">
      <c r="A5" s="533"/>
      <c r="B5" s="33"/>
      <c r="C5" s="33" t="s">
        <v>155</v>
      </c>
      <c r="D5" s="33" t="s">
        <v>156</v>
      </c>
      <c r="E5" s="33" t="s">
        <v>157</v>
      </c>
      <c r="F5" s="446" t="s">
        <v>158</v>
      </c>
      <c r="G5" s="446" t="s">
        <v>259</v>
      </c>
      <c r="H5" s="33" t="s">
        <v>272</v>
      </c>
      <c r="I5" s="447" t="s">
        <v>159</v>
      </c>
      <c r="J5" s="447" t="s">
        <v>160</v>
      </c>
      <c r="K5" s="446" t="s">
        <v>161</v>
      </c>
      <c r="L5" s="33" t="s">
        <v>273</v>
      </c>
      <c r="M5" s="448"/>
      <c r="N5" s="446"/>
      <c r="O5" s="33" t="s">
        <v>270</v>
      </c>
      <c r="P5" s="33" t="s">
        <v>271</v>
      </c>
    </row>
    <row r="6" spans="1:17" s="453" customFormat="1" ht="16.5" thickBot="1" x14ac:dyDescent="0.3">
      <c r="A6" s="449"/>
      <c r="B6" s="449" t="s">
        <v>138</v>
      </c>
      <c r="C6" s="449" t="s">
        <v>139</v>
      </c>
      <c r="D6" s="449" t="s">
        <v>140</v>
      </c>
      <c r="E6" s="449" t="s">
        <v>141</v>
      </c>
      <c r="F6" s="450" t="s">
        <v>142</v>
      </c>
      <c r="G6" s="450" t="s">
        <v>143</v>
      </c>
      <c r="H6" s="449" t="s">
        <v>33</v>
      </c>
      <c r="I6" s="451" t="s">
        <v>34</v>
      </c>
      <c r="J6" s="449" t="s">
        <v>35</v>
      </c>
      <c r="K6" s="450" t="s">
        <v>36</v>
      </c>
      <c r="L6" s="449" t="s">
        <v>37</v>
      </c>
      <c r="M6" s="452" t="s">
        <v>38</v>
      </c>
      <c r="N6" s="450" t="s">
        <v>39</v>
      </c>
      <c r="O6" s="449" t="s">
        <v>265</v>
      </c>
      <c r="P6" s="449" t="s">
        <v>276</v>
      </c>
    </row>
    <row r="7" spans="1:17" s="458" customFormat="1" x14ac:dyDescent="0.25">
      <c r="A7" s="324"/>
      <c r="B7" s="454"/>
      <c r="C7" s="455"/>
      <c r="D7" s="455"/>
      <c r="E7" s="455"/>
      <c r="F7" s="455"/>
      <c r="G7" s="456"/>
      <c r="H7" s="164"/>
      <c r="I7" s="455"/>
      <c r="J7" s="455"/>
      <c r="K7" s="456"/>
      <c r="L7" s="164"/>
      <c r="M7" s="455"/>
      <c r="N7" s="456"/>
      <c r="O7" s="457"/>
      <c r="P7" s="164"/>
    </row>
    <row r="8" spans="1:17" s="465" customFormat="1" x14ac:dyDescent="0.25">
      <c r="A8" s="459"/>
      <c r="B8" s="460" t="s">
        <v>361</v>
      </c>
      <c r="C8" s="461">
        <v>447946</v>
      </c>
      <c r="D8" s="461">
        <v>99174</v>
      </c>
      <c r="E8" s="461">
        <v>4639773</v>
      </c>
      <c r="F8" s="462">
        <v>190000</v>
      </c>
      <c r="G8" s="463">
        <v>12738018</v>
      </c>
      <c r="H8" s="464">
        <f>SUM(C8:G8)</f>
        <v>18114911</v>
      </c>
      <c r="I8" s="461">
        <v>28396784</v>
      </c>
      <c r="J8" s="461">
        <v>1860425</v>
      </c>
      <c r="K8" s="463">
        <v>1475623</v>
      </c>
      <c r="L8" s="464">
        <f>SUM(I8:K8)</f>
        <v>31732832</v>
      </c>
      <c r="M8" s="461">
        <v>325000</v>
      </c>
      <c r="N8" s="463">
        <v>2968133</v>
      </c>
      <c r="O8" s="464">
        <f>SUM(M8:N8)</f>
        <v>3293133</v>
      </c>
      <c r="P8" s="464">
        <f>SUM(O8+L8+H8)</f>
        <v>53140876</v>
      </c>
    </row>
    <row r="9" spans="1:17" s="465" customFormat="1" x14ac:dyDescent="0.25">
      <c r="A9" s="459"/>
      <c r="B9" s="467" t="s">
        <v>903</v>
      </c>
      <c r="C9" s="461">
        <v>441650</v>
      </c>
      <c r="D9" s="461">
        <v>99593</v>
      </c>
      <c r="E9" s="461">
        <v>4869307</v>
      </c>
      <c r="F9" s="515">
        <v>190000</v>
      </c>
      <c r="G9" s="463">
        <v>13575118</v>
      </c>
      <c r="H9" s="464">
        <f>SUM(C9:G9)</f>
        <v>19175668</v>
      </c>
      <c r="I9" s="461">
        <v>28565799</v>
      </c>
      <c r="J9" s="461">
        <v>1939511</v>
      </c>
      <c r="K9" s="463">
        <v>1475623</v>
      </c>
      <c r="L9" s="464">
        <f>SUM(I9:K9)</f>
        <v>31980933</v>
      </c>
      <c r="M9" s="461">
        <v>250069</v>
      </c>
      <c r="N9" s="463">
        <v>2798992</v>
      </c>
      <c r="O9" s="464">
        <f>SUM(M9:N9)</f>
        <v>3049061</v>
      </c>
      <c r="P9" s="464">
        <f>SUM(O9+L9+H9)</f>
        <v>54205662</v>
      </c>
    </row>
    <row r="10" spans="1:17" s="465" customFormat="1" x14ac:dyDescent="0.25">
      <c r="A10" s="459"/>
      <c r="B10" s="467" t="s">
        <v>941</v>
      </c>
      <c r="C10" s="461">
        <v>393676</v>
      </c>
      <c r="D10" s="461">
        <v>88752</v>
      </c>
      <c r="E10" s="461">
        <v>5262050</v>
      </c>
      <c r="F10" s="515">
        <v>223382</v>
      </c>
      <c r="G10" s="463">
        <v>13830850</v>
      </c>
      <c r="H10" s="464">
        <f>SUM(C10:G10)</f>
        <v>19798710</v>
      </c>
      <c r="I10" s="461">
        <v>28772091</v>
      </c>
      <c r="J10" s="461">
        <v>1791550</v>
      </c>
      <c r="K10" s="463">
        <v>1643401</v>
      </c>
      <c r="L10" s="464">
        <f>SUM(I10:K10)</f>
        <v>32207042</v>
      </c>
      <c r="M10" s="461">
        <v>240200</v>
      </c>
      <c r="N10" s="463">
        <v>2143704</v>
      </c>
      <c r="O10" s="464">
        <f>SUM(M10:N10)</f>
        <v>2383904</v>
      </c>
      <c r="P10" s="464">
        <f>SUM(O10+L10+H10)</f>
        <v>54389656</v>
      </c>
    </row>
    <row r="11" spans="1:17" s="465" customFormat="1" x14ac:dyDescent="0.25">
      <c r="A11" s="459"/>
      <c r="B11" s="467" t="s">
        <v>980</v>
      </c>
      <c r="C11" s="461">
        <v>368577</v>
      </c>
      <c r="D11" s="461">
        <v>91828</v>
      </c>
      <c r="E11" s="461">
        <v>5460772</v>
      </c>
      <c r="F11" s="515">
        <v>223679</v>
      </c>
      <c r="G11" s="463">
        <v>14454088</v>
      </c>
      <c r="H11" s="464">
        <f>SUM(C11:G11)</f>
        <v>20598944</v>
      </c>
      <c r="I11" s="461">
        <v>28852658</v>
      </c>
      <c r="J11" s="461">
        <v>1137966</v>
      </c>
      <c r="K11" s="463">
        <v>1765751</v>
      </c>
      <c r="L11" s="464">
        <f>SUM(I11:K11)</f>
        <v>31756375</v>
      </c>
      <c r="M11" s="461">
        <v>255418</v>
      </c>
      <c r="N11" s="463">
        <v>1957992</v>
      </c>
      <c r="O11" s="464">
        <f>SUM(M11:N11)</f>
        <v>2213410</v>
      </c>
      <c r="P11" s="464">
        <f>SUM(O11+L11+H11)</f>
        <v>54568729</v>
      </c>
    </row>
    <row r="12" spans="1:17" x14ac:dyDescent="0.25">
      <c r="A12" s="324" t="s">
        <v>472</v>
      </c>
      <c r="B12" s="466" t="s">
        <v>473</v>
      </c>
      <c r="C12" s="298"/>
      <c r="D12" s="298"/>
      <c r="E12" s="298"/>
      <c r="F12" s="298"/>
      <c r="G12" s="214"/>
      <c r="H12" s="164"/>
      <c r="I12" s="298"/>
      <c r="J12" s="298"/>
      <c r="K12" s="214"/>
      <c r="L12" s="165"/>
      <c r="M12" s="298"/>
      <c r="N12" s="214"/>
      <c r="O12" s="301"/>
      <c r="P12" s="164"/>
    </row>
    <row r="13" spans="1:17" x14ac:dyDescent="0.25">
      <c r="A13" s="324"/>
      <c r="B13" s="466" t="s">
        <v>77</v>
      </c>
      <c r="C13" s="298"/>
      <c r="D13" s="298"/>
      <c r="E13" s="298"/>
      <c r="F13" s="298"/>
      <c r="G13" s="214"/>
      <c r="H13" s="164"/>
      <c r="I13" s="298"/>
      <c r="J13" s="298"/>
      <c r="K13" s="214"/>
      <c r="L13" s="165"/>
      <c r="M13" s="298"/>
      <c r="N13" s="214"/>
      <c r="O13" s="301"/>
      <c r="P13" s="164"/>
    </row>
    <row r="14" spans="1:17" x14ac:dyDescent="0.25">
      <c r="A14" s="324"/>
      <c r="B14" s="467" t="s">
        <v>78</v>
      </c>
      <c r="C14" s="298"/>
      <c r="D14" s="298"/>
      <c r="E14" s="298"/>
      <c r="F14" s="298"/>
      <c r="G14" s="214"/>
      <c r="H14" s="164"/>
      <c r="I14" s="298"/>
      <c r="J14" s="298"/>
      <c r="K14" s="214"/>
      <c r="L14" s="165"/>
      <c r="M14" s="298"/>
      <c r="N14" s="214"/>
      <c r="O14" s="301"/>
      <c r="P14" s="164"/>
    </row>
    <row r="15" spans="1:17" s="473" customFormat="1" x14ac:dyDescent="0.25">
      <c r="A15" s="468"/>
      <c r="B15" s="518" t="s">
        <v>475</v>
      </c>
      <c r="C15" s="469"/>
      <c r="D15" s="469"/>
      <c r="E15" s="469"/>
      <c r="F15" s="469"/>
      <c r="G15" s="470"/>
      <c r="H15" s="471"/>
      <c r="I15" s="469"/>
      <c r="J15" s="469"/>
      <c r="K15" s="470"/>
      <c r="L15" s="472"/>
      <c r="M15" s="469"/>
      <c r="N15" s="470"/>
      <c r="O15" s="471"/>
      <c r="P15" s="471"/>
    </row>
    <row r="16" spans="1:17" x14ac:dyDescent="0.25">
      <c r="A16" s="297"/>
      <c r="B16" s="474"/>
      <c r="C16" s="298"/>
      <c r="D16" s="298"/>
      <c r="E16" s="298"/>
      <c r="F16" s="298"/>
      <c r="G16" s="214"/>
      <c r="H16" s="164">
        <f>SUM(C16:G16)</f>
        <v>0</v>
      </c>
      <c r="I16" s="455"/>
      <c r="J16" s="455"/>
      <c r="K16" s="456"/>
      <c r="L16" s="165">
        <f>SUM(I16:K16)</f>
        <v>0</v>
      </c>
      <c r="M16" s="455"/>
      <c r="N16" s="456"/>
      <c r="O16" s="164"/>
      <c r="P16" s="164">
        <f>O16+L16+H16</f>
        <v>0</v>
      </c>
      <c r="Q16" s="302" t="s">
        <v>827</v>
      </c>
    </row>
    <row r="17" spans="1:17" ht="37.5" customHeight="1" x14ac:dyDescent="0.25">
      <c r="A17" s="162"/>
      <c r="B17" s="327" t="s">
        <v>905</v>
      </c>
      <c r="C17" s="167"/>
      <c r="D17" s="486"/>
      <c r="E17" s="486"/>
      <c r="F17" s="486"/>
      <c r="G17" s="257"/>
      <c r="H17" s="164"/>
      <c r="I17" s="167"/>
      <c r="J17" s="167"/>
      <c r="K17" s="168"/>
      <c r="L17" s="165"/>
      <c r="M17" s="167"/>
      <c r="N17" s="168"/>
      <c r="O17" s="169"/>
      <c r="P17" s="164"/>
    </row>
    <row r="18" spans="1:17" ht="31.5" x14ac:dyDescent="0.25">
      <c r="A18" s="297"/>
      <c r="B18" s="474" t="s">
        <v>1003</v>
      </c>
      <c r="C18" s="298"/>
      <c r="D18" s="298"/>
      <c r="E18" s="298"/>
      <c r="F18" s="298"/>
      <c r="G18" s="214">
        <f>-96+30</f>
        <v>-66</v>
      </c>
      <c r="H18" s="164">
        <f>SUM(C18:G18)</f>
        <v>-66</v>
      </c>
      <c r="I18" s="455"/>
      <c r="J18" s="455"/>
      <c r="K18" s="214">
        <v>66</v>
      </c>
      <c r="L18" s="165">
        <f>SUM(I18:K18)</f>
        <v>66</v>
      </c>
      <c r="M18" s="455"/>
      <c r="N18" s="456"/>
      <c r="O18" s="164"/>
      <c r="P18" s="164">
        <f>O18+L18+H18</f>
        <v>0</v>
      </c>
      <c r="Q18" s="302" t="s">
        <v>827</v>
      </c>
    </row>
    <row r="19" spans="1:17" ht="51" customHeight="1" x14ac:dyDescent="0.25">
      <c r="A19" s="162"/>
      <c r="B19" s="327" t="s">
        <v>904</v>
      </c>
      <c r="C19" s="167"/>
      <c r="D19" s="486"/>
      <c r="E19" s="486"/>
      <c r="F19" s="486"/>
      <c r="G19" s="257"/>
      <c r="H19" s="164"/>
      <c r="I19" s="167"/>
      <c r="J19" s="167"/>
      <c r="K19" s="168"/>
      <c r="L19" s="165"/>
      <c r="M19" s="167"/>
      <c r="N19" s="168"/>
      <c r="O19" s="169"/>
      <c r="P19" s="164"/>
    </row>
    <row r="20" spans="1:17" x14ac:dyDescent="0.25">
      <c r="A20" s="297"/>
      <c r="B20" s="474"/>
      <c r="C20" s="298"/>
      <c r="D20" s="298"/>
      <c r="E20" s="298"/>
      <c r="F20" s="298"/>
      <c r="G20" s="214"/>
      <c r="H20" s="164">
        <f>SUM(C20:G20)</f>
        <v>0</v>
      </c>
      <c r="I20" s="455"/>
      <c r="J20" s="455"/>
      <c r="K20" s="456"/>
      <c r="L20" s="165">
        <f>SUM(I20:K20)</f>
        <v>0</v>
      </c>
      <c r="M20" s="455"/>
      <c r="N20" s="456"/>
      <c r="O20" s="164"/>
      <c r="P20" s="164">
        <f>O20+L20+H20</f>
        <v>0</v>
      </c>
      <c r="Q20" s="302" t="s">
        <v>828</v>
      </c>
    </row>
    <row r="21" spans="1:17" ht="31.5" x14ac:dyDescent="0.25">
      <c r="A21" s="324"/>
      <c r="B21" s="466" t="s">
        <v>79</v>
      </c>
      <c r="C21" s="298"/>
      <c r="D21" s="298"/>
      <c r="E21" s="298"/>
      <c r="F21" s="298"/>
      <c r="G21" s="214"/>
      <c r="H21" s="164"/>
      <c r="I21" s="298"/>
      <c r="J21" s="298"/>
      <c r="K21" s="214"/>
      <c r="L21" s="165"/>
      <c r="M21" s="298"/>
      <c r="N21" s="214"/>
      <c r="O21" s="301"/>
      <c r="P21" s="164"/>
    </row>
    <row r="22" spans="1:17" x14ac:dyDescent="0.25">
      <c r="A22" s="324"/>
      <c r="B22" s="467" t="s">
        <v>80</v>
      </c>
      <c r="C22" s="298"/>
      <c r="D22" s="298"/>
      <c r="E22" s="298"/>
      <c r="F22" s="298"/>
      <c r="G22" s="214"/>
      <c r="H22" s="164"/>
      <c r="I22" s="298"/>
      <c r="J22" s="298"/>
      <c r="K22" s="214"/>
      <c r="L22" s="165"/>
      <c r="M22" s="298"/>
      <c r="N22" s="214"/>
      <c r="O22" s="301"/>
      <c r="P22" s="164"/>
    </row>
    <row r="23" spans="1:17" s="473" customFormat="1" x14ac:dyDescent="0.25">
      <c r="A23" s="468"/>
      <c r="B23" s="518" t="s">
        <v>475</v>
      </c>
      <c r="C23" s="469"/>
      <c r="D23" s="469"/>
      <c r="E23" s="469"/>
      <c r="F23" s="469"/>
      <c r="G23" s="470"/>
      <c r="H23" s="471"/>
      <c r="I23" s="469"/>
      <c r="J23" s="469"/>
      <c r="K23" s="470"/>
      <c r="L23" s="472"/>
      <c r="M23" s="469"/>
      <c r="N23" s="470"/>
      <c r="O23" s="471"/>
      <c r="P23" s="471"/>
    </row>
    <row r="24" spans="1:17" ht="31.5" x14ac:dyDescent="0.25">
      <c r="A24" s="297"/>
      <c r="B24" s="474" t="s">
        <v>1066</v>
      </c>
      <c r="C24" s="298">
        <v>880</v>
      </c>
      <c r="D24" s="298"/>
      <c r="E24" s="298"/>
      <c r="F24" s="298"/>
      <c r="G24" s="214">
        <v>120</v>
      </c>
      <c r="H24" s="164">
        <f>SUM(C24:G24)</f>
        <v>1000</v>
      </c>
      <c r="I24" s="455"/>
      <c r="J24" s="455"/>
      <c r="K24" s="456"/>
      <c r="L24" s="165">
        <f>SUM(I24:K24)</f>
        <v>0</v>
      </c>
      <c r="M24" s="455"/>
      <c r="N24" s="456"/>
      <c r="O24" s="164"/>
      <c r="P24" s="164">
        <f>O24+L24+H24</f>
        <v>1000</v>
      </c>
      <c r="Q24" s="302" t="s">
        <v>828</v>
      </c>
    </row>
    <row r="25" spans="1:17" ht="51" customHeight="1" x14ac:dyDescent="0.25">
      <c r="A25" s="162"/>
      <c r="B25" s="327" t="s">
        <v>904</v>
      </c>
      <c r="C25" s="167"/>
      <c r="D25" s="486"/>
      <c r="E25" s="486"/>
      <c r="F25" s="486"/>
      <c r="G25" s="257"/>
      <c r="H25" s="164"/>
      <c r="I25" s="167"/>
      <c r="J25" s="167"/>
      <c r="K25" s="168"/>
      <c r="L25" s="165"/>
      <c r="M25" s="167"/>
      <c r="N25" s="168"/>
      <c r="O25" s="169"/>
      <c r="P25" s="164"/>
    </row>
    <row r="26" spans="1:17" x14ac:dyDescent="0.25">
      <c r="A26" s="297"/>
      <c r="B26" s="474"/>
      <c r="C26" s="298"/>
      <c r="D26" s="298"/>
      <c r="E26" s="298"/>
      <c r="F26" s="298"/>
      <c r="G26" s="214"/>
      <c r="H26" s="164">
        <f>SUM(C26:G26)</f>
        <v>0</v>
      </c>
      <c r="I26" s="455"/>
      <c r="J26" s="455"/>
      <c r="K26" s="456"/>
      <c r="L26" s="165">
        <f>SUM(I26:K26)</f>
        <v>0</v>
      </c>
      <c r="M26" s="455"/>
      <c r="N26" s="456"/>
      <c r="O26" s="164"/>
      <c r="P26" s="164">
        <f>O26+L26+H26</f>
        <v>0</v>
      </c>
      <c r="Q26" s="302" t="s">
        <v>828</v>
      </c>
    </row>
    <row r="27" spans="1:17" ht="34.5" customHeight="1" x14ac:dyDescent="0.25">
      <c r="A27" s="162"/>
      <c r="B27" s="327" t="s">
        <v>906</v>
      </c>
      <c r="C27" s="167"/>
      <c r="D27" s="486"/>
      <c r="E27" s="486"/>
      <c r="F27" s="486"/>
      <c r="G27" s="257"/>
      <c r="H27" s="164"/>
      <c r="I27" s="167"/>
      <c r="J27" s="167"/>
      <c r="K27" s="168"/>
      <c r="L27" s="165"/>
      <c r="M27" s="167"/>
      <c r="N27" s="168"/>
      <c r="O27" s="169"/>
      <c r="P27" s="164"/>
    </row>
    <row r="28" spans="1:17" ht="47.25" x14ac:dyDescent="0.25">
      <c r="A28" s="162"/>
      <c r="B28" s="875" t="s">
        <v>1005</v>
      </c>
      <c r="C28" s="167">
        <v>311</v>
      </c>
      <c r="D28" s="167">
        <v>-129</v>
      </c>
      <c r="E28" s="167">
        <v>2849</v>
      </c>
      <c r="F28" s="167"/>
      <c r="G28" s="257"/>
      <c r="H28" s="165">
        <f t="shared" ref="H28" si="0">SUM(C28:G28)</f>
        <v>3031</v>
      </c>
      <c r="I28" s="167"/>
      <c r="J28" s="167"/>
      <c r="K28" s="257"/>
      <c r="L28" s="165">
        <f t="shared" ref="L28" si="1">SUM(I28:K28)</f>
        <v>0</v>
      </c>
      <c r="M28" s="167"/>
      <c r="N28" s="257"/>
      <c r="O28" s="169"/>
      <c r="P28" s="164">
        <f t="shared" ref="P28" si="2">O28+L28+H28</f>
        <v>3031</v>
      </c>
      <c r="Q28" s="302" t="s">
        <v>828</v>
      </c>
    </row>
    <row r="29" spans="1:17" x14ac:dyDescent="0.25">
      <c r="A29" s="324"/>
      <c r="B29" s="135" t="s">
        <v>547</v>
      </c>
      <c r="C29" s="298"/>
      <c r="D29" s="298"/>
      <c r="E29" s="298"/>
      <c r="F29" s="298"/>
      <c r="G29" s="214"/>
      <c r="H29" s="164"/>
      <c r="I29" s="298"/>
      <c r="J29" s="298"/>
      <c r="K29" s="214"/>
      <c r="L29" s="165"/>
      <c r="M29" s="298"/>
      <c r="N29" s="214"/>
      <c r="O29" s="301"/>
      <c r="P29" s="164"/>
    </row>
    <row r="30" spans="1:17" x14ac:dyDescent="0.25">
      <c r="A30" s="324"/>
      <c r="B30" s="327" t="s">
        <v>905</v>
      </c>
      <c r="C30" s="298"/>
      <c r="D30" s="298"/>
      <c r="E30" s="298"/>
      <c r="F30" s="298"/>
      <c r="G30" s="214"/>
      <c r="H30" s="164"/>
      <c r="I30" s="298"/>
      <c r="J30" s="298"/>
      <c r="K30" s="214"/>
      <c r="L30" s="165"/>
      <c r="M30" s="298"/>
      <c r="N30" s="214"/>
      <c r="O30" s="301"/>
      <c r="P30" s="164"/>
    </row>
    <row r="31" spans="1:17" ht="33" customHeight="1" x14ac:dyDescent="0.25">
      <c r="A31" s="324"/>
      <c r="B31" s="474" t="s">
        <v>1006</v>
      </c>
      <c r="C31" s="298"/>
      <c r="D31" s="298"/>
      <c r="E31" s="298"/>
      <c r="F31" s="298"/>
      <c r="G31" s="298">
        <v>-135</v>
      </c>
      <c r="H31" s="164">
        <f t="shared" ref="H31:H32" si="3">SUM(C31:G31)</f>
        <v>-135</v>
      </c>
      <c r="I31" s="298"/>
      <c r="J31" s="298"/>
      <c r="K31" s="214">
        <v>135</v>
      </c>
      <c r="L31" s="165">
        <f t="shared" ref="L31:L32" si="4">SUM(I31:K31)</f>
        <v>135</v>
      </c>
      <c r="M31" s="298"/>
      <c r="N31" s="214"/>
      <c r="O31" s="301"/>
      <c r="P31" s="164">
        <f t="shared" ref="P31:P32" si="5">O31+L31+H31</f>
        <v>0</v>
      </c>
      <c r="Q31" s="302" t="s">
        <v>828</v>
      </c>
    </row>
    <row r="32" spans="1:17" x14ac:dyDescent="0.25">
      <c r="A32" s="162"/>
      <c r="B32" s="875" t="s">
        <v>1004</v>
      </c>
      <c r="C32" s="167"/>
      <c r="D32" s="167"/>
      <c r="E32" s="167"/>
      <c r="F32" s="167"/>
      <c r="G32" s="257">
        <v>-200</v>
      </c>
      <c r="H32" s="165">
        <f t="shared" si="3"/>
        <v>-200</v>
      </c>
      <c r="I32" s="167"/>
      <c r="J32" s="167"/>
      <c r="K32" s="257">
        <v>200</v>
      </c>
      <c r="L32" s="165">
        <f t="shared" si="4"/>
        <v>200</v>
      </c>
      <c r="M32" s="167"/>
      <c r="N32" s="257"/>
      <c r="O32" s="169"/>
      <c r="P32" s="165">
        <f t="shared" si="5"/>
        <v>0</v>
      </c>
      <c r="Q32" s="302" t="s">
        <v>828</v>
      </c>
    </row>
    <row r="33" spans="1:17" x14ac:dyDescent="0.25">
      <c r="A33" s="162"/>
      <c r="B33" s="875" t="s">
        <v>1027</v>
      </c>
      <c r="C33" s="167">
        <v>-3616</v>
      </c>
      <c r="D33" s="167"/>
      <c r="E33" s="167">
        <v>-2000</v>
      </c>
      <c r="F33" s="167"/>
      <c r="G33" s="257">
        <v>5616</v>
      </c>
      <c r="H33" s="165">
        <f t="shared" ref="H33" si="6">SUM(C33:G33)</f>
        <v>0</v>
      </c>
      <c r="I33" s="167"/>
      <c r="J33" s="167"/>
      <c r="K33" s="257"/>
      <c r="L33" s="165">
        <f t="shared" ref="L33" si="7">SUM(I33:K33)</f>
        <v>0</v>
      </c>
      <c r="M33" s="167"/>
      <c r="N33" s="257"/>
      <c r="O33" s="169"/>
      <c r="P33" s="164">
        <f t="shared" ref="P33" si="8">O33+L33+H33</f>
        <v>0</v>
      </c>
      <c r="Q33" s="302" t="s">
        <v>828</v>
      </c>
    </row>
    <row r="34" spans="1:17" x14ac:dyDescent="0.25">
      <c r="A34" s="324"/>
      <c r="B34" s="163"/>
      <c r="C34" s="298"/>
      <c r="D34" s="298"/>
      <c r="E34" s="298"/>
      <c r="F34" s="298"/>
      <c r="G34" s="214"/>
      <c r="H34" s="164"/>
      <c r="I34" s="298"/>
      <c r="J34" s="298"/>
      <c r="K34" s="214"/>
      <c r="L34" s="165"/>
      <c r="M34" s="298"/>
      <c r="N34" s="214"/>
      <c r="O34" s="301"/>
      <c r="P34" s="164"/>
    </row>
    <row r="35" spans="1:17" x14ac:dyDescent="0.25">
      <c r="A35" s="162"/>
      <c r="B35" s="475" t="s">
        <v>103</v>
      </c>
      <c r="C35" s="167"/>
      <c r="D35" s="486"/>
      <c r="E35" s="486"/>
      <c r="F35" s="486"/>
      <c r="G35" s="257"/>
      <c r="H35" s="164"/>
      <c r="I35" s="167"/>
      <c r="J35" s="167"/>
      <c r="K35" s="168"/>
      <c r="L35" s="165"/>
      <c r="M35" s="167"/>
      <c r="N35" s="168"/>
      <c r="O35" s="169"/>
      <c r="P35" s="164"/>
    </row>
    <row r="36" spans="1:17" ht="33.75" customHeight="1" x14ac:dyDescent="0.25">
      <c r="A36" s="162"/>
      <c r="B36" s="327" t="s">
        <v>905</v>
      </c>
      <c r="C36" s="167"/>
      <c r="D36" s="486"/>
      <c r="E36" s="486"/>
      <c r="F36" s="486"/>
      <c r="G36" s="257"/>
      <c r="H36" s="164"/>
      <c r="I36" s="167"/>
      <c r="J36" s="167"/>
      <c r="K36" s="168"/>
      <c r="L36" s="165"/>
      <c r="M36" s="167"/>
      <c r="N36" s="168"/>
      <c r="O36" s="169"/>
      <c r="P36" s="164"/>
    </row>
    <row r="37" spans="1:17" x14ac:dyDescent="0.25">
      <c r="A37" s="297"/>
      <c r="B37" s="474" t="s">
        <v>1016</v>
      </c>
      <c r="C37" s="298"/>
      <c r="D37" s="298"/>
      <c r="E37" s="298">
        <v>-258</v>
      </c>
      <c r="F37" s="298"/>
      <c r="G37" s="214"/>
      <c r="H37" s="164">
        <f t="shared" ref="H37:H38" si="9">SUM(C37:G37)</f>
        <v>-258</v>
      </c>
      <c r="I37" s="298">
        <v>258</v>
      </c>
      <c r="J37" s="298"/>
      <c r="K37" s="214"/>
      <c r="L37" s="165">
        <f t="shared" ref="L37:L38" si="10">SUM(I37:K37)</f>
        <v>258</v>
      </c>
      <c r="M37" s="455"/>
      <c r="N37" s="456"/>
      <c r="O37" s="164"/>
      <c r="P37" s="164">
        <f t="shared" ref="P37:P38" si="11">O37+L37+H37</f>
        <v>0</v>
      </c>
      <c r="Q37" s="302" t="s">
        <v>828</v>
      </c>
    </row>
    <row r="38" spans="1:17" x14ac:dyDescent="0.25">
      <c r="A38" s="297"/>
      <c r="B38" s="474"/>
      <c r="C38" s="298"/>
      <c r="D38" s="298"/>
      <c r="E38" s="298"/>
      <c r="F38" s="298"/>
      <c r="G38" s="214"/>
      <c r="H38" s="164">
        <f t="shared" si="9"/>
        <v>0</v>
      </c>
      <c r="I38" s="455"/>
      <c r="J38" s="455"/>
      <c r="K38" s="214"/>
      <c r="L38" s="165">
        <f t="shared" si="10"/>
        <v>0</v>
      </c>
      <c r="M38" s="455"/>
      <c r="N38" s="456"/>
      <c r="O38" s="164"/>
      <c r="P38" s="164">
        <f t="shared" si="11"/>
        <v>0</v>
      </c>
      <c r="Q38" s="302" t="s">
        <v>828</v>
      </c>
    </row>
    <row r="39" spans="1:17" s="473" customFormat="1" x14ac:dyDescent="0.25">
      <c r="A39" s="468"/>
      <c r="B39" s="135" t="s">
        <v>385</v>
      </c>
      <c r="C39" s="469"/>
      <c r="D39" s="469"/>
      <c r="E39" s="469"/>
      <c r="F39" s="469"/>
      <c r="G39" s="470"/>
      <c r="H39" s="471"/>
      <c r="I39" s="469"/>
      <c r="J39" s="469"/>
      <c r="K39" s="470"/>
      <c r="L39" s="472"/>
      <c r="M39" s="469"/>
      <c r="N39" s="470"/>
      <c r="O39" s="471"/>
      <c r="P39" s="471"/>
    </row>
    <row r="40" spans="1:17" x14ac:dyDescent="0.25">
      <c r="A40" s="297"/>
      <c r="B40" s="474"/>
      <c r="C40" s="298"/>
      <c r="D40" s="298"/>
      <c r="E40" s="298"/>
      <c r="F40" s="298"/>
      <c r="G40" s="214"/>
      <c r="H40" s="164">
        <f>SUM(C40:G40)</f>
        <v>0</v>
      </c>
      <c r="I40" s="455"/>
      <c r="J40" s="455"/>
      <c r="K40" s="214"/>
      <c r="L40" s="165">
        <f>SUM(I40:K40)</f>
        <v>0</v>
      </c>
      <c r="M40" s="455"/>
      <c r="N40" s="456"/>
      <c r="O40" s="164"/>
      <c r="P40" s="164">
        <f>O40+L40+H40</f>
        <v>0</v>
      </c>
      <c r="Q40" s="302" t="s">
        <v>828</v>
      </c>
    </row>
    <row r="41" spans="1:17" x14ac:dyDescent="0.25">
      <c r="A41" s="162"/>
      <c r="B41" s="475" t="s">
        <v>81</v>
      </c>
      <c r="C41" s="167"/>
      <c r="D41" s="486"/>
      <c r="E41" s="486"/>
      <c r="F41" s="486"/>
      <c r="G41" s="257"/>
      <c r="H41" s="164"/>
      <c r="I41" s="167"/>
      <c r="J41" s="167"/>
      <c r="K41" s="168"/>
      <c r="L41" s="165"/>
      <c r="M41" s="167"/>
      <c r="N41" s="168"/>
      <c r="O41" s="169"/>
      <c r="P41" s="164"/>
    </row>
    <row r="42" spans="1:17" ht="33.75" customHeight="1" x14ac:dyDescent="0.25">
      <c r="A42" s="162"/>
      <c r="B42" s="327" t="s">
        <v>905</v>
      </c>
      <c r="C42" s="167"/>
      <c r="D42" s="486"/>
      <c r="E42" s="486"/>
      <c r="F42" s="486"/>
      <c r="G42" s="257"/>
      <c r="H42" s="164"/>
      <c r="I42" s="167"/>
      <c r="J42" s="167"/>
      <c r="K42" s="168"/>
      <c r="L42" s="165"/>
      <c r="M42" s="167"/>
      <c r="N42" s="168"/>
      <c r="O42" s="169"/>
      <c r="P42" s="164"/>
    </row>
    <row r="43" spans="1:17" x14ac:dyDescent="0.25">
      <c r="A43" s="297"/>
      <c r="B43" s="474"/>
      <c r="C43" s="298"/>
      <c r="D43" s="298"/>
      <c r="E43" s="298"/>
      <c r="F43" s="298"/>
      <c r="G43" s="214"/>
      <c r="H43" s="164">
        <f>SUM(C43:G43)</f>
        <v>0</v>
      </c>
      <c r="I43" s="298"/>
      <c r="J43" s="455"/>
      <c r="K43" s="456"/>
      <c r="L43" s="165">
        <f>SUM(I43:K43)</f>
        <v>0</v>
      </c>
      <c r="M43" s="455"/>
      <c r="N43" s="456"/>
      <c r="O43" s="164"/>
      <c r="P43" s="164">
        <f>O43+L43+H43</f>
        <v>0</v>
      </c>
      <c r="Q43" s="302" t="s">
        <v>828</v>
      </c>
    </row>
    <row r="44" spans="1:17" ht="34.5" customHeight="1" x14ac:dyDescent="0.25">
      <c r="A44" s="162"/>
      <c r="B44" s="327" t="s">
        <v>906</v>
      </c>
      <c r="C44" s="167"/>
      <c r="D44" s="486"/>
      <c r="E44" s="486"/>
      <c r="F44" s="486"/>
      <c r="G44" s="257"/>
      <c r="H44" s="164"/>
      <c r="I44" s="167"/>
      <c r="J44" s="167"/>
      <c r="K44" s="168"/>
      <c r="L44" s="165"/>
      <c r="M44" s="167"/>
      <c r="N44" s="168"/>
      <c r="O44" s="169"/>
      <c r="P44" s="164"/>
    </row>
    <row r="45" spans="1:17" x14ac:dyDescent="0.25">
      <c r="A45" s="324"/>
      <c r="B45" s="474"/>
      <c r="C45" s="298"/>
      <c r="D45" s="298"/>
      <c r="E45" s="298"/>
      <c r="F45" s="298"/>
      <c r="G45" s="214"/>
      <c r="H45" s="164">
        <f t="shared" ref="H45" si="12">SUM(C45:G45)</f>
        <v>0</v>
      </c>
      <c r="I45" s="298"/>
      <c r="J45" s="298"/>
      <c r="K45" s="214"/>
      <c r="L45" s="165">
        <f t="shared" ref="L45" si="13">SUM(I45:K45)</f>
        <v>0</v>
      </c>
      <c r="M45" s="298"/>
      <c r="N45" s="214"/>
      <c r="O45" s="301"/>
      <c r="P45" s="164">
        <f t="shared" ref="P45" si="14">O45+L45+H45</f>
        <v>0</v>
      </c>
      <c r="Q45" s="302" t="s">
        <v>828</v>
      </c>
    </row>
    <row r="46" spans="1:17" x14ac:dyDescent="0.25">
      <c r="A46" s="297"/>
      <c r="B46" s="474"/>
      <c r="C46" s="298"/>
      <c r="D46" s="298"/>
      <c r="E46" s="298"/>
      <c r="F46" s="298"/>
      <c r="G46" s="214"/>
      <c r="H46" s="164"/>
      <c r="I46" s="455"/>
      <c r="J46" s="455"/>
      <c r="K46" s="456"/>
      <c r="L46" s="165"/>
      <c r="M46" s="455"/>
      <c r="N46" s="456"/>
      <c r="O46" s="164"/>
      <c r="P46" s="164"/>
    </row>
    <row r="47" spans="1:17" x14ac:dyDescent="0.25">
      <c r="A47" s="162"/>
      <c r="B47" s="475" t="s">
        <v>825</v>
      </c>
      <c r="C47" s="167"/>
      <c r="D47" s="486"/>
      <c r="E47" s="486"/>
      <c r="F47" s="486"/>
      <c r="G47" s="257"/>
      <c r="H47" s="164"/>
      <c r="I47" s="167"/>
      <c r="J47" s="167"/>
      <c r="K47" s="168"/>
      <c r="L47" s="165"/>
      <c r="M47" s="167"/>
      <c r="N47" s="168"/>
      <c r="O47" s="169"/>
      <c r="P47" s="164"/>
    </row>
    <row r="48" spans="1:17" ht="51" customHeight="1" x14ac:dyDescent="0.25">
      <c r="A48" s="162"/>
      <c r="B48" s="327" t="s">
        <v>904</v>
      </c>
      <c r="C48" s="167"/>
      <c r="D48" s="486"/>
      <c r="E48" s="486"/>
      <c r="F48" s="486"/>
      <c r="G48" s="257"/>
      <c r="H48" s="164"/>
      <c r="I48" s="167"/>
      <c r="J48" s="167"/>
      <c r="K48" s="168"/>
      <c r="L48" s="165"/>
      <c r="M48" s="167"/>
      <c r="N48" s="168"/>
      <c r="O48" s="169"/>
      <c r="P48" s="164"/>
    </row>
    <row r="49" spans="1:17" x14ac:dyDescent="0.25">
      <c r="A49" s="297"/>
      <c r="B49" s="474"/>
      <c r="C49" s="298"/>
      <c r="D49" s="298"/>
      <c r="E49" s="298"/>
      <c r="F49" s="298"/>
      <c r="G49" s="214"/>
      <c r="H49" s="164">
        <f>SUM(C49:G49)</f>
        <v>0</v>
      </c>
      <c r="I49" s="455"/>
      <c r="J49" s="455"/>
      <c r="K49" s="456"/>
      <c r="L49" s="165">
        <f>SUM(I49:K49)</f>
        <v>0</v>
      </c>
      <c r="M49" s="455"/>
      <c r="N49" s="456"/>
      <c r="O49" s="164"/>
      <c r="P49" s="164">
        <f>O49+L49+H49</f>
        <v>0</v>
      </c>
      <c r="Q49" s="302" t="s">
        <v>827</v>
      </c>
    </row>
    <row r="50" spans="1:17" x14ac:dyDescent="0.25">
      <c r="A50" s="162"/>
      <c r="B50" s="163"/>
      <c r="C50" s="167"/>
      <c r="D50" s="486"/>
      <c r="E50" s="486"/>
      <c r="F50" s="486"/>
      <c r="G50" s="520"/>
      <c r="H50" s="165"/>
      <c r="I50" s="167"/>
      <c r="J50" s="167"/>
      <c r="K50" s="168"/>
      <c r="L50" s="165"/>
      <c r="M50" s="167"/>
      <c r="N50" s="168"/>
      <c r="O50" s="169"/>
      <c r="P50" s="165"/>
    </row>
    <row r="51" spans="1:17" s="458" customFormat="1" x14ac:dyDescent="0.25">
      <c r="A51" s="162" t="s">
        <v>532</v>
      </c>
      <c r="B51" s="476" t="s">
        <v>533</v>
      </c>
      <c r="C51" s="477"/>
      <c r="D51" s="477"/>
      <c r="E51" s="477"/>
      <c r="F51" s="477"/>
      <c r="G51" s="478"/>
      <c r="H51" s="165"/>
      <c r="I51" s="477"/>
      <c r="J51" s="477"/>
      <c r="K51" s="478"/>
      <c r="L51" s="165"/>
      <c r="M51" s="477"/>
      <c r="N51" s="478"/>
      <c r="O51" s="165"/>
      <c r="P51" s="165"/>
    </row>
    <row r="52" spans="1:17" x14ac:dyDescent="0.25">
      <c r="A52" s="162"/>
      <c r="B52" s="475" t="s">
        <v>83</v>
      </c>
      <c r="C52" s="167"/>
      <c r="D52" s="486"/>
      <c r="E52" s="486"/>
      <c r="F52" s="486"/>
      <c r="G52" s="257"/>
      <c r="H52" s="165">
        <f>SUM(C52:G52)</f>
        <v>0</v>
      </c>
      <c r="I52" s="167"/>
      <c r="J52" s="167"/>
      <c r="K52" s="168"/>
      <c r="L52" s="165">
        <f>SUM(I52:K52)</f>
        <v>0</v>
      </c>
      <c r="M52" s="167"/>
      <c r="N52" s="168"/>
      <c r="O52" s="169"/>
      <c r="P52" s="165">
        <f>O52+L52+H52</f>
        <v>0</v>
      </c>
    </row>
    <row r="53" spans="1:17" x14ac:dyDescent="0.25">
      <c r="A53" s="324"/>
      <c r="B53" s="327" t="s">
        <v>905</v>
      </c>
      <c r="C53" s="298"/>
      <c r="D53" s="298"/>
      <c r="E53" s="298"/>
      <c r="F53" s="298"/>
      <c r="G53" s="214"/>
      <c r="H53" s="164"/>
      <c r="I53" s="298"/>
      <c r="J53" s="298"/>
      <c r="K53" s="214"/>
      <c r="L53" s="165"/>
      <c r="M53" s="298"/>
      <c r="N53" s="214"/>
      <c r="O53" s="301"/>
      <c r="P53" s="164"/>
    </row>
    <row r="54" spans="1:17" x14ac:dyDescent="0.25">
      <c r="A54" s="324"/>
      <c r="B54" s="474" t="s">
        <v>986</v>
      </c>
      <c r="C54" s="298"/>
      <c r="D54" s="298"/>
      <c r="E54" s="298"/>
      <c r="F54" s="298">
        <v>-4689</v>
      </c>
      <c r="G54" s="298">
        <v>129</v>
      </c>
      <c r="H54" s="164">
        <f t="shared" ref="H54" si="15">SUM(C54:G54)</f>
        <v>-4560</v>
      </c>
      <c r="I54" s="298"/>
      <c r="J54" s="298"/>
      <c r="K54" s="214"/>
      <c r="L54" s="165">
        <f t="shared" ref="L54" si="16">SUM(I54:K54)</f>
        <v>0</v>
      </c>
      <c r="M54" s="298"/>
      <c r="N54" s="214"/>
      <c r="O54" s="301"/>
      <c r="P54" s="164">
        <f t="shared" ref="P54" si="17">O54+L54+H54</f>
        <v>-4560</v>
      </c>
      <c r="Q54" s="302" t="s">
        <v>827</v>
      </c>
    </row>
    <row r="55" spans="1:17" x14ac:dyDescent="0.25">
      <c r="A55" s="324"/>
      <c r="B55" s="474" t="s">
        <v>987</v>
      </c>
      <c r="C55" s="298"/>
      <c r="D55" s="298"/>
      <c r="E55" s="298"/>
      <c r="F55" s="298">
        <v>2208</v>
      </c>
      <c r="G55" s="298"/>
      <c r="H55" s="164">
        <f t="shared" ref="H55:H56" si="18">SUM(C55:G55)</f>
        <v>2208</v>
      </c>
      <c r="I55" s="298"/>
      <c r="J55" s="298"/>
      <c r="K55" s="214"/>
      <c r="L55" s="165">
        <f t="shared" ref="L55:L56" si="19">SUM(I55:K55)</f>
        <v>0</v>
      </c>
      <c r="M55" s="298"/>
      <c r="N55" s="214"/>
      <c r="O55" s="301"/>
      <c r="P55" s="164">
        <f t="shared" ref="P55:P56" si="20">O55+L55+H55</f>
        <v>2208</v>
      </c>
      <c r="Q55" s="302" t="s">
        <v>827</v>
      </c>
    </row>
    <row r="56" spans="1:17" x14ac:dyDescent="0.25">
      <c r="A56" s="324"/>
      <c r="B56" s="474" t="s">
        <v>988</v>
      </c>
      <c r="C56" s="298"/>
      <c r="D56" s="298"/>
      <c r="E56" s="298"/>
      <c r="F56" s="298">
        <v>14</v>
      </c>
      <c r="G56" s="298"/>
      <c r="H56" s="164">
        <f t="shared" si="18"/>
        <v>14</v>
      </c>
      <c r="I56" s="298"/>
      <c r="J56" s="298"/>
      <c r="K56" s="214"/>
      <c r="L56" s="165">
        <f t="shared" si="19"/>
        <v>0</v>
      </c>
      <c r="M56" s="298"/>
      <c r="N56" s="214"/>
      <c r="O56" s="301"/>
      <c r="P56" s="164">
        <f t="shared" si="20"/>
        <v>14</v>
      </c>
      <c r="Q56" s="302" t="s">
        <v>827</v>
      </c>
    </row>
    <row r="57" spans="1:17" x14ac:dyDescent="0.25">
      <c r="A57" s="324"/>
      <c r="B57" s="474" t="s">
        <v>989</v>
      </c>
      <c r="C57" s="298">
        <v>186</v>
      </c>
      <c r="D57" s="298"/>
      <c r="E57" s="298"/>
      <c r="F57" s="298">
        <v>956</v>
      </c>
      <c r="G57" s="298"/>
      <c r="H57" s="164">
        <f t="shared" ref="H57:H60" si="21">SUM(C57:G57)</f>
        <v>1142</v>
      </c>
      <c r="I57" s="298"/>
      <c r="J57" s="298"/>
      <c r="K57" s="214"/>
      <c r="L57" s="165">
        <f t="shared" ref="L57:L60" si="22">SUM(I57:K57)</f>
        <v>0</v>
      </c>
      <c r="M57" s="298"/>
      <c r="N57" s="214"/>
      <c r="O57" s="301"/>
      <c r="P57" s="164">
        <f t="shared" ref="P57:P60" si="23">O57+L57+H57</f>
        <v>1142</v>
      </c>
      <c r="Q57" s="302" t="s">
        <v>827</v>
      </c>
    </row>
    <row r="58" spans="1:17" x14ac:dyDescent="0.25">
      <c r="A58" s="324"/>
      <c r="B58" s="474" t="s">
        <v>990</v>
      </c>
      <c r="C58" s="298"/>
      <c r="D58" s="298"/>
      <c r="E58" s="298"/>
      <c r="F58" s="298">
        <v>42</v>
      </c>
      <c r="G58" s="298"/>
      <c r="H58" s="164">
        <f t="shared" si="21"/>
        <v>42</v>
      </c>
      <c r="I58" s="298"/>
      <c r="J58" s="298"/>
      <c r="K58" s="214"/>
      <c r="L58" s="165">
        <f t="shared" si="22"/>
        <v>0</v>
      </c>
      <c r="M58" s="298"/>
      <c r="N58" s="214"/>
      <c r="O58" s="301"/>
      <c r="P58" s="164">
        <f t="shared" si="23"/>
        <v>42</v>
      </c>
      <c r="Q58" s="302" t="s">
        <v>827</v>
      </c>
    </row>
    <row r="59" spans="1:17" x14ac:dyDescent="0.25">
      <c r="A59" s="324"/>
      <c r="B59" s="474" t="s">
        <v>991</v>
      </c>
      <c r="C59" s="298"/>
      <c r="D59" s="298"/>
      <c r="E59" s="298"/>
      <c r="F59" s="298">
        <v>750</v>
      </c>
      <c r="G59" s="298"/>
      <c r="H59" s="164">
        <f t="shared" si="21"/>
        <v>750</v>
      </c>
      <c r="I59" s="298"/>
      <c r="J59" s="298"/>
      <c r="K59" s="214"/>
      <c r="L59" s="165">
        <f t="shared" si="22"/>
        <v>0</v>
      </c>
      <c r="M59" s="298"/>
      <c r="N59" s="214"/>
      <c r="O59" s="301"/>
      <c r="P59" s="164">
        <f t="shared" si="23"/>
        <v>750</v>
      </c>
      <c r="Q59" s="302" t="s">
        <v>827</v>
      </c>
    </row>
    <row r="60" spans="1:17" x14ac:dyDescent="0.25">
      <c r="A60" s="324"/>
      <c r="B60" s="474" t="s">
        <v>992</v>
      </c>
      <c r="C60" s="298"/>
      <c r="D60" s="298"/>
      <c r="E60" s="298"/>
      <c r="F60" s="298">
        <v>157</v>
      </c>
      <c r="G60" s="298"/>
      <c r="H60" s="164">
        <f t="shared" si="21"/>
        <v>157</v>
      </c>
      <c r="I60" s="298"/>
      <c r="J60" s="298"/>
      <c r="K60" s="214"/>
      <c r="L60" s="165">
        <f t="shared" si="22"/>
        <v>0</v>
      </c>
      <c r="M60" s="298"/>
      <c r="N60" s="214"/>
      <c r="O60" s="301"/>
      <c r="P60" s="164">
        <f t="shared" si="23"/>
        <v>157</v>
      </c>
      <c r="Q60" s="302" t="s">
        <v>827</v>
      </c>
    </row>
    <row r="61" spans="1:17" x14ac:dyDescent="0.25">
      <c r="A61" s="324"/>
      <c r="B61" s="474" t="s">
        <v>993</v>
      </c>
      <c r="C61" s="298"/>
      <c r="D61" s="298"/>
      <c r="E61" s="298"/>
      <c r="F61" s="298">
        <v>203</v>
      </c>
      <c r="G61" s="298"/>
      <c r="H61" s="164">
        <f t="shared" ref="H61:H62" si="24">SUM(C61:G61)</f>
        <v>203</v>
      </c>
      <c r="I61" s="298"/>
      <c r="J61" s="298"/>
      <c r="K61" s="214"/>
      <c r="L61" s="165">
        <f t="shared" ref="L61:L62" si="25">SUM(I61:K61)</f>
        <v>0</v>
      </c>
      <c r="M61" s="298"/>
      <c r="N61" s="214"/>
      <c r="O61" s="301"/>
      <c r="P61" s="164">
        <f t="shared" ref="P61:P62" si="26">O61+L61+H61</f>
        <v>203</v>
      </c>
      <c r="Q61" s="302" t="s">
        <v>827</v>
      </c>
    </row>
    <row r="62" spans="1:17" x14ac:dyDescent="0.25">
      <c r="A62" s="324"/>
      <c r="B62" s="474" t="s">
        <v>994</v>
      </c>
      <c r="C62" s="298"/>
      <c r="D62" s="298"/>
      <c r="E62" s="298"/>
      <c r="F62" s="298">
        <v>29</v>
      </c>
      <c r="G62" s="298"/>
      <c r="H62" s="164">
        <f t="shared" si="24"/>
        <v>29</v>
      </c>
      <c r="I62" s="298"/>
      <c r="J62" s="298"/>
      <c r="K62" s="214"/>
      <c r="L62" s="165">
        <f t="shared" si="25"/>
        <v>0</v>
      </c>
      <c r="M62" s="298"/>
      <c r="N62" s="214"/>
      <c r="O62" s="301"/>
      <c r="P62" s="164">
        <f t="shared" si="26"/>
        <v>29</v>
      </c>
      <c r="Q62" s="302" t="s">
        <v>827</v>
      </c>
    </row>
    <row r="63" spans="1:17" x14ac:dyDescent="0.25">
      <c r="A63" s="324"/>
      <c r="B63" s="474" t="s">
        <v>995</v>
      </c>
      <c r="C63" s="298"/>
      <c r="D63" s="298"/>
      <c r="E63" s="298"/>
      <c r="F63" s="298">
        <v>15</v>
      </c>
      <c r="G63" s="298"/>
      <c r="H63" s="164">
        <f t="shared" ref="H63" si="27">SUM(C63:G63)</f>
        <v>15</v>
      </c>
      <c r="I63" s="298"/>
      <c r="J63" s="298"/>
      <c r="K63" s="214"/>
      <c r="L63" s="165">
        <f t="shared" ref="L63" si="28">SUM(I63:K63)</f>
        <v>0</v>
      </c>
      <c r="M63" s="298"/>
      <c r="N63" s="214"/>
      <c r="O63" s="301"/>
      <c r="P63" s="164">
        <f t="shared" ref="P63" si="29">O63+L63+H63</f>
        <v>15</v>
      </c>
      <c r="Q63" s="302" t="s">
        <v>827</v>
      </c>
    </row>
    <row r="64" spans="1:17" x14ac:dyDescent="0.25">
      <c r="A64" s="328"/>
      <c r="B64" s="327"/>
      <c r="C64" s="167"/>
      <c r="D64" s="486"/>
      <c r="E64" s="486"/>
      <c r="F64" s="486"/>
      <c r="G64" s="257"/>
      <c r="H64" s="164"/>
      <c r="I64" s="167"/>
      <c r="J64" s="167"/>
      <c r="K64" s="168"/>
      <c r="L64" s="165"/>
      <c r="M64" s="167"/>
      <c r="N64" s="168"/>
      <c r="O64" s="169"/>
      <c r="P64" s="164"/>
    </row>
    <row r="65" spans="1:17" ht="49.5" customHeight="1" x14ac:dyDescent="0.25">
      <c r="A65" s="328"/>
      <c r="B65" s="327" t="s">
        <v>904</v>
      </c>
      <c r="C65" s="167"/>
      <c r="D65" s="486"/>
      <c r="E65" s="486"/>
      <c r="F65" s="486"/>
      <c r="G65" s="257"/>
      <c r="H65" s="164"/>
      <c r="I65" s="167"/>
      <c r="J65" s="167"/>
      <c r="K65" s="168"/>
      <c r="L65" s="165"/>
      <c r="M65" s="167"/>
      <c r="N65" s="168"/>
      <c r="O65" s="169"/>
      <c r="P65" s="164"/>
    </row>
    <row r="66" spans="1:17" x14ac:dyDescent="0.25">
      <c r="A66" s="162"/>
      <c r="B66" s="163"/>
      <c r="C66" s="167"/>
      <c r="D66" s="486"/>
      <c r="E66" s="486"/>
      <c r="F66" s="486"/>
      <c r="G66" s="257"/>
      <c r="H66" s="164">
        <f t="shared" ref="H66" si="30">SUM(C66:G66)</f>
        <v>0</v>
      </c>
      <c r="I66" s="167"/>
      <c r="J66" s="167"/>
      <c r="K66" s="168"/>
      <c r="L66" s="165">
        <f t="shared" ref="L66" si="31">SUM(I66:K66)</f>
        <v>0</v>
      </c>
      <c r="M66" s="167"/>
      <c r="N66" s="168"/>
      <c r="O66" s="169"/>
      <c r="P66" s="164">
        <f t="shared" ref="P66" si="32">O66+L66+H66</f>
        <v>0</v>
      </c>
      <c r="Q66" s="302" t="s">
        <v>827</v>
      </c>
    </row>
    <row r="67" spans="1:17" x14ac:dyDescent="0.25">
      <c r="A67" s="162"/>
      <c r="B67" s="163"/>
      <c r="C67" s="167"/>
      <c r="D67" s="167"/>
      <c r="E67" s="167"/>
      <c r="F67" s="167"/>
      <c r="G67" s="257"/>
      <c r="H67" s="164"/>
      <c r="I67" s="167"/>
      <c r="J67" s="167"/>
      <c r="K67" s="257"/>
      <c r="L67" s="165"/>
      <c r="M67" s="167"/>
      <c r="N67" s="257"/>
      <c r="O67" s="169"/>
      <c r="P67" s="164"/>
    </row>
    <row r="68" spans="1:17" s="458" customFormat="1" x14ac:dyDescent="0.25">
      <c r="A68" s="162" t="s">
        <v>40</v>
      </c>
      <c r="B68" s="476" t="s">
        <v>41</v>
      </c>
      <c r="C68" s="477"/>
      <c r="D68" s="477"/>
      <c r="E68" s="477"/>
      <c r="F68" s="477"/>
      <c r="G68" s="478"/>
      <c r="H68" s="165"/>
      <c r="I68" s="477"/>
      <c r="J68" s="477"/>
      <c r="K68" s="478"/>
      <c r="L68" s="165"/>
      <c r="M68" s="477"/>
      <c r="N68" s="478"/>
      <c r="O68" s="165"/>
      <c r="P68" s="165"/>
    </row>
    <row r="69" spans="1:17" x14ac:dyDescent="0.25">
      <c r="A69" s="162"/>
      <c r="B69" s="475" t="s">
        <v>896</v>
      </c>
      <c r="C69" s="167"/>
      <c r="D69" s="486"/>
      <c r="E69" s="486"/>
      <c r="F69" s="486"/>
      <c r="G69" s="257"/>
      <c r="H69" s="164"/>
      <c r="I69" s="167"/>
      <c r="J69" s="167"/>
      <c r="K69" s="168"/>
      <c r="L69" s="165"/>
      <c r="M69" s="167"/>
      <c r="N69" s="168"/>
      <c r="O69" s="169"/>
      <c r="P69" s="164"/>
    </row>
    <row r="70" spans="1:17" x14ac:dyDescent="0.25">
      <c r="A70" s="162"/>
      <c r="B70" s="135" t="s">
        <v>475</v>
      </c>
      <c r="C70" s="167"/>
      <c r="D70" s="486"/>
      <c r="E70" s="486"/>
      <c r="F70" s="486"/>
      <c r="G70" s="257"/>
      <c r="H70" s="164"/>
      <c r="I70" s="167"/>
      <c r="J70" s="167"/>
      <c r="K70" s="168"/>
      <c r="L70" s="165"/>
      <c r="M70" s="167"/>
      <c r="N70" s="168"/>
      <c r="O70" s="169"/>
      <c r="P70" s="164"/>
    </row>
    <row r="71" spans="1:17" x14ac:dyDescent="0.25">
      <c r="A71" s="297"/>
      <c r="B71" s="474"/>
      <c r="C71" s="298"/>
      <c r="D71" s="298"/>
      <c r="E71" s="298"/>
      <c r="F71" s="298"/>
      <c r="G71" s="214"/>
      <c r="H71" s="164">
        <f>SUM(C71:G71)</f>
        <v>0</v>
      </c>
      <c r="I71" s="298"/>
      <c r="J71" s="298"/>
      <c r="K71" s="214"/>
      <c r="L71" s="165">
        <f>SUM(I71:K71)</f>
        <v>0</v>
      </c>
      <c r="M71" s="455"/>
      <c r="N71" s="456"/>
      <c r="O71" s="164"/>
      <c r="P71" s="164">
        <f>O71+L71+H71</f>
        <v>0</v>
      </c>
      <c r="Q71" s="302" t="s">
        <v>827</v>
      </c>
    </row>
    <row r="72" spans="1:17" x14ac:dyDescent="0.25">
      <c r="A72" s="162"/>
      <c r="B72" s="475"/>
      <c r="C72" s="167"/>
      <c r="D72" s="486"/>
      <c r="E72" s="486"/>
      <c r="F72" s="486"/>
      <c r="G72" s="257"/>
      <c r="H72" s="164"/>
      <c r="I72" s="167"/>
      <c r="J72" s="167"/>
      <c r="K72" s="168"/>
      <c r="L72" s="165"/>
      <c r="M72" s="167"/>
      <c r="N72" s="168"/>
      <c r="O72" s="169"/>
      <c r="P72" s="164"/>
    </row>
    <row r="73" spans="1:17" ht="32.25" customHeight="1" x14ac:dyDescent="0.25">
      <c r="A73" s="162"/>
      <c r="B73" s="327" t="s">
        <v>905</v>
      </c>
      <c r="C73" s="167"/>
      <c r="D73" s="486"/>
      <c r="E73" s="486"/>
      <c r="F73" s="486"/>
      <c r="G73" s="257"/>
      <c r="H73" s="164"/>
      <c r="I73" s="167"/>
      <c r="J73" s="167"/>
      <c r="K73" s="168"/>
      <c r="L73" s="165"/>
      <c r="M73" s="167"/>
      <c r="N73" s="168"/>
      <c r="O73" s="169"/>
      <c r="P73" s="164"/>
    </row>
    <row r="74" spans="1:17" ht="47.25" x14ac:dyDescent="0.25">
      <c r="A74" s="485"/>
      <c r="B74" s="489" t="s">
        <v>1017</v>
      </c>
      <c r="C74" s="167"/>
      <c r="D74" s="167"/>
      <c r="E74" s="167"/>
      <c r="F74" s="167"/>
      <c r="G74" s="257">
        <v>2044</v>
      </c>
      <c r="H74" s="165">
        <f t="shared" ref="H74" si="33">SUM(C74:G74)</f>
        <v>2044</v>
      </c>
      <c r="I74" s="477"/>
      <c r="J74" s="167">
        <v>-2044</v>
      </c>
      <c r="K74" s="478"/>
      <c r="L74" s="165">
        <f t="shared" ref="L74" si="34">SUM(I74:K74)</f>
        <v>-2044</v>
      </c>
      <c r="M74" s="477"/>
      <c r="N74" s="478"/>
      <c r="O74" s="165"/>
      <c r="P74" s="165">
        <f t="shared" ref="P74" si="35">O74+L74+H74</f>
        <v>0</v>
      </c>
      <c r="Q74" s="302" t="s">
        <v>827</v>
      </c>
    </row>
    <row r="75" spans="1:17" ht="63" x14ac:dyDescent="0.25">
      <c r="A75" s="485"/>
      <c r="B75" s="489" t="s">
        <v>1018</v>
      </c>
      <c r="C75" s="167"/>
      <c r="D75" s="167"/>
      <c r="E75" s="167"/>
      <c r="F75" s="167"/>
      <c r="G75" s="257">
        <v>1872</v>
      </c>
      <c r="H75" s="165">
        <f t="shared" ref="H75:H77" si="36">SUM(C75:G75)</f>
        <v>1872</v>
      </c>
      <c r="I75" s="167">
        <v>-1872</v>
      </c>
      <c r="J75" s="167">
        <v>0</v>
      </c>
      <c r="K75" s="478"/>
      <c r="L75" s="165">
        <f t="shared" ref="L75:L77" si="37">SUM(I75:K75)</f>
        <v>-1872</v>
      </c>
      <c r="M75" s="477"/>
      <c r="N75" s="478"/>
      <c r="O75" s="165"/>
      <c r="P75" s="165">
        <f t="shared" ref="P75:P77" si="38">O75+L75+H75</f>
        <v>0</v>
      </c>
      <c r="Q75" s="302" t="s">
        <v>827</v>
      </c>
    </row>
    <row r="76" spans="1:17" ht="32.25" customHeight="1" x14ac:dyDescent="0.25">
      <c r="A76" s="162"/>
      <c r="B76" s="327" t="s">
        <v>1019</v>
      </c>
      <c r="C76" s="167"/>
      <c r="D76" s="486"/>
      <c r="E76" s="486"/>
      <c r="F76" s="486"/>
      <c r="G76" s="257"/>
      <c r="H76" s="164"/>
      <c r="I76" s="167"/>
      <c r="J76" s="167"/>
      <c r="K76" s="168"/>
      <c r="L76" s="165"/>
      <c r="M76" s="167"/>
      <c r="N76" s="168"/>
      <c r="O76" s="169"/>
      <c r="P76" s="164"/>
    </row>
    <row r="77" spans="1:17" ht="31.5" x14ac:dyDescent="0.25">
      <c r="A77" s="485"/>
      <c r="B77" s="489" t="s">
        <v>1020</v>
      </c>
      <c r="C77" s="167"/>
      <c r="D77" s="167"/>
      <c r="E77" s="167"/>
      <c r="F77" s="167"/>
      <c r="G77" s="257"/>
      <c r="H77" s="165">
        <f t="shared" si="36"/>
        <v>0</v>
      </c>
      <c r="I77" s="477"/>
      <c r="J77" s="167">
        <v>1</v>
      </c>
      <c r="K77" s="478"/>
      <c r="L77" s="165">
        <f t="shared" si="37"/>
        <v>1</v>
      </c>
      <c r="M77" s="477"/>
      <c r="N77" s="478"/>
      <c r="O77" s="165"/>
      <c r="P77" s="165">
        <f t="shared" si="38"/>
        <v>1</v>
      </c>
      <c r="Q77" s="302" t="s">
        <v>827</v>
      </c>
    </row>
    <row r="78" spans="1:17" x14ac:dyDescent="0.25">
      <c r="A78" s="485"/>
      <c r="B78" s="489" t="s">
        <v>1022</v>
      </c>
      <c r="C78" s="167"/>
      <c r="D78" s="167"/>
      <c r="E78" s="167"/>
      <c r="F78" s="167"/>
      <c r="G78" s="257"/>
      <c r="H78" s="165">
        <f t="shared" ref="H78:H83" si="39">SUM(C78:G78)</f>
        <v>0</v>
      </c>
      <c r="I78" s="477"/>
      <c r="J78" s="167">
        <v>1</v>
      </c>
      <c r="K78" s="478"/>
      <c r="L78" s="165">
        <f t="shared" ref="L78:L83" si="40">SUM(I78:K78)</f>
        <v>1</v>
      </c>
      <c r="M78" s="477"/>
      <c r="N78" s="478"/>
      <c r="O78" s="165"/>
      <c r="P78" s="165">
        <f t="shared" ref="P78:P83" si="41">O78+L78+H78</f>
        <v>1</v>
      </c>
      <c r="Q78" s="302" t="s">
        <v>827</v>
      </c>
    </row>
    <row r="79" spans="1:17" ht="31.5" x14ac:dyDescent="0.25">
      <c r="A79" s="485"/>
      <c r="B79" s="489" t="s">
        <v>1023</v>
      </c>
      <c r="C79" s="167"/>
      <c r="D79" s="167"/>
      <c r="E79" s="167"/>
      <c r="F79" s="167"/>
      <c r="G79" s="257"/>
      <c r="H79" s="165">
        <f t="shared" si="39"/>
        <v>0</v>
      </c>
      <c r="I79" s="167"/>
      <c r="J79" s="167">
        <v>1</v>
      </c>
      <c r="K79" s="478"/>
      <c r="L79" s="165">
        <f t="shared" si="40"/>
        <v>1</v>
      </c>
      <c r="M79" s="477"/>
      <c r="N79" s="478"/>
      <c r="O79" s="165"/>
      <c r="P79" s="165">
        <f t="shared" si="41"/>
        <v>1</v>
      </c>
      <c r="Q79" s="302" t="s">
        <v>827</v>
      </c>
    </row>
    <row r="80" spans="1:17" ht="47.25" x14ac:dyDescent="0.25">
      <c r="A80" s="297"/>
      <c r="B80" s="163" t="s">
        <v>1024</v>
      </c>
      <c r="C80" s="298"/>
      <c r="D80" s="298"/>
      <c r="E80" s="298"/>
      <c r="F80" s="298"/>
      <c r="G80" s="214"/>
      <c r="H80" s="164">
        <f t="shared" si="39"/>
        <v>0</v>
      </c>
      <c r="I80" s="298"/>
      <c r="J80" s="298">
        <v>1</v>
      </c>
      <c r="K80" s="456"/>
      <c r="L80" s="165">
        <f t="shared" si="40"/>
        <v>1</v>
      </c>
      <c r="M80" s="455"/>
      <c r="N80" s="456"/>
      <c r="O80" s="164"/>
      <c r="P80" s="164">
        <f t="shared" si="41"/>
        <v>1</v>
      </c>
      <c r="Q80" s="302" t="s">
        <v>827</v>
      </c>
    </row>
    <row r="81" spans="1:17" ht="31.5" x14ac:dyDescent="0.25">
      <c r="A81" s="297"/>
      <c r="B81" s="489" t="s">
        <v>1025</v>
      </c>
      <c r="C81" s="298"/>
      <c r="D81" s="298"/>
      <c r="E81" s="298"/>
      <c r="F81" s="298"/>
      <c r="G81" s="214"/>
      <c r="H81" s="164">
        <f t="shared" si="39"/>
        <v>0</v>
      </c>
      <c r="I81" s="298"/>
      <c r="J81" s="298">
        <v>1</v>
      </c>
      <c r="K81" s="456"/>
      <c r="L81" s="165">
        <f t="shared" si="40"/>
        <v>1</v>
      </c>
      <c r="M81" s="455"/>
      <c r="N81" s="456"/>
      <c r="O81" s="164"/>
      <c r="P81" s="164">
        <f t="shared" si="41"/>
        <v>1</v>
      </c>
      <c r="Q81" s="302" t="s">
        <v>827</v>
      </c>
    </row>
    <row r="82" spans="1:17" x14ac:dyDescent="0.25">
      <c r="A82" s="297"/>
      <c r="B82" s="489" t="s">
        <v>917</v>
      </c>
      <c r="C82" s="298"/>
      <c r="D82" s="298"/>
      <c r="E82" s="298"/>
      <c r="F82" s="298"/>
      <c r="G82" s="214"/>
      <c r="H82" s="164">
        <f t="shared" ref="H82" si="42">SUM(C82:G82)</f>
        <v>0</v>
      </c>
      <c r="I82" s="298"/>
      <c r="J82" s="298">
        <v>-5</v>
      </c>
      <c r="K82" s="456"/>
      <c r="L82" s="165">
        <f t="shared" ref="L82" si="43">SUM(I82:K82)</f>
        <v>-5</v>
      </c>
      <c r="M82" s="455"/>
      <c r="N82" s="456"/>
      <c r="O82" s="164"/>
      <c r="P82" s="164">
        <f t="shared" ref="P82" si="44">O82+L82+H82</f>
        <v>-5</v>
      </c>
      <c r="Q82" s="302" t="s">
        <v>827</v>
      </c>
    </row>
    <row r="83" spans="1:17" x14ac:dyDescent="0.25">
      <c r="A83" s="297"/>
      <c r="B83" s="474"/>
      <c r="C83" s="298"/>
      <c r="D83" s="298"/>
      <c r="E83" s="298"/>
      <c r="F83" s="298"/>
      <c r="G83" s="214"/>
      <c r="H83" s="164">
        <f t="shared" si="39"/>
        <v>0</v>
      </c>
      <c r="I83" s="298"/>
      <c r="J83" s="298"/>
      <c r="K83" s="456"/>
      <c r="L83" s="165">
        <f t="shared" si="40"/>
        <v>0</v>
      </c>
      <c r="M83" s="455"/>
      <c r="N83" s="456"/>
      <c r="O83" s="164"/>
      <c r="P83" s="164">
        <f t="shared" si="41"/>
        <v>0</v>
      </c>
      <c r="Q83" s="302" t="s">
        <v>827</v>
      </c>
    </row>
    <row r="84" spans="1:17" ht="34.5" customHeight="1" x14ac:dyDescent="0.25">
      <c r="A84" s="162"/>
      <c r="B84" s="327" t="s">
        <v>906</v>
      </c>
      <c r="C84" s="167"/>
      <c r="D84" s="486"/>
      <c r="E84" s="486"/>
      <c r="F84" s="486"/>
      <c r="G84" s="257"/>
      <c r="H84" s="164"/>
      <c r="I84" s="167"/>
      <c r="J84" s="167"/>
      <c r="K84" s="168"/>
      <c r="L84" s="165"/>
      <c r="M84" s="167"/>
      <c r="N84" s="168"/>
      <c r="O84" s="169"/>
      <c r="P84" s="164"/>
    </row>
    <row r="85" spans="1:17" x14ac:dyDescent="0.25">
      <c r="A85" s="324"/>
      <c r="B85" s="474"/>
      <c r="C85" s="298"/>
      <c r="D85" s="298"/>
      <c r="E85" s="298"/>
      <c r="F85" s="298"/>
      <c r="G85" s="214"/>
      <c r="H85" s="164">
        <f t="shared" ref="H85" si="45">SUM(C85:G85)</f>
        <v>0</v>
      </c>
      <c r="I85" s="298"/>
      <c r="J85" s="298"/>
      <c r="K85" s="214"/>
      <c r="L85" s="165">
        <f t="shared" ref="L85" si="46">SUM(I85:K85)</f>
        <v>0</v>
      </c>
      <c r="M85" s="298"/>
      <c r="N85" s="214"/>
      <c r="O85" s="301"/>
      <c r="P85" s="164">
        <f t="shared" ref="P85" si="47">O85+L85+H85</f>
        <v>0</v>
      </c>
      <c r="Q85" s="302" t="s">
        <v>827</v>
      </c>
    </row>
    <row r="86" spans="1:17" x14ac:dyDescent="0.25">
      <c r="A86" s="519"/>
      <c r="B86" s="474"/>
      <c r="C86" s="298"/>
      <c r="D86" s="298"/>
      <c r="E86" s="298"/>
      <c r="F86" s="298"/>
      <c r="G86" s="214"/>
      <c r="H86" s="164"/>
      <c r="I86" s="298"/>
      <c r="J86" s="298"/>
      <c r="K86" s="214"/>
      <c r="L86" s="165"/>
      <c r="M86" s="298"/>
      <c r="N86" s="214"/>
      <c r="O86" s="301"/>
      <c r="P86" s="164"/>
    </row>
    <row r="87" spans="1:17" ht="49.5" customHeight="1" x14ac:dyDescent="0.25">
      <c r="A87" s="328"/>
      <c r="B87" s="327" t="s">
        <v>904</v>
      </c>
      <c r="C87" s="167"/>
      <c r="D87" s="486"/>
      <c r="E87" s="486"/>
      <c r="F87" s="486"/>
      <c r="G87" s="257"/>
      <c r="H87" s="164"/>
      <c r="I87" s="167"/>
      <c r="J87" s="167"/>
      <c r="K87" s="168"/>
      <c r="L87" s="165"/>
      <c r="M87" s="167"/>
      <c r="N87" s="168"/>
      <c r="O87" s="169"/>
      <c r="P87" s="164"/>
    </row>
    <row r="88" spans="1:17" x14ac:dyDescent="0.25">
      <c r="A88" s="162"/>
      <c r="B88" s="163"/>
      <c r="C88" s="167"/>
      <c r="D88" s="486"/>
      <c r="E88" s="486"/>
      <c r="F88" s="486"/>
      <c r="G88" s="257"/>
      <c r="H88" s="164">
        <f t="shared" ref="H88" si="48">SUM(C88:G88)</f>
        <v>0</v>
      </c>
      <c r="I88" s="167"/>
      <c r="J88" s="167"/>
      <c r="K88" s="168"/>
      <c r="L88" s="165">
        <f t="shared" ref="L88" si="49">SUM(I88:K88)</f>
        <v>0</v>
      </c>
      <c r="M88" s="167"/>
      <c r="N88" s="168"/>
      <c r="O88" s="169"/>
      <c r="P88" s="164">
        <f t="shared" ref="P88" si="50">O88+L88+H88</f>
        <v>0</v>
      </c>
      <c r="Q88" s="302" t="s">
        <v>827</v>
      </c>
    </row>
    <row r="89" spans="1:17" x14ac:dyDescent="0.25">
      <c r="A89" s="162"/>
      <c r="B89" s="163"/>
      <c r="C89" s="167"/>
      <c r="D89" s="486"/>
      <c r="E89" s="486"/>
      <c r="F89" s="486"/>
      <c r="G89" s="257"/>
      <c r="H89" s="164"/>
      <c r="I89" s="167"/>
      <c r="J89" s="167"/>
      <c r="K89" s="168"/>
      <c r="L89" s="165"/>
      <c r="M89" s="167"/>
      <c r="N89" s="168"/>
      <c r="O89" s="169"/>
      <c r="P89" s="164"/>
    </row>
    <row r="90" spans="1:17" x14ac:dyDescent="0.25">
      <c r="A90" s="162"/>
      <c r="B90" s="475" t="s">
        <v>84</v>
      </c>
      <c r="C90" s="167"/>
      <c r="D90" s="486"/>
      <c r="E90" s="486"/>
      <c r="F90" s="486"/>
      <c r="G90" s="257"/>
      <c r="H90" s="165"/>
      <c r="I90" s="167"/>
      <c r="J90" s="167"/>
      <c r="K90" s="168"/>
      <c r="L90" s="165"/>
      <c r="M90" s="167"/>
      <c r="N90" s="168"/>
      <c r="O90" s="169"/>
      <c r="P90" s="165"/>
    </row>
    <row r="91" spans="1:17" x14ac:dyDescent="0.25">
      <c r="A91" s="485"/>
      <c r="B91" s="135" t="s">
        <v>475</v>
      </c>
      <c r="C91" s="167"/>
      <c r="D91" s="486"/>
      <c r="E91" s="486"/>
      <c r="F91" s="486"/>
      <c r="G91" s="257"/>
      <c r="H91" s="164"/>
      <c r="I91" s="167"/>
      <c r="J91" s="167"/>
      <c r="K91" s="168"/>
      <c r="L91" s="165"/>
      <c r="M91" s="167"/>
      <c r="N91" s="168"/>
      <c r="O91" s="169"/>
      <c r="P91" s="164"/>
    </row>
    <row r="92" spans="1:17" ht="51.75" customHeight="1" x14ac:dyDescent="0.25">
      <c r="A92" s="485"/>
      <c r="B92" s="256" t="s">
        <v>1002</v>
      </c>
      <c r="C92" s="167"/>
      <c r="D92" s="486"/>
      <c r="E92" s="486"/>
      <c r="F92" s="486"/>
      <c r="G92" s="520"/>
      <c r="H92" s="164">
        <f t="shared" ref="H92:H93" si="51">SUM(C92:G92)</f>
        <v>0</v>
      </c>
      <c r="I92" s="167">
        <v>28639</v>
      </c>
      <c r="J92" s="167"/>
      <c r="K92" s="168"/>
      <c r="L92" s="165">
        <f t="shared" ref="L92:L93" si="52">SUM(I92:K92)</f>
        <v>28639</v>
      </c>
      <c r="M92" s="167"/>
      <c r="N92" s="168"/>
      <c r="O92" s="169"/>
      <c r="P92" s="164">
        <f t="shared" ref="P92:P93" si="53">O92+L92+H92</f>
        <v>28639</v>
      </c>
      <c r="Q92" s="302" t="s">
        <v>828</v>
      </c>
    </row>
    <row r="93" spans="1:17" ht="36.75" customHeight="1" x14ac:dyDescent="0.25">
      <c r="A93" s="485"/>
      <c r="B93" s="256" t="s">
        <v>1028</v>
      </c>
      <c r="C93" s="167"/>
      <c r="D93" s="486"/>
      <c r="E93" s="486"/>
      <c r="F93" s="486"/>
      <c r="G93" s="167">
        <v>1</v>
      </c>
      <c r="H93" s="164">
        <f t="shared" si="51"/>
        <v>1</v>
      </c>
      <c r="I93" s="167"/>
      <c r="J93" s="167"/>
      <c r="K93" s="168"/>
      <c r="L93" s="165">
        <f t="shared" si="52"/>
        <v>0</v>
      </c>
      <c r="M93" s="167"/>
      <c r="N93" s="168"/>
      <c r="O93" s="169"/>
      <c r="P93" s="164">
        <f t="shared" si="53"/>
        <v>1</v>
      </c>
      <c r="Q93" s="302" t="s">
        <v>828</v>
      </c>
    </row>
    <row r="94" spans="1:17" ht="36.75" customHeight="1" x14ac:dyDescent="0.25">
      <c r="A94" s="485"/>
      <c r="B94" s="256" t="s">
        <v>1073</v>
      </c>
      <c r="C94" s="167"/>
      <c r="D94" s="486"/>
      <c r="E94" s="167">
        <v>200000</v>
      </c>
      <c r="F94" s="486"/>
      <c r="G94" s="486"/>
      <c r="H94" s="164">
        <f t="shared" ref="H94" si="54">SUM(C94:G94)</f>
        <v>200000</v>
      </c>
      <c r="I94" s="167">
        <v>592498</v>
      </c>
      <c r="J94" s="167"/>
      <c r="K94" s="168"/>
      <c r="L94" s="165">
        <f t="shared" ref="L94" si="55">SUM(I94:K94)</f>
        <v>592498</v>
      </c>
      <c r="M94" s="167"/>
      <c r="N94" s="168"/>
      <c r="O94" s="169"/>
      <c r="P94" s="164">
        <f t="shared" ref="P94" si="56">O94+L94+H94</f>
        <v>792498</v>
      </c>
      <c r="Q94" s="302" t="s">
        <v>863</v>
      </c>
    </row>
    <row r="95" spans="1:17" ht="32.25" customHeight="1" x14ac:dyDescent="0.25">
      <c r="A95" s="162"/>
      <c r="B95" s="327" t="s">
        <v>1019</v>
      </c>
      <c r="C95" s="167"/>
      <c r="D95" s="486"/>
      <c r="E95" s="486"/>
      <c r="F95" s="486"/>
      <c r="G95" s="257"/>
      <c r="H95" s="164"/>
      <c r="I95" s="167"/>
      <c r="J95" s="167"/>
      <c r="K95" s="168"/>
      <c r="L95" s="165"/>
      <c r="M95" s="167"/>
      <c r="N95" s="168"/>
      <c r="O95" s="169"/>
      <c r="P95" s="164"/>
    </row>
    <row r="96" spans="1:17" x14ac:dyDescent="0.25">
      <c r="A96" s="485"/>
      <c r="B96" s="256" t="s">
        <v>1031</v>
      </c>
      <c r="C96" s="167"/>
      <c r="D96" s="486"/>
      <c r="E96" s="486">
        <v>1</v>
      </c>
      <c r="F96" s="486"/>
      <c r="G96" s="520"/>
      <c r="H96" s="165">
        <f t="shared" ref="H96:H97" si="57">SUM(C96:G96)</f>
        <v>1</v>
      </c>
      <c r="I96" s="167"/>
      <c r="J96" s="167"/>
      <c r="K96" s="168"/>
      <c r="L96" s="165">
        <f t="shared" ref="L96:L97" si="58">SUM(I96:K96)</f>
        <v>0</v>
      </c>
      <c r="M96" s="167"/>
      <c r="N96" s="168"/>
      <c r="O96" s="169"/>
      <c r="P96" s="165">
        <f t="shared" ref="P96:P97" si="59">O96+L96+H96</f>
        <v>1</v>
      </c>
      <c r="Q96" s="302" t="s">
        <v>827</v>
      </c>
    </row>
    <row r="97" spans="1:17" ht="31.5" x14ac:dyDescent="0.25">
      <c r="A97" s="485"/>
      <c r="B97" s="256" t="s">
        <v>1033</v>
      </c>
      <c r="C97" s="167"/>
      <c r="D97" s="486"/>
      <c r="E97" s="486">
        <v>1</v>
      </c>
      <c r="F97" s="486"/>
      <c r="G97" s="520"/>
      <c r="H97" s="165">
        <f t="shared" si="57"/>
        <v>1</v>
      </c>
      <c r="I97" s="167"/>
      <c r="J97" s="167"/>
      <c r="K97" s="168"/>
      <c r="L97" s="165">
        <f t="shared" si="58"/>
        <v>0</v>
      </c>
      <c r="M97" s="167"/>
      <c r="N97" s="168"/>
      <c r="O97" s="169"/>
      <c r="P97" s="165">
        <f t="shared" si="59"/>
        <v>1</v>
      </c>
      <c r="Q97" s="302" t="s">
        <v>827</v>
      </c>
    </row>
    <row r="98" spans="1:17" x14ac:dyDescent="0.25">
      <c r="A98" s="297"/>
      <c r="B98" s="479"/>
      <c r="C98" s="298"/>
      <c r="D98" s="298"/>
      <c r="E98" s="298"/>
      <c r="F98" s="298"/>
      <c r="G98" s="214"/>
      <c r="H98" s="164"/>
      <c r="I98" s="298"/>
      <c r="J98" s="298"/>
      <c r="K98" s="214"/>
      <c r="L98" s="165"/>
      <c r="M98" s="298"/>
      <c r="N98" s="214"/>
      <c r="O98" s="301"/>
      <c r="P98" s="164"/>
    </row>
    <row r="99" spans="1:17" ht="47.25" x14ac:dyDescent="0.25">
      <c r="A99" s="485"/>
      <c r="B99" s="327" t="s">
        <v>904</v>
      </c>
      <c r="C99" s="167"/>
      <c r="D99" s="486"/>
      <c r="E99" s="486"/>
      <c r="F99" s="486"/>
      <c r="G99" s="520"/>
      <c r="H99" s="164"/>
      <c r="I99" s="167"/>
      <c r="J99" s="167"/>
      <c r="K99" s="168"/>
      <c r="L99" s="165"/>
      <c r="M99" s="167"/>
      <c r="N99" s="168"/>
      <c r="O99" s="169"/>
      <c r="P99" s="164"/>
    </row>
    <row r="100" spans="1:17" x14ac:dyDescent="0.25">
      <c r="A100" s="485"/>
      <c r="B100" s="256"/>
      <c r="C100" s="167"/>
      <c r="D100" s="486"/>
      <c r="E100" s="486"/>
      <c r="F100" s="486"/>
      <c r="G100" s="520"/>
      <c r="H100" s="165">
        <f t="shared" ref="H100" si="60">SUM(C100:G100)</f>
        <v>0</v>
      </c>
      <c r="I100" s="167"/>
      <c r="J100" s="167"/>
      <c r="K100" s="168"/>
      <c r="L100" s="165">
        <f t="shared" ref="L100" si="61">SUM(I100:K100)</f>
        <v>0</v>
      </c>
      <c r="M100" s="167"/>
      <c r="N100" s="168"/>
      <c r="O100" s="169"/>
      <c r="P100" s="165">
        <f t="shared" ref="P100" si="62">O100+L100+H100</f>
        <v>0</v>
      </c>
      <c r="Q100" s="302" t="s">
        <v>828</v>
      </c>
    </row>
    <row r="101" spans="1:17" x14ac:dyDescent="0.25">
      <c r="A101" s="485"/>
      <c r="B101" s="256"/>
      <c r="C101" s="167"/>
      <c r="D101" s="486"/>
      <c r="E101" s="486"/>
      <c r="F101" s="486"/>
      <c r="G101" s="257"/>
      <c r="H101" s="164"/>
      <c r="I101" s="167"/>
      <c r="J101" s="167"/>
      <c r="K101" s="168"/>
      <c r="L101" s="165"/>
      <c r="M101" s="167"/>
      <c r="N101" s="168"/>
      <c r="O101" s="169"/>
      <c r="P101" s="164"/>
    </row>
    <row r="102" spans="1:17" ht="31.5" x14ac:dyDescent="0.25">
      <c r="A102" s="162"/>
      <c r="B102" s="327" t="s">
        <v>906</v>
      </c>
      <c r="C102" s="167"/>
      <c r="D102" s="486"/>
      <c r="E102" s="486"/>
      <c r="F102" s="486"/>
      <c r="G102" s="257"/>
      <c r="H102" s="164"/>
      <c r="I102" s="167"/>
      <c r="J102" s="167"/>
      <c r="K102" s="168"/>
      <c r="L102" s="165"/>
      <c r="M102" s="167"/>
      <c r="N102" s="168"/>
      <c r="O102" s="169"/>
      <c r="P102" s="164"/>
    </row>
    <row r="103" spans="1:17" ht="64.5" customHeight="1" x14ac:dyDescent="0.25">
      <c r="A103" s="162"/>
      <c r="B103" s="163" t="s">
        <v>996</v>
      </c>
      <c r="C103" s="167"/>
      <c r="D103" s="486"/>
      <c r="E103" s="486"/>
      <c r="F103" s="486"/>
      <c r="G103" s="257"/>
      <c r="H103" s="165">
        <f>SUM(C103:G103)</f>
        <v>0</v>
      </c>
      <c r="I103" s="167">
        <f>-126195+126195</f>
        <v>0</v>
      </c>
      <c r="J103" s="167"/>
      <c r="K103" s="168"/>
      <c r="L103" s="165">
        <f>SUM(I103:K103)</f>
        <v>0</v>
      </c>
      <c r="M103" s="167"/>
      <c r="N103" s="168"/>
      <c r="O103" s="169"/>
      <c r="P103" s="165">
        <f>O103+L103+H103</f>
        <v>0</v>
      </c>
      <c r="Q103" s="302" t="s">
        <v>827</v>
      </c>
    </row>
    <row r="104" spans="1:17" ht="43.5" customHeight="1" x14ac:dyDescent="0.25">
      <c r="A104" s="162"/>
      <c r="B104" s="163" t="s">
        <v>1060</v>
      </c>
      <c r="C104" s="167"/>
      <c r="D104" s="486"/>
      <c r="E104" s="486">
        <f>17075+1500</f>
        <v>18575</v>
      </c>
      <c r="F104" s="486"/>
      <c r="G104" s="257"/>
      <c r="H104" s="165">
        <f>SUM(C104:G104)</f>
        <v>18575</v>
      </c>
      <c r="I104" s="167">
        <f>67396+4034</f>
        <v>71430</v>
      </c>
      <c r="J104" s="167"/>
      <c r="K104" s="168"/>
      <c r="L104" s="165">
        <f>SUM(I104:K104)</f>
        <v>71430</v>
      </c>
      <c r="M104" s="167"/>
      <c r="N104" s="168"/>
      <c r="O104" s="169"/>
      <c r="P104" s="165">
        <f>O104+L104+H104</f>
        <v>90005</v>
      </c>
      <c r="Q104" s="302" t="s">
        <v>828</v>
      </c>
    </row>
    <row r="105" spans="1:17" x14ac:dyDescent="0.25">
      <c r="A105" s="162"/>
      <c r="B105" s="489"/>
      <c r="C105" s="167"/>
      <c r="D105" s="167"/>
      <c r="E105" s="167"/>
      <c r="F105" s="167"/>
      <c r="G105" s="257"/>
      <c r="H105" s="165">
        <f t="shared" ref="H105" si="63">SUM(C105:G105)</f>
        <v>0</v>
      </c>
      <c r="I105" s="167"/>
      <c r="J105" s="167"/>
      <c r="K105" s="257"/>
      <c r="L105" s="165">
        <f t="shared" ref="L105" si="64">SUM(I105:K105)</f>
        <v>0</v>
      </c>
      <c r="M105" s="167"/>
      <c r="N105" s="257"/>
      <c r="O105" s="169"/>
      <c r="P105" s="165">
        <f t="shared" ref="P105" si="65">O105+L105+H105</f>
        <v>0</v>
      </c>
      <c r="Q105" s="302" t="s">
        <v>828</v>
      </c>
    </row>
    <row r="106" spans="1:17" ht="33.75" customHeight="1" x14ac:dyDescent="0.25">
      <c r="A106" s="162"/>
      <c r="B106" s="327" t="s">
        <v>905</v>
      </c>
      <c r="C106" s="167"/>
      <c r="D106" s="486"/>
      <c r="E106" s="486"/>
      <c r="F106" s="486"/>
      <c r="G106" s="257"/>
      <c r="H106" s="164"/>
      <c r="I106" s="167"/>
      <c r="J106" s="167"/>
      <c r="K106" s="168"/>
      <c r="L106" s="165"/>
      <c r="M106" s="167"/>
      <c r="N106" s="168"/>
      <c r="O106" s="169"/>
      <c r="P106" s="164"/>
    </row>
    <row r="107" spans="1:17" ht="47.25" x14ac:dyDescent="0.25">
      <c r="A107" s="297"/>
      <c r="B107" s="474" t="s">
        <v>951</v>
      </c>
      <c r="C107" s="298"/>
      <c r="D107" s="298"/>
      <c r="E107" s="298"/>
      <c r="F107" s="298"/>
      <c r="G107" s="214"/>
      <c r="H107" s="164">
        <f>SUM(C107:G107)</f>
        <v>0</v>
      </c>
      <c r="I107" s="298">
        <v>374030</v>
      </c>
      <c r="J107" s="455"/>
      <c r="K107" s="214">
        <v>-374030</v>
      </c>
      <c r="L107" s="165">
        <f>SUM(I107:K107)</f>
        <v>0</v>
      </c>
      <c r="M107" s="455"/>
      <c r="N107" s="456"/>
      <c r="O107" s="164"/>
      <c r="P107" s="164">
        <f>O107+L107+H107</f>
        <v>0</v>
      </c>
      <c r="Q107" s="302" t="s">
        <v>828</v>
      </c>
    </row>
    <row r="108" spans="1:17" ht="39" customHeight="1" x14ac:dyDescent="0.25">
      <c r="A108" s="297"/>
      <c r="B108" s="474" t="s">
        <v>1028</v>
      </c>
      <c r="C108" s="298">
        <f>-741-924</f>
        <v>-1665</v>
      </c>
      <c r="D108" s="298">
        <f>-190-231</f>
        <v>-421</v>
      </c>
      <c r="E108" s="298"/>
      <c r="F108" s="298"/>
      <c r="G108" s="214">
        <v>2086</v>
      </c>
      <c r="H108" s="164">
        <f>SUM(C108:G108)</f>
        <v>0</v>
      </c>
      <c r="I108" s="298"/>
      <c r="J108" s="455"/>
      <c r="K108" s="456"/>
      <c r="L108" s="165">
        <f>SUM(I108:K108)</f>
        <v>0</v>
      </c>
      <c r="M108" s="455"/>
      <c r="N108" s="456"/>
      <c r="O108" s="164"/>
      <c r="P108" s="164">
        <f>O108+L108+H108</f>
        <v>0</v>
      </c>
      <c r="Q108" s="302" t="s">
        <v>828</v>
      </c>
    </row>
    <row r="109" spans="1:17" ht="40.5" customHeight="1" x14ac:dyDescent="0.25">
      <c r="A109" s="297"/>
      <c r="B109" s="474" t="s">
        <v>1030</v>
      </c>
      <c r="C109" s="298"/>
      <c r="D109" s="298"/>
      <c r="E109" s="298"/>
      <c r="F109" s="298"/>
      <c r="G109" s="214">
        <v>14313</v>
      </c>
      <c r="H109" s="164">
        <f t="shared" ref="H109:H110" si="66">SUM(C109:G109)</f>
        <v>14313</v>
      </c>
      <c r="I109" s="298">
        <v>-14313</v>
      </c>
      <c r="J109" s="455"/>
      <c r="K109" s="456"/>
      <c r="L109" s="165">
        <f t="shared" ref="L109:L110" si="67">SUM(I109:K109)</f>
        <v>-14313</v>
      </c>
      <c r="M109" s="455"/>
      <c r="N109" s="456"/>
      <c r="O109" s="164"/>
      <c r="P109" s="164">
        <f t="shared" ref="P109:P110" si="68">O109+L109+H109</f>
        <v>0</v>
      </c>
      <c r="Q109" s="302" t="s">
        <v>828</v>
      </c>
    </row>
    <row r="110" spans="1:17" x14ac:dyDescent="0.25">
      <c r="A110" s="297"/>
      <c r="B110" s="474" t="s">
        <v>1029</v>
      </c>
      <c r="C110" s="298"/>
      <c r="D110" s="298"/>
      <c r="E110" s="298"/>
      <c r="F110" s="298"/>
      <c r="G110" s="214">
        <v>6</v>
      </c>
      <c r="H110" s="164">
        <f t="shared" si="66"/>
        <v>6</v>
      </c>
      <c r="I110" s="298">
        <v>-6</v>
      </c>
      <c r="J110" s="455"/>
      <c r="K110" s="456"/>
      <c r="L110" s="165">
        <f t="shared" si="67"/>
        <v>-6</v>
      </c>
      <c r="M110" s="455"/>
      <c r="N110" s="456"/>
      <c r="O110" s="164"/>
      <c r="P110" s="164">
        <f t="shared" si="68"/>
        <v>0</v>
      </c>
      <c r="Q110" s="302" t="s">
        <v>827</v>
      </c>
    </row>
    <row r="111" spans="1:17" x14ac:dyDescent="0.25">
      <c r="A111" s="297"/>
      <c r="B111" s="474"/>
      <c r="C111" s="298"/>
      <c r="D111" s="298"/>
      <c r="E111" s="298"/>
      <c r="F111" s="298"/>
      <c r="G111" s="214"/>
      <c r="H111" s="164">
        <f t="shared" ref="H111" si="69">SUM(C111:G111)</f>
        <v>0</v>
      </c>
      <c r="I111" s="298"/>
      <c r="J111" s="455"/>
      <c r="K111" s="456"/>
      <c r="L111" s="165">
        <f t="shared" ref="L111" si="70">SUM(I111:K111)</f>
        <v>0</v>
      </c>
      <c r="M111" s="455"/>
      <c r="N111" s="456"/>
      <c r="O111" s="164"/>
      <c r="P111" s="164">
        <f t="shared" ref="P111" si="71">O111+L111+H111</f>
        <v>0</v>
      </c>
      <c r="Q111" s="302" t="s">
        <v>828</v>
      </c>
    </row>
    <row r="112" spans="1:17" x14ac:dyDescent="0.25">
      <c r="A112" s="485"/>
      <c r="B112" s="489"/>
      <c r="C112" s="167"/>
      <c r="D112" s="167"/>
      <c r="E112" s="167"/>
      <c r="F112" s="167"/>
      <c r="G112" s="257"/>
      <c r="H112" s="165"/>
      <c r="I112" s="167"/>
      <c r="J112" s="477"/>
      <c r="K112" s="478"/>
      <c r="L112" s="165"/>
      <c r="M112" s="477"/>
      <c r="N112" s="478"/>
      <c r="O112" s="165"/>
      <c r="P112" s="165"/>
    </row>
    <row r="113" spans="1:17" x14ac:dyDescent="0.25">
      <c r="A113" s="162"/>
      <c r="B113" s="475" t="s">
        <v>498</v>
      </c>
      <c r="C113" s="167"/>
      <c r="D113" s="486"/>
      <c r="E113" s="486"/>
      <c r="F113" s="486"/>
      <c r="G113" s="257"/>
      <c r="H113" s="164"/>
      <c r="I113" s="167"/>
      <c r="J113" s="167"/>
      <c r="K113" s="168"/>
      <c r="L113" s="165"/>
      <c r="M113" s="167"/>
      <c r="N113" s="168"/>
      <c r="O113" s="169"/>
      <c r="P113" s="164"/>
    </row>
    <row r="114" spans="1:17" ht="33.75" customHeight="1" x14ac:dyDescent="0.25">
      <c r="A114" s="162"/>
      <c r="B114" s="327" t="s">
        <v>905</v>
      </c>
      <c r="C114" s="167"/>
      <c r="D114" s="167"/>
      <c r="E114" s="167"/>
      <c r="F114" s="167"/>
      <c r="G114" s="257"/>
      <c r="H114" s="164"/>
      <c r="I114" s="167"/>
      <c r="J114" s="167"/>
      <c r="K114" s="257"/>
      <c r="L114" s="165"/>
      <c r="M114" s="167"/>
      <c r="N114" s="257"/>
      <c r="O114" s="169"/>
      <c r="P114" s="164"/>
    </row>
    <row r="115" spans="1:17" x14ac:dyDescent="0.25">
      <c r="A115" s="162"/>
      <c r="B115" s="163" t="s">
        <v>930</v>
      </c>
      <c r="C115" s="167"/>
      <c r="D115" s="167"/>
      <c r="E115" s="167">
        <v>17</v>
      </c>
      <c r="F115" s="167"/>
      <c r="G115" s="257"/>
      <c r="H115" s="165">
        <f>SUM(C115:G115)</f>
        <v>17</v>
      </c>
      <c r="I115" s="167">
        <v>-850</v>
      </c>
      <c r="J115" s="167">
        <v>833</v>
      </c>
      <c r="K115" s="257"/>
      <c r="L115" s="165">
        <f>SUM(I115:K115)</f>
        <v>-17</v>
      </c>
      <c r="M115" s="167"/>
      <c r="N115" s="257"/>
      <c r="O115" s="169"/>
      <c r="P115" s="165">
        <f>O115+L115+H115</f>
        <v>0</v>
      </c>
      <c r="Q115" s="302" t="s">
        <v>827</v>
      </c>
    </row>
    <row r="116" spans="1:17" x14ac:dyDescent="0.25">
      <c r="A116" s="162"/>
      <c r="B116" s="163"/>
      <c r="C116" s="167"/>
      <c r="D116" s="167"/>
      <c r="E116" s="167"/>
      <c r="F116" s="167"/>
      <c r="G116" s="257"/>
      <c r="H116" s="164"/>
      <c r="I116" s="167"/>
      <c r="J116" s="167"/>
      <c r="K116" s="257"/>
      <c r="L116" s="165"/>
      <c r="M116" s="167"/>
      <c r="N116" s="257"/>
      <c r="O116" s="169"/>
      <c r="P116" s="164"/>
    </row>
    <row r="117" spans="1:17" ht="18" customHeight="1" x14ac:dyDescent="0.25">
      <c r="A117" s="162"/>
      <c r="B117" s="135" t="s">
        <v>475</v>
      </c>
      <c r="C117" s="167"/>
      <c r="D117" s="167"/>
      <c r="E117" s="167"/>
      <c r="F117" s="167"/>
      <c r="G117" s="257"/>
      <c r="H117" s="164"/>
      <c r="I117" s="167"/>
      <c r="J117" s="167"/>
      <c r="K117" s="257"/>
      <c r="L117" s="165"/>
      <c r="M117" s="167"/>
      <c r="N117" s="257"/>
      <c r="O117" s="169"/>
      <c r="P117" s="164"/>
    </row>
    <row r="118" spans="1:17" x14ac:dyDescent="0.25">
      <c r="A118" s="162"/>
      <c r="B118" s="163" t="s">
        <v>1069</v>
      </c>
      <c r="C118" s="167"/>
      <c r="D118" s="167"/>
      <c r="E118" s="167"/>
      <c r="F118" s="167"/>
      <c r="G118" s="257"/>
      <c r="H118" s="165">
        <f>SUM(C118:G118)</f>
        <v>0</v>
      </c>
      <c r="I118" s="167">
        <v>18746</v>
      </c>
      <c r="J118" s="167"/>
      <c r="K118" s="257"/>
      <c r="L118" s="165">
        <f>SUM(I118:K118)</f>
        <v>18746</v>
      </c>
      <c r="M118" s="167"/>
      <c r="N118" s="257"/>
      <c r="O118" s="169"/>
      <c r="P118" s="165">
        <f>O118+L118+H118</f>
        <v>18746</v>
      </c>
      <c r="Q118" s="302" t="s">
        <v>827</v>
      </c>
    </row>
    <row r="119" spans="1:17" x14ac:dyDescent="0.25">
      <c r="A119" s="162"/>
      <c r="B119" s="163" t="s">
        <v>1095</v>
      </c>
      <c r="C119" s="167"/>
      <c r="D119" s="167"/>
      <c r="E119" s="167"/>
      <c r="F119" s="167"/>
      <c r="G119" s="257"/>
      <c r="H119" s="165">
        <f>SUM(C119:G119)</f>
        <v>0</v>
      </c>
      <c r="I119" s="167">
        <f>254+1191</f>
        <v>1445</v>
      </c>
      <c r="J119" s="167"/>
      <c r="K119" s="257"/>
      <c r="L119" s="165">
        <f>SUM(I119:K119)</f>
        <v>1445</v>
      </c>
      <c r="M119" s="167"/>
      <c r="N119" s="257"/>
      <c r="O119" s="169"/>
      <c r="P119" s="165">
        <f>O119+L119+H119</f>
        <v>1445</v>
      </c>
      <c r="Q119" s="302" t="s">
        <v>827</v>
      </c>
    </row>
    <row r="120" spans="1:17" ht="30.75" customHeight="1" x14ac:dyDescent="0.25">
      <c r="A120" s="162"/>
      <c r="B120" s="163" t="s">
        <v>1097</v>
      </c>
      <c r="C120" s="167"/>
      <c r="D120" s="167"/>
      <c r="E120" s="167">
        <v>68716</v>
      </c>
      <c r="F120" s="167"/>
      <c r="G120" s="257"/>
      <c r="H120" s="165">
        <f>SUM(C120:G120)</f>
        <v>68716</v>
      </c>
      <c r="I120" s="167"/>
      <c r="J120" s="167"/>
      <c r="K120" s="257"/>
      <c r="L120" s="165">
        <f>SUM(I120:K120)</f>
        <v>0</v>
      </c>
      <c r="M120" s="167"/>
      <c r="N120" s="257"/>
      <c r="O120" s="169"/>
      <c r="P120" s="165">
        <f>O120+L120+H120</f>
        <v>68716</v>
      </c>
      <c r="Q120" s="302" t="s">
        <v>827</v>
      </c>
    </row>
    <row r="121" spans="1:17" ht="30.75" customHeight="1" x14ac:dyDescent="0.25">
      <c r="A121" s="162"/>
      <c r="B121" s="163" t="s">
        <v>1099</v>
      </c>
      <c r="C121" s="167"/>
      <c r="D121" s="167"/>
      <c r="E121" s="167"/>
      <c r="F121" s="167"/>
      <c r="G121" s="257"/>
      <c r="H121" s="165">
        <f t="shared" ref="H121" si="72">SUM(C121:G121)</f>
        <v>0</v>
      </c>
      <c r="I121" s="167">
        <v>12409</v>
      </c>
      <c r="J121" s="167"/>
      <c r="K121" s="257"/>
      <c r="L121" s="165">
        <f t="shared" ref="L121" si="73">SUM(I121:K121)</f>
        <v>12409</v>
      </c>
      <c r="M121" s="167"/>
      <c r="N121" s="257"/>
      <c r="O121" s="169"/>
      <c r="P121" s="165">
        <f t="shared" ref="P121" si="74">O121+L121+H121</f>
        <v>12409</v>
      </c>
      <c r="Q121" s="302" t="s">
        <v>827</v>
      </c>
    </row>
    <row r="122" spans="1:17" x14ac:dyDescent="0.25">
      <c r="A122" s="162"/>
      <c r="B122" s="163"/>
      <c r="C122" s="167"/>
      <c r="D122" s="167"/>
      <c r="E122" s="167"/>
      <c r="F122" s="167"/>
      <c r="G122" s="257"/>
      <c r="H122" s="164"/>
      <c r="I122" s="167"/>
      <c r="J122" s="167"/>
      <c r="K122" s="257"/>
      <c r="L122" s="165"/>
      <c r="M122" s="167"/>
      <c r="N122" s="257"/>
      <c r="O122" s="169"/>
      <c r="P122" s="164"/>
    </row>
    <row r="123" spans="1:17" ht="31.5" x14ac:dyDescent="0.25">
      <c r="A123" s="162"/>
      <c r="B123" s="475" t="s">
        <v>110</v>
      </c>
      <c r="C123" s="167"/>
      <c r="D123" s="486"/>
      <c r="E123" s="486"/>
      <c r="F123" s="486"/>
      <c r="G123" s="257"/>
      <c r="H123" s="164"/>
      <c r="I123" s="167"/>
      <c r="J123" s="167"/>
      <c r="K123" s="168"/>
      <c r="L123" s="165"/>
      <c r="M123" s="167"/>
      <c r="N123" s="168"/>
      <c r="O123" s="169"/>
      <c r="P123" s="164"/>
    </row>
    <row r="124" spans="1:17" x14ac:dyDescent="0.25">
      <c r="A124" s="162"/>
      <c r="B124" s="327" t="s">
        <v>905</v>
      </c>
      <c r="C124" s="167"/>
      <c r="D124" s="167"/>
      <c r="E124" s="167"/>
      <c r="F124" s="167"/>
      <c r="G124" s="257"/>
      <c r="H124" s="164"/>
      <c r="I124" s="167"/>
      <c r="J124" s="167"/>
      <c r="K124" s="257"/>
      <c r="L124" s="165"/>
      <c r="M124" s="167"/>
      <c r="N124" s="257"/>
      <c r="O124" s="169"/>
      <c r="P124" s="164"/>
    </row>
    <row r="125" spans="1:17" ht="34.5" customHeight="1" x14ac:dyDescent="0.25">
      <c r="A125" s="162"/>
      <c r="B125" s="327" t="s">
        <v>906</v>
      </c>
      <c r="C125" s="167"/>
      <c r="D125" s="486"/>
      <c r="E125" s="486"/>
      <c r="F125" s="486"/>
      <c r="G125" s="257"/>
      <c r="H125" s="164"/>
      <c r="I125" s="167"/>
      <c r="J125" s="167"/>
      <c r="K125" s="168"/>
      <c r="L125" s="165"/>
      <c r="M125" s="167"/>
      <c r="N125" s="168"/>
      <c r="O125" s="169"/>
      <c r="P125" s="164"/>
    </row>
    <row r="126" spans="1:17" x14ac:dyDescent="0.25">
      <c r="A126" s="162"/>
      <c r="B126" s="163" t="s">
        <v>1037</v>
      </c>
      <c r="C126" s="167"/>
      <c r="D126" s="167"/>
      <c r="E126" s="167">
        <v>14</v>
      </c>
      <c r="F126" s="167"/>
      <c r="G126" s="257"/>
      <c r="H126" s="165">
        <f>SUM(C126:G126)</f>
        <v>14</v>
      </c>
      <c r="I126" s="167"/>
      <c r="J126" s="167"/>
      <c r="K126" s="257"/>
      <c r="L126" s="165">
        <f>SUM(I126:K126)</f>
        <v>0</v>
      </c>
      <c r="M126" s="167"/>
      <c r="N126" s="257"/>
      <c r="O126" s="169"/>
      <c r="P126" s="165">
        <f>O126+L126+H126</f>
        <v>14</v>
      </c>
      <c r="Q126" s="302" t="s">
        <v>827</v>
      </c>
    </row>
    <row r="127" spans="1:17" x14ac:dyDescent="0.25">
      <c r="A127" s="485"/>
      <c r="B127" s="256"/>
      <c r="C127" s="167"/>
      <c r="D127" s="486"/>
      <c r="E127" s="486"/>
      <c r="F127" s="168"/>
      <c r="G127" s="168"/>
      <c r="H127" s="165"/>
      <c r="I127" s="167"/>
      <c r="J127" s="167"/>
      <c r="K127" s="168"/>
      <c r="L127" s="165"/>
      <c r="M127" s="167"/>
      <c r="N127" s="168"/>
      <c r="O127" s="169"/>
      <c r="P127" s="164"/>
    </row>
    <row r="128" spans="1:17" s="458" customFormat="1" x14ac:dyDescent="0.25">
      <c r="A128" s="162" t="s">
        <v>530</v>
      </c>
      <c r="B128" s="476" t="s">
        <v>531</v>
      </c>
      <c r="C128" s="477"/>
      <c r="D128" s="477"/>
      <c r="E128" s="477"/>
      <c r="F128" s="477"/>
      <c r="G128" s="478"/>
      <c r="H128" s="165"/>
      <c r="I128" s="477"/>
      <c r="J128" s="477"/>
      <c r="K128" s="478"/>
      <c r="L128" s="165"/>
      <c r="M128" s="477"/>
      <c r="N128" s="478"/>
      <c r="O128" s="165"/>
      <c r="P128" s="165"/>
    </row>
    <row r="129" spans="1:17" x14ac:dyDescent="0.25">
      <c r="A129" s="162"/>
      <c r="B129" s="475" t="s">
        <v>86</v>
      </c>
      <c r="C129" s="167"/>
      <c r="D129" s="486"/>
      <c r="E129" s="486"/>
      <c r="F129" s="486"/>
      <c r="G129" s="257"/>
      <c r="H129" s="164"/>
      <c r="I129" s="167"/>
      <c r="J129" s="167"/>
      <c r="K129" s="168"/>
      <c r="L129" s="165"/>
      <c r="M129" s="167"/>
      <c r="N129" s="168"/>
      <c r="O129" s="169"/>
      <c r="P129" s="164"/>
    </row>
    <row r="130" spans="1:17" x14ac:dyDescent="0.25">
      <c r="A130" s="162"/>
      <c r="B130" s="135" t="s">
        <v>475</v>
      </c>
      <c r="C130" s="167"/>
      <c r="D130" s="167"/>
      <c r="E130" s="167"/>
      <c r="F130" s="167"/>
      <c r="G130" s="257"/>
      <c r="H130" s="164"/>
      <c r="I130" s="167"/>
      <c r="J130" s="167"/>
      <c r="K130" s="257"/>
      <c r="L130" s="165"/>
      <c r="M130" s="167"/>
      <c r="N130" s="257"/>
      <c r="O130" s="169"/>
      <c r="P130" s="164"/>
    </row>
    <row r="131" spans="1:17" ht="31.5" x14ac:dyDescent="0.25">
      <c r="A131" s="162"/>
      <c r="B131" s="163" t="s">
        <v>928</v>
      </c>
      <c r="C131" s="167"/>
      <c r="D131" s="167"/>
      <c r="E131" s="167"/>
      <c r="F131" s="167">
        <v>356</v>
      </c>
      <c r="G131" s="257"/>
      <c r="H131" s="165">
        <f>SUM(C131:G131)</f>
        <v>356</v>
      </c>
      <c r="I131" s="167"/>
      <c r="J131" s="167"/>
      <c r="K131" s="257"/>
      <c r="L131" s="165">
        <f>SUM(I131:K131)</f>
        <v>0</v>
      </c>
      <c r="M131" s="167"/>
      <c r="N131" s="257"/>
      <c r="O131" s="169"/>
      <c r="P131" s="165">
        <f>O131+L131+H131</f>
        <v>356</v>
      </c>
      <c r="Q131" s="302" t="s">
        <v>827</v>
      </c>
    </row>
    <row r="132" spans="1:17" ht="31.5" x14ac:dyDescent="0.25">
      <c r="A132" s="162"/>
      <c r="B132" s="163" t="s">
        <v>1094</v>
      </c>
      <c r="C132" s="167"/>
      <c r="D132" s="167"/>
      <c r="E132" s="167">
        <f>2650+9812</f>
        <v>12462</v>
      </c>
      <c r="F132" s="167"/>
      <c r="G132" s="257"/>
      <c r="H132" s="165">
        <f>SUM(C132:G132)</f>
        <v>12462</v>
      </c>
      <c r="I132" s="167"/>
      <c r="J132" s="167"/>
      <c r="K132" s="257"/>
      <c r="L132" s="165">
        <f>SUM(I132:K132)</f>
        <v>0</v>
      </c>
      <c r="M132" s="167"/>
      <c r="N132" s="257"/>
      <c r="O132" s="169"/>
      <c r="P132" s="165">
        <f>O132+L132+H132</f>
        <v>12462</v>
      </c>
      <c r="Q132" s="302" t="s">
        <v>827</v>
      </c>
    </row>
    <row r="133" spans="1:17" ht="63" x14ac:dyDescent="0.25">
      <c r="A133" s="162"/>
      <c r="B133" s="163" t="s">
        <v>1290</v>
      </c>
      <c r="C133" s="167"/>
      <c r="D133" s="167"/>
      <c r="E133" s="167">
        <v>25374</v>
      </c>
      <c r="F133" s="167"/>
      <c r="G133" s="257"/>
      <c r="H133" s="165">
        <f>SUM(C133:G133)</f>
        <v>25374</v>
      </c>
      <c r="I133" s="167"/>
      <c r="J133" s="167"/>
      <c r="K133" s="257"/>
      <c r="L133" s="165">
        <f>SUM(I133:K133)</f>
        <v>0</v>
      </c>
      <c r="M133" s="167"/>
      <c r="N133" s="257"/>
      <c r="O133" s="169"/>
      <c r="P133" s="165">
        <f>O133+L133+H133</f>
        <v>25374</v>
      </c>
      <c r="Q133" s="302" t="s">
        <v>827</v>
      </c>
    </row>
    <row r="134" spans="1:17" ht="47.25" x14ac:dyDescent="0.25">
      <c r="A134" s="162"/>
      <c r="B134" s="163" t="s">
        <v>1291</v>
      </c>
      <c r="C134" s="167"/>
      <c r="D134" s="167"/>
      <c r="E134" s="167">
        <v>3951</v>
      </c>
      <c r="F134" s="167"/>
      <c r="G134" s="257"/>
      <c r="H134" s="165">
        <f>SUM(C134:G134)</f>
        <v>3951</v>
      </c>
      <c r="I134" s="167"/>
      <c r="J134" s="167"/>
      <c r="K134" s="257"/>
      <c r="L134" s="165">
        <f>SUM(I134:K134)</f>
        <v>0</v>
      </c>
      <c r="M134" s="167"/>
      <c r="N134" s="257"/>
      <c r="O134" s="169"/>
      <c r="P134" s="165">
        <f>O134+L134+H134</f>
        <v>3951</v>
      </c>
      <c r="Q134" s="302" t="s">
        <v>827</v>
      </c>
    </row>
    <row r="135" spans="1:17" ht="31.5" x14ac:dyDescent="0.25">
      <c r="A135" s="162"/>
      <c r="B135" s="327" t="s">
        <v>1034</v>
      </c>
      <c r="C135" s="167"/>
      <c r="D135" s="167"/>
      <c r="E135" s="167"/>
      <c r="F135" s="167"/>
      <c r="G135" s="257"/>
      <c r="H135" s="164"/>
      <c r="I135" s="167"/>
      <c r="J135" s="167"/>
      <c r="K135" s="257"/>
      <c r="L135" s="165"/>
      <c r="M135" s="167"/>
      <c r="N135" s="257"/>
      <c r="O135" s="169"/>
      <c r="P135" s="164"/>
    </row>
    <row r="136" spans="1:17" ht="31.5" x14ac:dyDescent="0.25">
      <c r="A136" s="162"/>
      <c r="B136" s="163" t="s">
        <v>1035</v>
      </c>
      <c r="C136" s="167"/>
      <c r="D136" s="167"/>
      <c r="E136" s="167"/>
      <c r="F136" s="167"/>
      <c r="G136" s="257"/>
      <c r="H136" s="165">
        <f t="shared" ref="H136" si="75">SUM(C136:G136)</f>
        <v>0</v>
      </c>
      <c r="I136" s="167">
        <v>1</v>
      </c>
      <c r="J136" s="167"/>
      <c r="K136" s="257"/>
      <c r="L136" s="165">
        <f t="shared" ref="L136" si="76">SUM(I136:K136)</f>
        <v>1</v>
      </c>
      <c r="M136" s="167"/>
      <c r="N136" s="257"/>
      <c r="O136" s="169"/>
      <c r="P136" s="165">
        <f t="shared" ref="P136" si="77">O136+L136+H136</f>
        <v>1</v>
      </c>
      <c r="Q136" s="302" t="s">
        <v>827</v>
      </c>
    </row>
    <row r="137" spans="1:17" ht="50.25" customHeight="1" x14ac:dyDescent="0.25">
      <c r="A137" s="162"/>
      <c r="B137" s="327" t="s">
        <v>904</v>
      </c>
      <c r="C137" s="167"/>
      <c r="D137" s="167"/>
      <c r="E137" s="167"/>
      <c r="F137" s="167"/>
      <c r="G137" s="257"/>
      <c r="H137" s="164"/>
      <c r="I137" s="167"/>
      <c r="J137" s="167"/>
      <c r="K137" s="257"/>
      <c r="L137" s="165"/>
      <c r="M137" s="167"/>
      <c r="N137" s="257"/>
      <c r="O137" s="169"/>
      <c r="P137" s="164"/>
    </row>
    <row r="138" spans="1:17" x14ac:dyDescent="0.25">
      <c r="A138" s="162"/>
      <c r="B138" s="163"/>
      <c r="C138" s="167"/>
      <c r="D138" s="167"/>
      <c r="E138" s="167"/>
      <c r="F138" s="167"/>
      <c r="G138" s="257"/>
      <c r="H138" s="165">
        <f t="shared" ref="H138" si="78">SUM(C138:G138)</f>
        <v>0</v>
      </c>
      <c r="I138" s="167"/>
      <c r="J138" s="167"/>
      <c r="K138" s="257"/>
      <c r="L138" s="165">
        <f t="shared" ref="L138" si="79">SUM(I138:K138)</f>
        <v>0</v>
      </c>
      <c r="M138" s="167"/>
      <c r="N138" s="257"/>
      <c r="O138" s="169"/>
      <c r="P138" s="165">
        <f t="shared" ref="P138" si="80">O138+L138+H138</f>
        <v>0</v>
      </c>
      <c r="Q138" s="302" t="s">
        <v>828</v>
      </c>
    </row>
    <row r="139" spans="1:17" ht="31.5" x14ac:dyDescent="0.25">
      <c r="A139" s="162"/>
      <c r="B139" s="327" t="s">
        <v>906</v>
      </c>
      <c r="C139" s="167"/>
      <c r="D139" s="486"/>
      <c r="E139" s="486"/>
      <c r="F139" s="486"/>
      <c r="G139" s="257"/>
      <c r="H139" s="164"/>
      <c r="I139" s="167"/>
      <c r="J139" s="167"/>
      <c r="K139" s="168"/>
      <c r="L139" s="165"/>
      <c r="M139" s="167"/>
      <c r="N139" s="168"/>
      <c r="O139" s="169"/>
      <c r="P139" s="164"/>
    </row>
    <row r="140" spans="1:17" x14ac:dyDescent="0.25">
      <c r="A140" s="162"/>
      <c r="B140" s="163"/>
      <c r="C140" s="167"/>
      <c r="D140" s="486"/>
      <c r="E140" s="486"/>
      <c r="F140" s="486"/>
      <c r="G140" s="257"/>
      <c r="H140" s="165">
        <f>SUM(C140:G140)</f>
        <v>0</v>
      </c>
      <c r="I140" s="167"/>
      <c r="J140" s="167"/>
      <c r="K140" s="168"/>
      <c r="L140" s="165">
        <f>SUM(I140:K140)</f>
        <v>0</v>
      </c>
      <c r="M140" s="167"/>
      <c r="N140" s="168"/>
      <c r="O140" s="169"/>
      <c r="P140" s="165">
        <f>O140+L140+H140</f>
        <v>0</v>
      </c>
      <c r="Q140" s="302" t="s">
        <v>827</v>
      </c>
    </row>
    <row r="141" spans="1:17" x14ac:dyDescent="0.25">
      <c r="A141" s="162"/>
      <c r="B141" s="327" t="s">
        <v>905</v>
      </c>
      <c r="C141" s="167"/>
      <c r="D141" s="486"/>
      <c r="E141" s="486"/>
      <c r="F141" s="486"/>
      <c r="G141" s="257"/>
      <c r="H141" s="164"/>
      <c r="I141" s="167"/>
      <c r="J141" s="167"/>
      <c r="K141" s="168"/>
      <c r="L141" s="165"/>
      <c r="M141" s="167"/>
      <c r="N141" s="168"/>
      <c r="O141" s="169"/>
      <c r="P141" s="164"/>
    </row>
    <row r="142" spans="1:17" x14ac:dyDescent="0.25">
      <c r="A142" s="297"/>
      <c r="B142" s="256"/>
      <c r="C142" s="298"/>
      <c r="D142" s="298"/>
      <c r="E142" s="298"/>
      <c r="F142" s="298"/>
      <c r="G142" s="214"/>
      <c r="H142" s="164">
        <f>SUM(C142:G142)</f>
        <v>0</v>
      </c>
      <c r="I142" s="455"/>
      <c r="J142" s="455"/>
      <c r="K142" s="214"/>
      <c r="L142" s="165">
        <f>SUM(I142:K142)</f>
        <v>0</v>
      </c>
      <c r="M142" s="455"/>
      <c r="N142" s="456"/>
      <c r="O142" s="164"/>
      <c r="P142" s="164">
        <f>O142+L142+H142</f>
        <v>0</v>
      </c>
    </row>
    <row r="143" spans="1:17" x14ac:dyDescent="0.25">
      <c r="A143" s="162"/>
      <c r="B143" s="475" t="s">
        <v>253</v>
      </c>
      <c r="C143" s="167"/>
      <c r="D143" s="486"/>
      <c r="E143" s="486"/>
      <c r="F143" s="486"/>
      <c r="G143" s="257"/>
      <c r="H143" s="164"/>
      <c r="I143" s="167"/>
      <c r="J143" s="167"/>
      <c r="K143" s="168"/>
      <c r="L143" s="165"/>
      <c r="M143" s="167"/>
      <c r="N143" s="168"/>
      <c r="O143" s="169"/>
      <c r="P143" s="164"/>
    </row>
    <row r="144" spans="1:17" x14ac:dyDescent="0.25">
      <c r="A144" s="162"/>
      <c r="B144" s="327" t="s">
        <v>905</v>
      </c>
      <c r="C144" s="167"/>
      <c r="D144" s="486"/>
      <c r="E144" s="486"/>
      <c r="F144" s="486"/>
      <c r="G144" s="257"/>
      <c r="H144" s="164"/>
      <c r="I144" s="167"/>
      <c r="J144" s="167"/>
      <c r="K144" s="168"/>
      <c r="L144" s="165"/>
      <c r="M144" s="167"/>
      <c r="N144" s="168"/>
      <c r="O144" s="169"/>
      <c r="P144" s="164"/>
    </row>
    <row r="145" spans="1:17" x14ac:dyDescent="0.25">
      <c r="A145" s="297"/>
      <c r="B145" s="256" t="s">
        <v>1036</v>
      </c>
      <c r="C145" s="298"/>
      <c r="D145" s="298">
        <v>-587</v>
      </c>
      <c r="E145" s="298"/>
      <c r="F145" s="298"/>
      <c r="G145" s="214"/>
      <c r="H145" s="164">
        <f>SUM(C145:G145)</f>
        <v>-587</v>
      </c>
      <c r="I145" s="298">
        <v>587</v>
      </c>
      <c r="J145" s="298"/>
      <c r="K145" s="214"/>
      <c r="L145" s="165">
        <f>SUM(I145:K145)</f>
        <v>587</v>
      </c>
      <c r="M145" s="455"/>
      <c r="N145" s="456"/>
      <c r="O145" s="164"/>
      <c r="P145" s="164">
        <f>O145+L145+H145</f>
        <v>0</v>
      </c>
      <c r="Q145" s="302" t="s">
        <v>828</v>
      </c>
    </row>
    <row r="146" spans="1:17" s="458" customFormat="1" x14ac:dyDescent="0.25">
      <c r="A146" s="162" t="s">
        <v>918</v>
      </c>
      <c r="B146" s="183" t="s">
        <v>919</v>
      </c>
      <c r="C146" s="477"/>
      <c r="D146" s="477"/>
      <c r="E146" s="477"/>
      <c r="F146" s="477"/>
      <c r="G146" s="478"/>
      <c r="H146" s="165"/>
      <c r="I146" s="477"/>
      <c r="J146" s="477"/>
      <c r="K146" s="478"/>
      <c r="L146" s="165"/>
      <c r="M146" s="477"/>
      <c r="N146" s="478"/>
      <c r="O146" s="165"/>
      <c r="P146" s="165"/>
    </row>
    <row r="147" spans="1:17" x14ac:dyDescent="0.25">
      <c r="A147" s="162"/>
      <c r="B147" s="475" t="s">
        <v>88</v>
      </c>
      <c r="C147" s="167"/>
      <c r="D147" s="486"/>
      <c r="E147" s="486"/>
      <c r="F147" s="486"/>
      <c r="G147" s="257"/>
      <c r="H147" s="164"/>
      <c r="I147" s="167"/>
      <c r="J147" s="167"/>
      <c r="K147" s="168"/>
      <c r="L147" s="165"/>
      <c r="M147" s="167"/>
      <c r="N147" s="168"/>
      <c r="O147" s="169"/>
      <c r="P147" s="164"/>
    </row>
    <row r="148" spans="1:17" ht="33.75" customHeight="1" x14ac:dyDescent="0.25">
      <c r="A148" s="162"/>
      <c r="B148" s="327" t="s">
        <v>905</v>
      </c>
      <c r="C148" s="167"/>
      <c r="D148" s="486"/>
      <c r="E148" s="486"/>
      <c r="F148" s="486"/>
      <c r="G148" s="257"/>
      <c r="H148" s="164"/>
      <c r="I148" s="167"/>
      <c r="J148" s="167"/>
      <c r="K148" s="168"/>
      <c r="L148" s="165"/>
      <c r="M148" s="167"/>
      <c r="N148" s="168"/>
      <c r="O148" s="169"/>
      <c r="P148" s="164"/>
    </row>
    <row r="149" spans="1:17" x14ac:dyDescent="0.25">
      <c r="A149" s="297"/>
      <c r="B149" s="163"/>
      <c r="C149" s="298"/>
      <c r="D149" s="298"/>
      <c r="E149" s="298"/>
      <c r="F149" s="298"/>
      <c r="G149" s="214"/>
      <c r="H149" s="164">
        <f>SUM(C149:G149)</f>
        <v>0</v>
      </c>
      <c r="I149" s="298"/>
      <c r="J149" s="455"/>
      <c r="K149" s="214"/>
      <c r="L149" s="165">
        <f>SUM(I149:K149)</f>
        <v>0</v>
      </c>
      <c r="M149" s="455"/>
      <c r="N149" s="456"/>
      <c r="O149" s="164"/>
      <c r="P149" s="164">
        <f>O149+L149+H149</f>
        <v>0</v>
      </c>
      <c r="Q149" s="302" t="s">
        <v>827</v>
      </c>
    </row>
    <row r="150" spans="1:17" ht="31.5" x14ac:dyDescent="0.25">
      <c r="A150" s="162"/>
      <c r="B150" s="327" t="s">
        <v>906</v>
      </c>
      <c r="C150" s="167"/>
      <c r="D150" s="167"/>
      <c r="E150" s="167"/>
      <c r="F150" s="167"/>
      <c r="G150" s="257"/>
      <c r="H150" s="164"/>
      <c r="I150" s="167"/>
      <c r="J150" s="167"/>
      <c r="K150" s="257"/>
      <c r="L150" s="165"/>
      <c r="M150" s="167"/>
      <c r="N150" s="257"/>
      <c r="O150" s="169"/>
      <c r="P150" s="164"/>
    </row>
    <row r="151" spans="1:17" x14ac:dyDescent="0.25">
      <c r="A151" s="162"/>
      <c r="B151" s="163"/>
      <c r="C151" s="298"/>
      <c r="D151" s="167"/>
      <c r="E151" s="167"/>
      <c r="F151" s="167"/>
      <c r="G151" s="257"/>
      <c r="H151" s="165">
        <f>SUM(C151:G151)</f>
        <v>0</v>
      </c>
      <c r="I151" s="167"/>
      <c r="J151" s="167"/>
      <c r="K151" s="257"/>
      <c r="L151" s="165">
        <f>SUM(I151:K151)</f>
        <v>0</v>
      </c>
      <c r="M151" s="167"/>
      <c r="N151" s="257"/>
      <c r="O151" s="169"/>
      <c r="P151" s="165">
        <f>O151+L151+H151</f>
        <v>0</v>
      </c>
      <c r="Q151" s="302" t="s">
        <v>827</v>
      </c>
    </row>
    <row r="152" spans="1:17" x14ac:dyDescent="0.25">
      <c r="A152" s="162"/>
      <c r="B152" s="475" t="s">
        <v>277</v>
      </c>
      <c r="C152" s="167"/>
      <c r="D152" s="486"/>
      <c r="E152" s="486"/>
      <c r="F152" s="486"/>
      <c r="G152" s="257"/>
      <c r="H152" s="164"/>
      <c r="I152" s="167"/>
      <c r="J152" s="167"/>
      <c r="K152" s="168"/>
      <c r="L152" s="165"/>
      <c r="M152" s="167"/>
      <c r="N152" s="168"/>
      <c r="O152" s="169"/>
      <c r="P152" s="164"/>
    </row>
    <row r="153" spans="1:17" x14ac:dyDescent="0.25">
      <c r="A153" s="162"/>
      <c r="B153" s="135" t="s">
        <v>475</v>
      </c>
      <c r="C153" s="167"/>
      <c r="D153" s="167"/>
      <c r="E153" s="167"/>
      <c r="F153" s="167"/>
      <c r="G153" s="257"/>
      <c r="H153" s="164"/>
      <c r="I153" s="167"/>
      <c r="J153" s="167"/>
      <c r="K153" s="257"/>
      <c r="L153" s="165"/>
      <c r="M153" s="167"/>
      <c r="N153" s="257"/>
      <c r="O153" s="169"/>
      <c r="P153" s="164"/>
    </row>
    <row r="154" spans="1:17" x14ac:dyDescent="0.25">
      <c r="A154" s="162"/>
      <c r="B154" s="163" t="s">
        <v>931</v>
      </c>
      <c r="C154" s="167"/>
      <c r="D154" s="167"/>
      <c r="E154" s="167"/>
      <c r="F154" s="167"/>
      <c r="G154" s="257"/>
      <c r="H154" s="165">
        <f>SUM(C154:G154)</f>
        <v>0</v>
      </c>
      <c r="I154" s="167"/>
      <c r="J154" s="167"/>
      <c r="K154" s="257"/>
      <c r="L154" s="165">
        <f>SUM(I154:K154)</f>
        <v>0</v>
      </c>
      <c r="M154" s="167"/>
      <c r="N154" s="257"/>
      <c r="O154" s="169"/>
      <c r="P154" s="165">
        <f>O154+L154+H154</f>
        <v>0</v>
      </c>
      <c r="Q154" s="302" t="s">
        <v>828</v>
      </c>
    </row>
    <row r="155" spans="1:17" x14ac:dyDescent="0.25">
      <c r="A155" s="162"/>
      <c r="B155" s="163"/>
      <c r="C155" s="167"/>
      <c r="D155" s="167"/>
      <c r="E155" s="167"/>
      <c r="F155" s="167"/>
      <c r="G155" s="257"/>
      <c r="H155" s="164"/>
      <c r="I155" s="167"/>
      <c r="J155" s="167"/>
      <c r="K155" s="257"/>
      <c r="L155" s="165"/>
      <c r="M155" s="167"/>
      <c r="N155" s="257"/>
      <c r="O155" s="169"/>
      <c r="P155" s="164"/>
    </row>
    <row r="156" spans="1:17" ht="31.5" x14ac:dyDescent="0.25">
      <c r="A156" s="162"/>
      <c r="B156" s="135" t="s">
        <v>906</v>
      </c>
      <c r="C156" s="167"/>
      <c r="D156" s="167"/>
      <c r="E156" s="167"/>
      <c r="F156" s="167"/>
      <c r="G156" s="257"/>
      <c r="H156" s="164"/>
      <c r="I156" s="167"/>
      <c r="J156" s="167"/>
      <c r="K156" s="257"/>
      <c r="L156" s="165"/>
      <c r="M156" s="167"/>
      <c r="N156" s="257"/>
      <c r="O156" s="169"/>
      <c r="P156" s="164"/>
    </row>
    <row r="157" spans="1:17" x14ac:dyDescent="0.25">
      <c r="A157" s="162"/>
      <c r="B157" s="163"/>
      <c r="C157" s="167"/>
      <c r="D157" s="167"/>
      <c r="E157" s="167"/>
      <c r="F157" s="167"/>
      <c r="G157" s="257"/>
      <c r="H157" s="165">
        <f>SUM(C157:G157)</f>
        <v>0</v>
      </c>
      <c r="I157" s="167"/>
      <c r="J157" s="167"/>
      <c r="K157" s="257"/>
      <c r="L157" s="165">
        <f>SUM(I157:K157)</f>
        <v>0</v>
      </c>
      <c r="M157" s="167"/>
      <c r="N157" s="257"/>
      <c r="O157" s="169"/>
      <c r="P157" s="165">
        <f>O157+L157+H157</f>
        <v>0</v>
      </c>
    </row>
    <row r="158" spans="1:17" x14ac:dyDescent="0.25">
      <c r="A158" s="162"/>
      <c r="B158" s="163"/>
      <c r="C158" s="167"/>
      <c r="D158" s="167"/>
      <c r="E158" s="167"/>
      <c r="F158" s="167"/>
      <c r="G158" s="257"/>
      <c r="H158" s="164"/>
      <c r="I158" s="167"/>
      <c r="J158" s="167"/>
      <c r="K158" s="257"/>
      <c r="L158" s="165"/>
      <c r="M158" s="167"/>
      <c r="N158" s="257"/>
      <c r="O158" s="169"/>
      <c r="P158" s="164"/>
    </row>
    <row r="159" spans="1:17" x14ac:dyDescent="0.25">
      <c r="A159" s="162"/>
      <c r="B159" s="475" t="s">
        <v>598</v>
      </c>
      <c r="C159" s="167"/>
      <c r="D159" s="486"/>
      <c r="E159" s="486"/>
      <c r="F159" s="486"/>
      <c r="G159" s="257"/>
      <c r="H159" s="165"/>
      <c r="I159" s="167"/>
      <c r="J159" s="167"/>
      <c r="K159" s="168"/>
      <c r="L159" s="165"/>
      <c r="M159" s="167"/>
      <c r="N159" s="168"/>
      <c r="O159" s="169"/>
      <c r="P159" s="165"/>
    </row>
    <row r="160" spans="1:17" ht="31.5" x14ac:dyDescent="0.25">
      <c r="A160" s="162"/>
      <c r="B160" s="135" t="s">
        <v>906</v>
      </c>
      <c r="C160" s="167"/>
      <c r="D160" s="167"/>
      <c r="E160" s="167"/>
      <c r="F160" s="167"/>
      <c r="G160" s="257"/>
      <c r="H160" s="165"/>
      <c r="I160" s="167"/>
      <c r="J160" s="167"/>
      <c r="K160" s="257"/>
      <c r="L160" s="165"/>
      <c r="M160" s="167"/>
      <c r="N160" s="257"/>
      <c r="O160" s="169"/>
      <c r="P160" s="165"/>
    </row>
    <row r="161" spans="1:17" ht="47.25" x14ac:dyDescent="0.25">
      <c r="A161" s="162"/>
      <c r="B161" s="256" t="s">
        <v>948</v>
      </c>
      <c r="C161" s="167"/>
      <c r="D161" s="167"/>
      <c r="E161" s="167"/>
      <c r="F161" s="167"/>
      <c r="G161" s="257"/>
      <c r="H161" s="164">
        <f>SUM(C161:G161)</f>
        <v>0</v>
      </c>
      <c r="I161" s="167"/>
      <c r="J161" s="167"/>
      <c r="K161" s="257"/>
      <c r="L161" s="165">
        <f>SUM(I161:K161)</f>
        <v>0</v>
      </c>
      <c r="M161" s="167"/>
      <c r="N161" s="257"/>
      <c r="O161" s="169"/>
      <c r="P161" s="164">
        <f>O161+L161+H161</f>
        <v>0</v>
      </c>
      <c r="Q161" s="302" t="s">
        <v>827</v>
      </c>
    </row>
    <row r="162" spans="1:17" x14ac:dyDescent="0.25">
      <c r="A162" s="162"/>
      <c r="B162" s="475" t="s">
        <v>90</v>
      </c>
      <c r="C162" s="167"/>
      <c r="D162" s="486"/>
      <c r="E162" s="486"/>
      <c r="F162" s="486"/>
      <c r="G162" s="257"/>
      <c r="H162" s="165"/>
      <c r="I162" s="167"/>
      <c r="J162" s="167"/>
      <c r="K162" s="168"/>
      <c r="L162" s="165"/>
      <c r="M162" s="167"/>
      <c r="N162" s="168"/>
      <c r="O162" s="169"/>
      <c r="P162" s="165"/>
    </row>
    <row r="163" spans="1:17" ht="31.5" x14ac:dyDescent="0.25">
      <c r="A163" s="162"/>
      <c r="B163" s="135" t="s">
        <v>1038</v>
      </c>
      <c r="C163" s="167"/>
      <c r="D163" s="167"/>
      <c r="E163" s="167"/>
      <c r="F163" s="167"/>
      <c r="G163" s="257"/>
      <c r="H163" s="165"/>
      <c r="I163" s="167"/>
      <c r="J163" s="167"/>
      <c r="K163" s="257"/>
      <c r="L163" s="165"/>
      <c r="M163" s="167"/>
      <c r="N163" s="257"/>
      <c r="O163" s="169"/>
      <c r="P163" s="165"/>
    </row>
    <row r="164" spans="1:17" x14ac:dyDescent="0.25">
      <c r="A164" s="162"/>
      <c r="B164" s="256" t="s">
        <v>1039</v>
      </c>
      <c r="C164" s="167"/>
      <c r="D164" s="167"/>
      <c r="E164" s="167">
        <v>1</v>
      </c>
      <c r="F164" s="167"/>
      <c r="G164" s="257"/>
      <c r="H164" s="164">
        <f>SUM(C164:G164)</f>
        <v>1</v>
      </c>
      <c r="I164" s="167"/>
      <c r="J164" s="167"/>
      <c r="K164" s="257"/>
      <c r="L164" s="165">
        <f>SUM(I164:K164)</f>
        <v>0</v>
      </c>
      <c r="M164" s="167"/>
      <c r="N164" s="257"/>
      <c r="O164" s="169"/>
      <c r="P164" s="164">
        <f>O164+L164+H164</f>
        <v>1</v>
      </c>
      <c r="Q164" s="302" t="s">
        <v>828</v>
      </c>
    </row>
    <row r="165" spans="1:17" x14ac:dyDescent="0.25">
      <c r="A165" s="162"/>
      <c r="B165" s="163"/>
      <c r="C165" s="167"/>
      <c r="D165" s="167"/>
      <c r="E165" s="167"/>
      <c r="F165" s="167"/>
      <c r="G165" s="257"/>
      <c r="H165" s="165"/>
      <c r="I165" s="167"/>
      <c r="J165" s="167"/>
      <c r="K165" s="257"/>
      <c r="L165" s="165"/>
      <c r="M165" s="167"/>
      <c r="N165" s="257"/>
      <c r="O165" s="169"/>
      <c r="P165" s="164"/>
    </row>
    <row r="166" spans="1:17" s="458" customFormat="1" x14ac:dyDescent="0.25">
      <c r="A166" s="162" t="s">
        <v>91</v>
      </c>
      <c r="B166" s="476" t="s">
        <v>42</v>
      </c>
      <c r="C166" s="477"/>
      <c r="D166" s="477"/>
      <c r="E166" s="477"/>
      <c r="F166" s="477"/>
      <c r="G166" s="477"/>
      <c r="H166" s="165"/>
      <c r="I166" s="477"/>
      <c r="J166" s="477"/>
      <c r="K166" s="477"/>
      <c r="L166" s="165"/>
      <c r="M166" s="477"/>
      <c r="N166" s="477"/>
      <c r="O166" s="165"/>
      <c r="P166" s="164"/>
    </row>
    <row r="167" spans="1:17" x14ac:dyDescent="0.25">
      <c r="A167" s="162"/>
      <c r="B167" s="475" t="s">
        <v>92</v>
      </c>
      <c r="C167" s="167"/>
      <c r="D167" s="486"/>
      <c r="E167" s="486"/>
      <c r="F167" s="486"/>
      <c r="G167" s="257"/>
      <c r="H167" s="165"/>
      <c r="I167" s="167"/>
      <c r="J167" s="167"/>
      <c r="K167" s="168"/>
      <c r="L167" s="165"/>
      <c r="M167" s="167"/>
      <c r="N167" s="168"/>
      <c r="O167" s="169"/>
      <c r="P167" s="165"/>
    </row>
    <row r="168" spans="1:17" ht="50.25" customHeight="1" x14ac:dyDescent="0.25">
      <c r="A168" s="162"/>
      <c r="B168" s="135" t="s">
        <v>1043</v>
      </c>
      <c r="C168" s="167"/>
      <c r="D168" s="167"/>
      <c r="E168" s="167"/>
      <c r="F168" s="167"/>
      <c r="G168" s="257"/>
      <c r="H168" s="164"/>
      <c r="I168" s="167"/>
      <c r="J168" s="167"/>
      <c r="K168" s="257"/>
      <c r="L168" s="165"/>
      <c r="M168" s="167"/>
      <c r="N168" s="257"/>
      <c r="O168" s="169"/>
      <c r="P168" s="164"/>
    </row>
    <row r="169" spans="1:17" ht="31.5" x14ac:dyDescent="0.25">
      <c r="A169" s="162"/>
      <c r="B169" s="256" t="s">
        <v>1042</v>
      </c>
      <c r="C169" s="167"/>
      <c r="D169" s="167"/>
      <c r="E169" s="167"/>
      <c r="F169" s="167"/>
      <c r="G169" s="257">
        <v>1</v>
      </c>
      <c r="H169" s="164">
        <f>SUM(C169:G169)</f>
        <v>1</v>
      </c>
      <c r="I169" s="167"/>
      <c r="J169" s="167"/>
      <c r="K169" s="257"/>
      <c r="L169" s="165">
        <f>SUM(I169:K169)</f>
        <v>0</v>
      </c>
      <c r="M169" s="167"/>
      <c r="N169" s="257"/>
      <c r="O169" s="169"/>
      <c r="P169" s="164">
        <f>O169+L169+H169</f>
        <v>1</v>
      </c>
      <c r="Q169" s="302" t="s">
        <v>828</v>
      </c>
    </row>
    <row r="170" spans="1:17" x14ac:dyDescent="0.25">
      <c r="A170" s="162"/>
      <c r="B170" s="256"/>
      <c r="C170" s="167"/>
      <c r="D170" s="167"/>
      <c r="E170" s="167"/>
      <c r="F170" s="167"/>
      <c r="G170" s="257"/>
      <c r="H170" s="164">
        <f>SUM(C170:G170)</f>
        <v>0</v>
      </c>
      <c r="I170" s="167"/>
      <c r="J170" s="167"/>
      <c r="K170" s="257"/>
      <c r="L170" s="165">
        <f>SUM(I170:K170)</f>
        <v>0</v>
      </c>
      <c r="M170" s="167"/>
      <c r="N170" s="257"/>
      <c r="O170" s="169"/>
      <c r="P170" s="164">
        <f>O170+L170+H170</f>
        <v>0</v>
      </c>
    </row>
    <row r="171" spans="1:17" x14ac:dyDescent="0.25">
      <c r="A171" s="162"/>
      <c r="B171" s="135" t="s">
        <v>385</v>
      </c>
      <c r="C171" s="167"/>
      <c r="D171" s="167"/>
      <c r="E171" s="167"/>
      <c r="F171" s="167"/>
      <c r="G171" s="257"/>
      <c r="H171" s="165"/>
      <c r="I171" s="167"/>
      <c r="J171" s="167"/>
      <c r="K171" s="257"/>
      <c r="L171" s="165"/>
      <c r="M171" s="167"/>
      <c r="N171" s="257"/>
      <c r="O171" s="169"/>
      <c r="P171" s="165"/>
    </row>
    <row r="172" spans="1:17" x14ac:dyDescent="0.25">
      <c r="A172" s="162"/>
      <c r="B172" s="256" t="s">
        <v>947</v>
      </c>
      <c r="C172" s="167"/>
      <c r="D172" s="167"/>
      <c r="E172" s="167"/>
      <c r="F172" s="167"/>
      <c r="G172" s="257"/>
      <c r="H172" s="165">
        <f>SUM(C172:G172)</f>
        <v>0</v>
      </c>
      <c r="I172" s="167"/>
      <c r="J172" s="167"/>
      <c r="K172" s="257"/>
      <c r="L172" s="165">
        <f>SUM(I172:K172)</f>
        <v>0</v>
      </c>
      <c r="M172" s="167"/>
      <c r="N172" s="257"/>
      <c r="O172" s="169"/>
      <c r="P172" s="165">
        <f>O172+L172+H172</f>
        <v>0</v>
      </c>
      <c r="Q172" s="302" t="s">
        <v>828</v>
      </c>
    </row>
    <row r="173" spans="1:17" x14ac:dyDescent="0.25">
      <c r="A173" s="297"/>
      <c r="B173" s="474"/>
      <c r="C173" s="298"/>
      <c r="D173" s="298"/>
      <c r="E173" s="298"/>
      <c r="F173" s="298"/>
      <c r="G173" s="214"/>
      <c r="H173" s="164"/>
      <c r="I173" s="455"/>
      <c r="J173" s="455"/>
      <c r="K173" s="214"/>
      <c r="L173" s="165"/>
      <c r="M173" s="455"/>
      <c r="N173" s="456"/>
      <c r="O173" s="164"/>
      <c r="P173" s="164"/>
    </row>
    <row r="174" spans="1:17" ht="34.5" customHeight="1" x14ac:dyDescent="0.25">
      <c r="A174" s="162"/>
      <c r="B174" s="327" t="s">
        <v>905</v>
      </c>
      <c r="C174" s="167"/>
      <c r="D174" s="486"/>
      <c r="E174" s="486"/>
      <c r="F174" s="486"/>
      <c r="G174" s="257"/>
      <c r="H174" s="164"/>
      <c r="I174" s="167"/>
      <c r="J174" s="167"/>
      <c r="K174" s="168"/>
      <c r="L174" s="165"/>
      <c r="M174" s="167"/>
      <c r="N174" s="168"/>
      <c r="O174" s="169"/>
      <c r="P174" s="164"/>
    </row>
    <row r="175" spans="1:17" ht="31.5" x14ac:dyDescent="0.25">
      <c r="A175" s="162"/>
      <c r="B175" s="163" t="s">
        <v>1040</v>
      </c>
      <c r="C175" s="167">
        <v>1081</v>
      </c>
      <c r="D175" s="486">
        <v>415</v>
      </c>
      <c r="E175" s="486">
        <v>377</v>
      </c>
      <c r="F175" s="486"/>
      <c r="G175" s="257">
        <v>-1873</v>
      </c>
      <c r="H175" s="164">
        <f t="shared" ref="H175" si="81">SUM(C175:G175)</f>
        <v>0</v>
      </c>
      <c r="I175" s="167"/>
      <c r="J175" s="167"/>
      <c r="K175" s="168"/>
      <c r="L175" s="165">
        <f t="shared" ref="L175" si="82">SUM(I175:K175)</f>
        <v>0</v>
      </c>
      <c r="M175" s="167"/>
      <c r="N175" s="168"/>
      <c r="O175" s="169"/>
      <c r="P175" s="164">
        <f t="shared" ref="P175" si="83">O175+L175+H175</f>
        <v>0</v>
      </c>
      <c r="Q175" s="302" t="s">
        <v>828</v>
      </c>
    </row>
    <row r="176" spans="1:17" x14ac:dyDescent="0.25">
      <c r="A176" s="162"/>
      <c r="B176" s="163" t="s">
        <v>1041</v>
      </c>
      <c r="C176" s="167"/>
      <c r="D176" s="486">
        <v>-80</v>
      </c>
      <c r="E176" s="486">
        <v>80</v>
      </c>
      <c r="F176" s="486"/>
      <c r="G176" s="257"/>
      <c r="H176" s="164">
        <f t="shared" ref="H176" si="84">SUM(C176:G176)</f>
        <v>0</v>
      </c>
      <c r="I176" s="167"/>
      <c r="J176" s="167"/>
      <c r="K176" s="168"/>
      <c r="L176" s="165">
        <f t="shared" ref="L176" si="85">SUM(I176:K176)</f>
        <v>0</v>
      </c>
      <c r="M176" s="167"/>
      <c r="N176" s="168"/>
      <c r="O176" s="169"/>
      <c r="P176" s="164">
        <f t="shared" ref="P176" si="86">O176+L176+H176</f>
        <v>0</v>
      </c>
      <c r="Q176" s="302" t="s">
        <v>828</v>
      </c>
    </row>
    <row r="177" spans="1:17" ht="33" customHeight="1" x14ac:dyDescent="0.25">
      <c r="A177" s="162"/>
      <c r="B177" s="475" t="s">
        <v>93</v>
      </c>
      <c r="C177" s="167"/>
      <c r="D177" s="486"/>
      <c r="E177" s="486"/>
      <c r="F177" s="486"/>
      <c r="G177" s="257"/>
      <c r="H177" s="164"/>
      <c r="I177" s="167"/>
      <c r="J177" s="167"/>
      <c r="K177" s="168"/>
      <c r="L177" s="165"/>
      <c r="M177" s="167"/>
      <c r="N177" s="168"/>
      <c r="O177" s="169"/>
      <c r="P177" s="164"/>
    </row>
    <row r="178" spans="1:17" ht="36.75" customHeight="1" x14ac:dyDescent="0.25">
      <c r="A178" s="162"/>
      <c r="B178" s="327" t="s">
        <v>906</v>
      </c>
      <c r="C178" s="167"/>
      <c r="D178" s="486"/>
      <c r="E178" s="486"/>
      <c r="F178" s="486"/>
      <c r="G178" s="257"/>
      <c r="H178" s="164"/>
      <c r="I178" s="167"/>
      <c r="J178" s="167"/>
      <c r="K178" s="168"/>
      <c r="L178" s="165"/>
      <c r="M178" s="167"/>
      <c r="N178" s="168"/>
      <c r="O178" s="169"/>
      <c r="P178" s="164"/>
    </row>
    <row r="179" spans="1:17" x14ac:dyDescent="0.25">
      <c r="A179" s="328"/>
      <c r="B179" s="486" t="s">
        <v>1046</v>
      </c>
      <c r="C179" s="486">
        <v>-720</v>
      </c>
      <c r="D179" s="486">
        <v>-140</v>
      </c>
      <c r="E179" s="486">
        <v>1048</v>
      </c>
      <c r="F179" s="486"/>
      <c r="G179" s="257"/>
      <c r="H179" s="164">
        <f t="shared" ref="H179" si="87">SUM(C179:G179)</f>
        <v>188</v>
      </c>
      <c r="I179" s="167"/>
      <c r="J179" s="167"/>
      <c r="K179" s="168"/>
      <c r="L179" s="165">
        <f t="shared" ref="L179" si="88">SUM(I179:K179)</f>
        <v>0</v>
      </c>
      <c r="M179" s="167"/>
      <c r="N179" s="168"/>
      <c r="O179" s="169"/>
      <c r="P179" s="164">
        <f t="shared" ref="P179" si="89">O179+L179+H179</f>
        <v>188</v>
      </c>
      <c r="Q179" s="302" t="s">
        <v>828</v>
      </c>
    </row>
    <row r="180" spans="1:17" x14ac:dyDescent="0.25">
      <c r="A180" s="328"/>
      <c r="B180" s="486"/>
      <c r="C180" s="486"/>
      <c r="D180" s="486"/>
      <c r="E180" s="486"/>
      <c r="F180" s="486"/>
      <c r="G180" s="257"/>
      <c r="H180" s="164">
        <f t="shared" ref="H180" si="90">SUM(C180:G180)</f>
        <v>0</v>
      </c>
      <c r="I180" s="167"/>
      <c r="J180" s="167"/>
      <c r="K180" s="168"/>
      <c r="L180" s="165">
        <f t="shared" ref="L180" si="91">SUM(I180:K180)</f>
        <v>0</v>
      </c>
      <c r="M180" s="167"/>
      <c r="N180" s="168"/>
      <c r="O180" s="169"/>
      <c r="P180" s="164">
        <f t="shared" ref="P180" si="92">O180+L180+H180</f>
        <v>0</v>
      </c>
      <c r="Q180" s="302" t="s">
        <v>828</v>
      </c>
    </row>
    <row r="181" spans="1:17" ht="30.75" customHeight="1" x14ac:dyDescent="0.25">
      <c r="A181" s="162"/>
      <c r="B181" s="327" t="s">
        <v>905</v>
      </c>
      <c r="C181" s="167"/>
      <c r="D181" s="486"/>
      <c r="E181" s="486"/>
      <c r="F181" s="486"/>
      <c r="G181" s="257"/>
      <c r="H181" s="165"/>
      <c r="I181" s="167"/>
      <c r="J181" s="167"/>
      <c r="K181" s="168"/>
      <c r="L181" s="165"/>
      <c r="M181" s="167"/>
      <c r="N181" s="168"/>
      <c r="O181" s="169"/>
      <c r="P181" s="165"/>
    </row>
    <row r="182" spans="1:17" ht="68.25" customHeight="1" x14ac:dyDescent="0.25">
      <c r="A182" s="162"/>
      <c r="B182" s="163" t="s">
        <v>1044</v>
      </c>
      <c r="C182" s="167">
        <v>6712</v>
      </c>
      <c r="D182" s="486"/>
      <c r="E182" s="486">
        <v>-6712</v>
      </c>
      <c r="F182" s="486"/>
      <c r="G182" s="257"/>
      <c r="H182" s="164">
        <f t="shared" ref="H182" si="93">SUM(C182:G182)</f>
        <v>0</v>
      </c>
      <c r="I182" s="167"/>
      <c r="J182" s="167"/>
      <c r="K182" s="168"/>
      <c r="L182" s="165">
        <f t="shared" ref="L182" si="94">SUM(I182:K182)</f>
        <v>0</v>
      </c>
      <c r="M182" s="167"/>
      <c r="N182" s="168"/>
      <c r="O182" s="169"/>
      <c r="P182" s="164">
        <f t="shared" ref="P182" si="95">O182+L182+H182</f>
        <v>0</v>
      </c>
      <c r="Q182" s="302" t="s">
        <v>828</v>
      </c>
    </row>
    <row r="183" spans="1:17" ht="24" customHeight="1" x14ac:dyDescent="0.25">
      <c r="A183" s="162"/>
      <c r="B183" s="163" t="s">
        <v>1045</v>
      </c>
      <c r="C183" s="167">
        <v>41</v>
      </c>
      <c r="D183" s="486">
        <v>16</v>
      </c>
      <c r="E183" s="486">
        <v>-57</v>
      </c>
      <c r="F183" s="486"/>
      <c r="G183" s="257"/>
      <c r="H183" s="164">
        <f t="shared" ref="H183" si="96">SUM(C183:G183)</f>
        <v>0</v>
      </c>
      <c r="I183" s="167"/>
      <c r="J183" s="167"/>
      <c r="K183" s="168"/>
      <c r="L183" s="165">
        <f t="shared" ref="L183" si="97">SUM(I183:K183)</f>
        <v>0</v>
      </c>
      <c r="M183" s="167"/>
      <c r="N183" s="168"/>
      <c r="O183" s="169"/>
      <c r="P183" s="164">
        <f t="shared" ref="P183" si="98">O183+L183+H183</f>
        <v>0</v>
      </c>
      <c r="Q183" s="302" t="s">
        <v>828</v>
      </c>
    </row>
    <row r="184" spans="1:17" x14ac:dyDescent="0.25">
      <c r="A184" s="162"/>
      <c r="B184" s="135" t="s">
        <v>385</v>
      </c>
      <c r="C184" s="167"/>
      <c r="D184" s="486"/>
      <c r="E184" s="486"/>
      <c r="F184" s="486"/>
      <c r="G184" s="257"/>
      <c r="H184" s="164"/>
      <c r="I184" s="167"/>
      <c r="J184" s="167"/>
      <c r="K184" s="168"/>
      <c r="L184" s="165"/>
      <c r="M184" s="167"/>
      <c r="N184" s="168"/>
      <c r="O184" s="169"/>
      <c r="P184" s="164"/>
    </row>
    <row r="185" spans="1:17" x14ac:dyDescent="0.25">
      <c r="A185" s="162"/>
      <c r="B185" s="535"/>
      <c r="C185" s="167"/>
      <c r="D185" s="486"/>
      <c r="E185" s="486"/>
      <c r="F185" s="486"/>
      <c r="G185" s="257"/>
      <c r="H185" s="164">
        <f t="shared" ref="H185" si="99">SUM(C185:G185)</f>
        <v>0</v>
      </c>
      <c r="I185" s="167"/>
      <c r="J185" s="167"/>
      <c r="K185" s="168"/>
      <c r="L185" s="165">
        <f t="shared" ref="L185" si="100">SUM(I185:K185)</f>
        <v>0</v>
      </c>
      <c r="M185" s="167"/>
      <c r="N185" s="168"/>
      <c r="O185" s="169"/>
      <c r="P185" s="164">
        <f t="shared" ref="P185" si="101">O185+L185+H185</f>
        <v>0</v>
      </c>
      <c r="Q185" s="302" t="s">
        <v>828</v>
      </c>
    </row>
    <row r="186" spans="1:17" x14ac:dyDescent="0.25">
      <c r="A186" s="162"/>
      <c r="B186" s="475" t="s">
        <v>94</v>
      </c>
      <c r="C186" s="167"/>
      <c r="D186" s="486"/>
      <c r="E186" s="486"/>
      <c r="F186" s="486"/>
      <c r="G186" s="257"/>
      <c r="H186" s="164"/>
      <c r="I186" s="167"/>
      <c r="J186" s="167"/>
      <c r="K186" s="168"/>
      <c r="L186" s="165"/>
      <c r="M186" s="167"/>
      <c r="N186" s="168"/>
      <c r="O186" s="169"/>
      <c r="P186" s="164"/>
    </row>
    <row r="187" spans="1:17" ht="33.75" customHeight="1" x14ac:dyDescent="0.25">
      <c r="A187" s="162"/>
      <c r="B187" s="327" t="s">
        <v>475</v>
      </c>
      <c r="C187" s="167"/>
      <c r="D187" s="486"/>
      <c r="E187" s="486"/>
      <c r="F187" s="486"/>
      <c r="G187" s="257"/>
      <c r="H187" s="164"/>
      <c r="I187" s="167"/>
      <c r="J187" s="167"/>
      <c r="K187" s="168"/>
      <c r="L187" s="165"/>
      <c r="M187" s="167"/>
      <c r="N187" s="168"/>
      <c r="O187" s="169"/>
      <c r="P187" s="164"/>
    </row>
    <row r="188" spans="1:17" x14ac:dyDescent="0.25">
      <c r="A188" s="162"/>
      <c r="B188" s="163" t="s">
        <v>999</v>
      </c>
      <c r="C188" s="167">
        <v>10000</v>
      </c>
      <c r="D188" s="486">
        <v>2500</v>
      </c>
      <c r="E188" s="486">
        <v>7500</v>
      </c>
      <c r="F188" s="486"/>
      <c r="G188" s="257"/>
      <c r="H188" s="164">
        <f t="shared" ref="H188" si="102">SUM(C188:G188)</f>
        <v>20000</v>
      </c>
      <c r="I188" s="167"/>
      <c r="J188" s="167"/>
      <c r="K188" s="168"/>
      <c r="L188" s="165">
        <f t="shared" ref="L188" si="103">SUM(I188:K188)</f>
        <v>0</v>
      </c>
      <c r="M188" s="167"/>
      <c r="N188" s="168"/>
      <c r="O188" s="169"/>
      <c r="P188" s="164">
        <f t="shared" ref="P188" si="104">O188+L188+H188</f>
        <v>20000</v>
      </c>
      <c r="Q188" s="302" t="s">
        <v>828</v>
      </c>
    </row>
    <row r="189" spans="1:17" ht="33.75" customHeight="1" x14ac:dyDescent="0.25">
      <c r="A189" s="162"/>
      <c r="B189" s="327" t="s">
        <v>905</v>
      </c>
      <c r="C189" s="167"/>
      <c r="D189" s="486"/>
      <c r="E189" s="486"/>
      <c r="F189" s="486"/>
      <c r="G189" s="257"/>
      <c r="H189" s="164"/>
      <c r="I189" s="167"/>
      <c r="J189" s="167"/>
      <c r="K189" s="168"/>
      <c r="L189" s="165"/>
      <c r="M189" s="167"/>
      <c r="N189" s="168"/>
      <c r="O189" s="169"/>
      <c r="P189" s="164"/>
    </row>
    <row r="190" spans="1:17" x14ac:dyDescent="0.25">
      <c r="A190" s="162"/>
      <c r="B190" s="163" t="s">
        <v>1048</v>
      </c>
      <c r="C190" s="167">
        <v>2343</v>
      </c>
      <c r="D190" s="486">
        <v>957</v>
      </c>
      <c r="E190" s="486">
        <v>-2300</v>
      </c>
      <c r="F190" s="486"/>
      <c r="G190" s="257">
        <v>-1000</v>
      </c>
      <c r="H190" s="164">
        <f t="shared" ref="H190:H197" si="105">SUM(C190:G190)</f>
        <v>0</v>
      </c>
      <c r="I190" s="167"/>
      <c r="J190" s="167"/>
      <c r="K190" s="168"/>
      <c r="L190" s="165">
        <f t="shared" ref="L190:L197" si="106">SUM(I190:K190)</f>
        <v>0</v>
      </c>
      <c r="M190" s="167"/>
      <c r="N190" s="168"/>
      <c r="O190" s="169"/>
      <c r="P190" s="164">
        <f t="shared" ref="P190:P197" si="107">O190+L190+H190</f>
        <v>0</v>
      </c>
      <c r="Q190" s="302" t="s">
        <v>828</v>
      </c>
    </row>
    <row r="191" spans="1:17" x14ac:dyDescent="0.25">
      <c r="A191" s="162"/>
      <c r="B191" s="163" t="s">
        <v>1049</v>
      </c>
      <c r="C191" s="167">
        <v>790</v>
      </c>
      <c r="D191" s="486">
        <v>373</v>
      </c>
      <c r="E191" s="486">
        <v>-1163</v>
      </c>
      <c r="F191" s="486"/>
      <c r="G191" s="257"/>
      <c r="H191" s="164">
        <f t="shared" ref="H191:H196" si="108">SUM(C191:G191)</f>
        <v>0</v>
      </c>
      <c r="I191" s="167"/>
      <c r="J191" s="167"/>
      <c r="K191" s="168"/>
      <c r="L191" s="165">
        <f t="shared" ref="L191:L196" si="109">SUM(I191:K191)</f>
        <v>0</v>
      </c>
      <c r="M191" s="167"/>
      <c r="N191" s="168"/>
      <c r="O191" s="169"/>
      <c r="P191" s="164">
        <f t="shared" ref="P191:P196" si="110">O191+L191+H191</f>
        <v>0</v>
      </c>
      <c r="Q191" s="302" t="s">
        <v>828</v>
      </c>
    </row>
    <row r="192" spans="1:17" x14ac:dyDescent="0.25">
      <c r="A192" s="162"/>
      <c r="B192" s="163" t="s">
        <v>1050</v>
      </c>
      <c r="C192" s="167">
        <v>-1</v>
      </c>
      <c r="D192" s="486">
        <v>1</v>
      </c>
      <c r="E192" s="486"/>
      <c r="F192" s="486"/>
      <c r="G192" s="257"/>
      <c r="H192" s="164">
        <f t="shared" si="108"/>
        <v>0</v>
      </c>
      <c r="I192" s="167"/>
      <c r="J192" s="167"/>
      <c r="K192" s="168"/>
      <c r="L192" s="165">
        <f t="shared" si="109"/>
        <v>0</v>
      </c>
      <c r="M192" s="167"/>
      <c r="N192" s="168"/>
      <c r="O192" s="169"/>
      <c r="P192" s="164">
        <f t="shared" si="110"/>
        <v>0</v>
      </c>
      <c r="Q192" s="302" t="s">
        <v>828</v>
      </c>
    </row>
    <row r="193" spans="1:17" x14ac:dyDescent="0.25">
      <c r="A193" s="162"/>
      <c r="B193" s="163" t="s">
        <v>985</v>
      </c>
      <c r="C193" s="167">
        <v>366</v>
      </c>
      <c r="D193" s="486"/>
      <c r="E193" s="486">
        <v>1336</v>
      </c>
      <c r="F193" s="486"/>
      <c r="G193" s="257">
        <v>-1702</v>
      </c>
      <c r="H193" s="164">
        <f t="shared" si="108"/>
        <v>0</v>
      </c>
      <c r="I193" s="167"/>
      <c r="J193" s="167"/>
      <c r="K193" s="168"/>
      <c r="L193" s="165">
        <f t="shared" si="109"/>
        <v>0</v>
      </c>
      <c r="M193" s="167"/>
      <c r="N193" s="168"/>
      <c r="O193" s="169"/>
      <c r="P193" s="164">
        <f t="shared" si="110"/>
        <v>0</v>
      </c>
      <c r="Q193" s="302" t="s">
        <v>828</v>
      </c>
    </row>
    <row r="194" spans="1:17" x14ac:dyDescent="0.25">
      <c r="A194" s="162"/>
      <c r="B194" s="163" t="s">
        <v>1051</v>
      </c>
      <c r="C194" s="167"/>
      <c r="D194" s="486"/>
      <c r="E194" s="486"/>
      <c r="F194" s="486"/>
      <c r="G194" s="257">
        <v>800</v>
      </c>
      <c r="H194" s="164">
        <f t="shared" si="108"/>
        <v>800</v>
      </c>
      <c r="I194" s="167"/>
      <c r="J194" s="167"/>
      <c r="K194" s="168">
        <v>-800</v>
      </c>
      <c r="L194" s="165">
        <f t="shared" si="109"/>
        <v>-800</v>
      </c>
      <c r="M194" s="167"/>
      <c r="N194" s="168"/>
      <c r="O194" s="169"/>
      <c r="P194" s="164">
        <f t="shared" si="110"/>
        <v>0</v>
      </c>
      <c r="Q194" s="302" t="s">
        <v>828</v>
      </c>
    </row>
    <row r="195" spans="1:17" x14ac:dyDescent="0.25">
      <c r="A195" s="162"/>
      <c r="B195" s="163" t="s">
        <v>1058</v>
      </c>
      <c r="C195" s="167">
        <v>1403</v>
      </c>
      <c r="D195" s="486">
        <v>364</v>
      </c>
      <c r="E195" s="486">
        <v>223</v>
      </c>
      <c r="F195" s="486"/>
      <c r="G195" s="257">
        <v>-1990</v>
      </c>
      <c r="H195" s="164">
        <f t="shared" si="108"/>
        <v>0</v>
      </c>
      <c r="I195" s="167"/>
      <c r="J195" s="167"/>
      <c r="K195" s="168"/>
      <c r="L195" s="165">
        <f t="shared" si="109"/>
        <v>0</v>
      </c>
      <c r="M195" s="167"/>
      <c r="N195" s="168"/>
      <c r="O195" s="169"/>
      <c r="P195" s="164">
        <f t="shared" si="110"/>
        <v>0</v>
      </c>
      <c r="Q195" s="302" t="s">
        <v>828</v>
      </c>
    </row>
    <row r="196" spans="1:17" x14ac:dyDescent="0.25">
      <c r="A196" s="162"/>
      <c r="B196" s="163" t="s">
        <v>1048</v>
      </c>
      <c r="C196" s="167"/>
      <c r="D196" s="486">
        <v>41</v>
      </c>
      <c r="E196" s="486">
        <v>386</v>
      </c>
      <c r="F196" s="486"/>
      <c r="G196" s="257">
        <v>-427</v>
      </c>
      <c r="H196" s="164">
        <f t="shared" si="108"/>
        <v>0</v>
      </c>
      <c r="I196" s="167"/>
      <c r="J196" s="167"/>
      <c r="K196" s="168"/>
      <c r="L196" s="165">
        <f t="shared" si="109"/>
        <v>0</v>
      </c>
      <c r="M196" s="167"/>
      <c r="N196" s="168"/>
      <c r="O196" s="169"/>
      <c r="P196" s="164">
        <f t="shared" si="110"/>
        <v>0</v>
      </c>
      <c r="Q196" s="302" t="s">
        <v>828</v>
      </c>
    </row>
    <row r="197" spans="1:17" ht="31.5" x14ac:dyDescent="0.25">
      <c r="A197" s="162"/>
      <c r="B197" s="163" t="s">
        <v>984</v>
      </c>
      <c r="C197" s="167">
        <v>40</v>
      </c>
      <c r="D197" s="486">
        <v>243</v>
      </c>
      <c r="E197" s="486">
        <v>-283</v>
      </c>
      <c r="F197" s="486"/>
      <c r="G197" s="257"/>
      <c r="H197" s="164">
        <f t="shared" si="105"/>
        <v>0</v>
      </c>
      <c r="I197" s="167"/>
      <c r="J197" s="167"/>
      <c r="K197" s="168"/>
      <c r="L197" s="165">
        <f t="shared" si="106"/>
        <v>0</v>
      </c>
      <c r="M197" s="167"/>
      <c r="N197" s="168"/>
      <c r="O197" s="169"/>
      <c r="P197" s="164">
        <f t="shared" si="107"/>
        <v>0</v>
      </c>
      <c r="Q197" s="302" t="s">
        <v>828</v>
      </c>
    </row>
    <row r="198" spans="1:17" ht="34.5" customHeight="1" x14ac:dyDescent="0.25">
      <c r="A198" s="162"/>
      <c r="B198" s="327" t="s">
        <v>906</v>
      </c>
      <c r="C198" s="167"/>
      <c r="D198" s="486"/>
      <c r="E198" s="486"/>
      <c r="F198" s="486"/>
      <c r="G198" s="257"/>
      <c r="H198" s="164"/>
      <c r="I198" s="167"/>
      <c r="J198" s="167"/>
      <c r="K198" s="168"/>
      <c r="L198" s="165"/>
      <c r="M198" s="167"/>
      <c r="N198" s="168"/>
      <c r="O198" s="169"/>
      <c r="P198" s="164"/>
    </row>
    <row r="199" spans="1:17" ht="31.5" x14ac:dyDescent="0.25">
      <c r="A199" s="162"/>
      <c r="B199" s="163" t="s">
        <v>984</v>
      </c>
      <c r="C199" s="167">
        <v>1036</v>
      </c>
      <c r="D199" s="486"/>
      <c r="E199" s="486"/>
      <c r="F199" s="486"/>
      <c r="G199" s="257"/>
      <c r="H199" s="164">
        <f t="shared" ref="H199" si="111">SUM(C199:G199)</f>
        <v>1036</v>
      </c>
      <c r="I199" s="167"/>
      <c r="J199" s="167"/>
      <c r="K199" s="168"/>
      <c r="L199" s="165">
        <f t="shared" ref="L199" si="112">SUM(I199:K199)</f>
        <v>0</v>
      </c>
      <c r="M199" s="167"/>
      <c r="N199" s="168"/>
      <c r="O199" s="169"/>
      <c r="P199" s="164">
        <f t="shared" ref="P199" si="113">O199+L199+H199</f>
        <v>1036</v>
      </c>
      <c r="Q199" s="302" t="s">
        <v>828</v>
      </c>
    </row>
    <row r="200" spans="1:17" x14ac:dyDescent="0.25">
      <c r="A200" s="162"/>
      <c r="B200" s="163" t="s">
        <v>985</v>
      </c>
      <c r="C200" s="167">
        <v>299</v>
      </c>
      <c r="D200" s="486">
        <v>81</v>
      </c>
      <c r="E200" s="486">
        <v>-1416</v>
      </c>
      <c r="F200" s="486"/>
      <c r="G200" s="257"/>
      <c r="H200" s="164">
        <f t="shared" ref="H200" si="114">SUM(C200:G200)</f>
        <v>-1036</v>
      </c>
      <c r="I200" s="167"/>
      <c r="J200" s="167"/>
      <c r="K200" s="168"/>
      <c r="L200" s="165">
        <f t="shared" ref="L200" si="115">SUM(I200:K200)</f>
        <v>0</v>
      </c>
      <c r="M200" s="167"/>
      <c r="N200" s="168"/>
      <c r="O200" s="169"/>
      <c r="P200" s="164">
        <f t="shared" ref="P200" si="116">O200+L200+H200</f>
        <v>-1036</v>
      </c>
      <c r="Q200" s="302" t="s">
        <v>828</v>
      </c>
    </row>
    <row r="201" spans="1:17" x14ac:dyDescent="0.25">
      <c r="A201" s="162"/>
      <c r="B201" s="163"/>
      <c r="C201" s="167"/>
      <c r="D201" s="486"/>
      <c r="E201" s="486"/>
      <c r="F201" s="486"/>
      <c r="G201" s="257"/>
      <c r="H201" s="164">
        <f t="shared" ref="H201" si="117">SUM(C201:G201)</f>
        <v>0</v>
      </c>
      <c r="I201" s="167"/>
      <c r="J201" s="167"/>
      <c r="K201" s="168"/>
      <c r="L201" s="165">
        <f t="shared" ref="L201" si="118">SUM(I201:K201)</f>
        <v>0</v>
      </c>
      <c r="M201" s="167"/>
      <c r="N201" s="168"/>
      <c r="O201" s="169"/>
      <c r="P201" s="164">
        <f t="shared" ref="P201" si="119">O201+L201+H201</f>
        <v>0</v>
      </c>
      <c r="Q201" s="302" t="s">
        <v>828</v>
      </c>
    </row>
    <row r="202" spans="1:17" x14ac:dyDescent="0.25">
      <c r="A202" s="485"/>
      <c r="B202" s="256"/>
      <c r="C202" s="167"/>
      <c r="D202" s="486"/>
      <c r="E202" s="486"/>
      <c r="F202" s="486"/>
      <c r="G202" s="520"/>
      <c r="H202" s="164">
        <f t="shared" ref="H202" si="120">SUM(C202:G202)</f>
        <v>0</v>
      </c>
      <c r="I202" s="167"/>
      <c r="J202" s="167"/>
      <c r="K202" s="168"/>
      <c r="L202" s="165">
        <f t="shared" ref="L202" si="121">SUM(I202:K202)</f>
        <v>0</v>
      </c>
      <c r="M202" s="167"/>
      <c r="N202" s="168"/>
      <c r="O202" s="169"/>
      <c r="P202" s="164">
        <f t="shared" ref="P202" si="122">O202+L202+H202</f>
        <v>0</v>
      </c>
      <c r="Q202" s="302" t="s">
        <v>828</v>
      </c>
    </row>
    <row r="203" spans="1:17" ht="47.25" x14ac:dyDescent="0.25">
      <c r="A203" s="485"/>
      <c r="B203" s="327" t="s">
        <v>904</v>
      </c>
      <c r="C203" s="167"/>
      <c r="D203" s="486"/>
      <c r="E203" s="486"/>
      <c r="F203" s="486"/>
      <c r="G203" s="520"/>
      <c r="H203" s="164"/>
      <c r="I203" s="167"/>
      <c r="J203" s="167"/>
      <c r="K203" s="168"/>
      <c r="L203" s="165"/>
      <c r="M203" s="167"/>
      <c r="N203" s="168"/>
      <c r="O203" s="169"/>
      <c r="P203" s="164"/>
    </row>
    <row r="204" spans="1:17" x14ac:dyDescent="0.25">
      <c r="A204" s="485"/>
      <c r="B204" s="256"/>
      <c r="C204" s="167"/>
      <c r="D204" s="486"/>
      <c r="E204" s="486"/>
      <c r="F204" s="486"/>
      <c r="G204" s="520"/>
      <c r="H204" s="165">
        <f t="shared" ref="H204" si="123">SUM(C204:G204)</f>
        <v>0</v>
      </c>
      <c r="I204" s="167"/>
      <c r="J204" s="167"/>
      <c r="K204" s="168"/>
      <c r="L204" s="165">
        <f t="shared" ref="L204" si="124">SUM(I204:K204)</f>
        <v>0</v>
      </c>
      <c r="M204" s="167"/>
      <c r="N204" s="168"/>
      <c r="O204" s="169"/>
      <c r="P204" s="165">
        <f t="shared" ref="P204" si="125">O204+L204+H204</f>
        <v>0</v>
      </c>
      <c r="Q204" s="302" t="s">
        <v>828</v>
      </c>
    </row>
    <row r="205" spans="1:17" x14ac:dyDescent="0.25">
      <c r="A205" s="162"/>
      <c r="B205" s="135" t="s">
        <v>385</v>
      </c>
      <c r="C205" s="167"/>
      <c r="D205" s="486"/>
      <c r="E205" s="486"/>
      <c r="F205" s="486"/>
      <c r="G205" s="257"/>
      <c r="H205" s="164"/>
      <c r="I205" s="167"/>
      <c r="J205" s="167"/>
      <c r="K205" s="168"/>
      <c r="L205" s="165"/>
      <c r="M205" s="167"/>
      <c r="N205" s="168"/>
      <c r="O205" s="169"/>
      <c r="P205" s="164"/>
    </row>
    <row r="206" spans="1:17" ht="47.25" x14ac:dyDescent="0.25">
      <c r="A206" s="162"/>
      <c r="B206" s="163" t="s">
        <v>1274</v>
      </c>
      <c r="C206" s="167"/>
      <c r="D206" s="486"/>
      <c r="E206" s="486"/>
      <c r="F206" s="486"/>
      <c r="G206" s="257">
        <v>-400</v>
      </c>
      <c r="H206" s="164">
        <f t="shared" ref="H206" si="126">SUM(C206:G206)</f>
        <v>-400</v>
      </c>
      <c r="I206" s="167"/>
      <c r="J206" s="167"/>
      <c r="K206" s="168"/>
      <c r="L206" s="165">
        <f t="shared" ref="L206" si="127">SUM(I206:K206)</f>
        <v>0</v>
      </c>
      <c r="M206" s="167"/>
      <c r="N206" s="168"/>
      <c r="O206" s="169"/>
      <c r="P206" s="164">
        <f t="shared" ref="P206" si="128">O206+L206+H206</f>
        <v>-400</v>
      </c>
      <c r="Q206" s="302" t="s">
        <v>828</v>
      </c>
    </row>
    <row r="207" spans="1:17" ht="63" x14ac:dyDescent="0.25">
      <c r="A207" s="162"/>
      <c r="B207" s="163" t="s">
        <v>1275</v>
      </c>
      <c r="C207" s="167"/>
      <c r="D207" s="486"/>
      <c r="E207" s="486"/>
      <c r="F207" s="486"/>
      <c r="G207" s="257">
        <v>-150</v>
      </c>
      <c r="H207" s="164">
        <f t="shared" ref="H207" si="129">SUM(C207:G207)</f>
        <v>-150</v>
      </c>
      <c r="I207" s="167"/>
      <c r="J207" s="167"/>
      <c r="K207" s="168"/>
      <c r="L207" s="165">
        <f t="shared" ref="L207" si="130">SUM(I207:K207)</f>
        <v>0</v>
      </c>
      <c r="M207" s="167"/>
      <c r="N207" s="168"/>
      <c r="O207" s="169"/>
      <c r="P207" s="164">
        <f t="shared" ref="P207" si="131">O207+L207+H207</f>
        <v>-150</v>
      </c>
      <c r="Q207" s="302" t="s">
        <v>828</v>
      </c>
    </row>
    <row r="208" spans="1:17" x14ac:dyDescent="0.25">
      <c r="A208" s="324"/>
      <c r="B208" s="536"/>
      <c r="C208" s="298"/>
      <c r="D208" s="299"/>
      <c r="E208" s="299"/>
      <c r="F208" s="486"/>
      <c r="G208" s="214"/>
      <c r="H208" s="164"/>
      <c r="I208" s="298"/>
      <c r="J208" s="298"/>
      <c r="K208" s="300"/>
      <c r="L208" s="165"/>
      <c r="M208" s="298"/>
      <c r="N208" s="300"/>
      <c r="O208" s="301"/>
      <c r="P208" s="164"/>
    </row>
    <row r="209" spans="1:17" x14ac:dyDescent="0.25">
      <c r="A209" s="297"/>
      <c r="B209" s="480" t="s">
        <v>95</v>
      </c>
      <c r="C209" s="298"/>
      <c r="D209" s="299"/>
      <c r="E209" s="299"/>
      <c r="F209" s="300"/>
      <c r="G209" s="300"/>
      <c r="H209" s="164"/>
      <c r="I209" s="298"/>
      <c r="J209" s="298"/>
      <c r="K209" s="300"/>
      <c r="L209" s="165"/>
      <c r="M209" s="298"/>
      <c r="N209" s="300"/>
      <c r="O209" s="301"/>
      <c r="P209" s="164"/>
    </row>
    <row r="210" spans="1:17" x14ac:dyDescent="0.25">
      <c r="A210" s="162"/>
      <c r="B210" s="135" t="s">
        <v>384</v>
      </c>
      <c r="C210" s="167"/>
      <c r="D210" s="486"/>
      <c r="E210" s="486"/>
      <c r="F210" s="486"/>
      <c r="G210" s="257"/>
      <c r="H210" s="164"/>
      <c r="I210" s="167"/>
      <c r="J210" s="167"/>
      <c r="K210" s="168"/>
      <c r="L210" s="165"/>
      <c r="M210" s="167"/>
      <c r="N210" s="168"/>
      <c r="O210" s="169"/>
      <c r="P210" s="164"/>
    </row>
    <row r="211" spans="1:17" ht="15" customHeight="1" x14ac:dyDescent="0.25">
      <c r="A211" s="162"/>
      <c r="B211" s="327" t="s">
        <v>905</v>
      </c>
      <c r="C211" s="167"/>
      <c r="D211" s="486"/>
      <c r="E211" s="486"/>
      <c r="F211" s="486"/>
      <c r="G211" s="257"/>
      <c r="H211" s="164"/>
      <c r="I211" s="167"/>
      <c r="J211" s="167"/>
      <c r="K211" s="168"/>
      <c r="L211" s="165"/>
      <c r="M211" s="167"/>
      <c r="N211" s="168"/>
      <c r="O211" s="169"/>
      <c r="P211" s="164"/>
    </row>
    <row r="212" spans="1:17" ht="15" customHeight="1" x14ac:dyDescent="0.25">
      <c r="A212" s="162"/>
      <c r="B212" s="256" t="s">
        <v>955</v>
      </c>
      <c r="C212" s="167">
        <v>-463</v>
      </c>
      <c r="D212" s="486"/>
      <c r="E212" s="486"/>
      <c r="F212" s="486"/>
      <c r="G212" s="257">
        <v>463</v>
      </c>
      <c r="H212" s="164">
        <f t="shared" ref="H212" si="132">SUM(C212:G212)</f>
        <v>0</v>
      </c>
      <c r="I212" s="167"/>
      <c r="J212" s="167"/>
      <c r="K212" s="168"/>
      <c r="L212" s="165">
        <f t="shared" ref="L212" si="133">SUM(I212:K212)</f>
        <v>0</v>
      </c>
      <c r="M212" s="167"/>
      <c r="N212" s="168"/>
      <c r="O212" s="169"/>
      <c r="P212" s="164">
        <f t="shared" ref="P212" si="134">O212+L212+H212</f>
        <v>0</v>
      </c>
      <c r="Q212" s="302" t="s">
        <v>863</v>
      </c>
    </row>
    <row r="213" spans="1:17" x14ac:dyDescent="0.25">
      <c r="A213" s="162"/>
      <c r="B213" s="256"/>
      <c r="C213" s="167"/>
      <c r="D213" s="486"/>
      <c r="E213" s="486"/>
      <c r="F213" s="486"/>
      <c r="G213" s="257"/>
      <c r="H213" s="164"/>
      <c r="I213" s="167"/>
      <c r="J213" s="167"/>
      <c r="K213" s="168"/>
      <c r="L213" s="165"/>
      <c r="M213" s="167"/>
      <c r="N213" s="168"/>
      <c r="O213" s="169"/>
      <c r="P213" s="164"/>
    </row>
    <row r="214" spans="1:17" x14ac:dyDescent="0.25">
      <c r="A214" s="162"/>
      <c r="B214" s="135" t="s">
        <v>385</v>
      </c>
      <c r="C214" s="167"/>
      <c r="D214" s="486"/>
      <c r="E214" s="486"/>
      <c r="F214" s="486"/>
      <c r="G214" s="257"/>
      <c r="H214" s="164"/>
      <c r="I214" s="167"/>
      <c r="J214" s="167"/>
      <c r="K214" s="168"/>
      <c r="L214" s="165"/>
      <c r="M214" s="167"/>
      <c r="N214" s="168"/>
      <c r="O214" s="169"/>
      <c r="P214" s="164"/>
    </row>
    <row r="215" spans="1:17" ht="15" customHeight="1" x14ac:dyDescent="0.25">
      <c r="A215" s="162"/>
      <c r="B215" s="256" t="s">
        <v>955</v>
      </c>
      <c r="C215" s="167"/>
      <c r="D215" s="486"/>
      <c r="E215" s="486"/>
      <c r="F215" s="486"/>
      <c r="G215" s="257"/>
      <c r="H215" s="164">
        <f t="shared" ref="H215" si="135">SUM(C215:G215)</f>
        <v>0</v>
      </c>
      <c r="I215" s="167"/>
      <c r="J215" s="167"/>
      <c r="K215" s="168"/>
      <c r="L215" s="165">
        <f t="shared" ref="L215" si="136">SUM(I215:K215)</f>
        <v>0</v>
      </c>
      <c r="M215" s="167"/>
      <c r="N215" s="168"/>
      <c r="O215" s="169"/>
      <c r="P215" s="164">
        <f t="shared" ref="P215" si="137">O215+L215+H215</f>
        <v>0</v>
      </c>
      <c r="Q215" s="302" t="s">
        <v>863</v>
      </c>
    </row>
    <row r="216" spans="1:17" x14ac:dyDescent="0.25">
      <c r="A216" s="162"/>
      <c r="B216" s="256"/>
      <c r="C216" s="167"/>
      <c r="D216" s="486"/>
      <c r="E216" s="486"/>
      <c r="F216" s="486"/>
      <c r="G216" s="257"/>
      <c r="H216" s="164"/>
      <c r="I216" s="167"/>
      <c r="J216" s="167"/>
      <c r="K216" s="168"/>
      <c r="L216" s="165"/>
      <c r="M216" s="167"/>
      <c r="N216" s="168"/>
      <c r="O216" s="169"/>
      <c r="P216" s="164"/>
    </row>
    <row r="217" spans="1:17" x14ac:dyDescent="0.25">
      <c r="A217" s="162"/>
      <c r="B217" s="135" t="s">
        <v>529</v>
      </c>
      <c r="C217" s="167"/>
      <c r="D217" s="486"/>
      <c r="E217" s="486"/>
      <c r="F217" s="486"/>
      <c r="G217" s="257"/>
      <c r="H217" s="164"/>
      <c r="I217" s="167"/>
      <c r="J217" s="167"/>
      <c r="K217" s="168"/>
      <c r="L217" s="165"/>
      <c r="M217" s="167"/>
      <c r="N217" s="168"/>
      <c r="O217" s="169"/>
      <c r="P217" s="164"/>
    </row>
    <row r="218" spans="1:17" ht="35.25" customHeight="1" x14ac:dyDescent="0.25">
      <c r="A218" s="162"/>
      <c r="B218" s="876" t="s">
        <v>905</v>
      </c>
      <c r="C218" s="167"/>
      <c r="D218" s="486"/>
      <c r="E218" s="486"/>
      <c r="F218" s="486"/>
      <c r="G218" s="257"/>
      <c r="H218" s="164"/>
      <c r="I218" s="167"/>
      <c r="J218" s="167"/>
      <c r="K218" s="168"/>
      <c r="L218" s="165"/>
      <c r="M218" s="167"/>
      <c r="N218" s="168"/>
      <c r="O218" s="169"/>
      <c r="P218" s="164"/>
    </row>
    <row r="219" spans="1:17" ht="15" customHeight="1" x14ac:dyDescent="0.25">
      <c r="A219" s="162"/>
      <c r="B219" s="256" t="s">
        <v>955</v>
      </c>
      <c r="C219" s="167">
        <v>-1000</v>
      </c>
      <c r="D219" s="486">
        <v>-736</v>
      </c>
      <c r="E219" s="486"/>
      <c r="F219" s="486"/>
      <c r="G219" s="257">
        <v>1736</v>
      </c>
      <c r="H219" s="164">
        <f t="shared" ref="H219" si="138">SUM(C219:G219)</f>
        <v>0</v>
      </c>
      <c r="I219" s="167"/>
      <c r="J219" s="167"/>
      <c r="K219" s="168"/>
      <c r="L219" s="165">
        <f t="shared" ref="L219" si="139">SUM(I219:K219)</f>
        <v>0</v>
      </c>
      <c r="M219" s="167"/>
      <c r="N219" s="168"/>
      <c r="O219" s="169"/>
      <c r="P219" s="164">
        <f t="shared" ref="P219" si="140">O219+L219+H219</f>
        <v>0</v>
      </c>
      <c r="Q219" s="302" t="s">
        <v>863</v>
      </c>
    </row>
    <row r="220" spans="1:17" x14ac:dyDescent="0.25">
      <c r="A220" s="162"/>
      <c r="B220" s="256"/>
      <c r="C220" s="167"/>
      <c r="D220" s="486"/>
      <c r="E220" s="486"/>
      <c r="F220" s="486"/>
      <c r="G220" s="257"/>
      <c r="H220" s="164"/>
      <c r="I220" s="167"/>
      <c r="J220" s="167"/>
      <c r="K220" s="168"/>
      <c r="L220" s="165"/>
      <c r="M220" s="167"/>
      <c r="N220" s="168"/>
      <c r="O220" s="169"/>
      <c r="P220" s="164"/>
    </row>
    <row r="221" spans="1:17" x14ac:dyDescent="0.25">
      <c r="A221" s="162"/>
      <c r="B221" s="135" t="s">
        <v>385</v>
      </c>
      <c r="C221" s="167"/>
      <c r="D221" s="486"/>
      <c r="E221" s="486"/>
      <c r="F221" s="486"/>
      <c r="G221" s="257"/>
      <c r="H221" s="164"/>
      <c r="I221" s="167"/>
      <c r="J221" s="167"/>
      <c r="K221" s="168"/>
      <c r="L221" s="165"/>
      <c r="M221" s="167"/>
      <c r="N221" s="168"/>
      <c r="O221" s="169"/>
      <c r="P221" s="164"/>
    </row>
    <row r="222" spans="1:17" x14ac:dyDescent="0.25">
      <c r="A222" s="162"/>
      <c r="B222" s="256" t="s">
        <v>955</v>
      </c>
      <c r="C222" s="167"/>
      <c r="D222" s="486"/>
      <c r="E222" s="486"/>
      <c r="F222" s="486"/>
      <c r="G222" s="257"/>
      <c r="H222" s="164">
        <f t="shared" ref="H222" si="141">SUM(C222:G222)</f>
        <v>0</v>
      </c>
      <c r="I222" s="167"/>
      <c r="J222" s="167"/>
      <c r="K222" s="168"/>
      <c r="L222" s="165">
        <f t="shared" ref="L222" si="142">SUM(I222:K222)</f>
        <v>0</v>
      </c>
      <c r="M222" s="167"/>
      <c r="N222" s="168"/>
      <c r="O222" s="169"/>
      <c r="P222" s="164">
        <f t="shared" ref="P222" si="143">O222+L222+H222</f>
        <v>0</v>
      </c>
      <c r="Q222" s="302" t="s">
        <v>863</v>
      </c>
    </row>
    <row r="223" spans="1:17" x14ac:dyDescent="0.25">
      <c r="A223" s="162"/>
      <c r="B223" s="256"/>
      <c r="C223" s="167"/>
      <c r="D223" s="486"/>
      <c r="E223" s="486"/>
      <c r="F223" s="486"/>
      <c r="G223" s="257"/>
      <c r="H223" s="164"/>
      <c r="I223" s="167"/>
      <c r="J223" s="167"/>
      <c r="K223" s="168"/>
      <c r="L223" s="165"/>
      <c r="M223" s="167"/>
      <c r="N223" s="168"/>
      <c r="O223" s="169"/>
      <c r="P223" s="164"/>
    </row>
    <row r="224" spans="1:17" ht="32.25" thickBot="1" x14ac:dyDescent="0.3">
      <c r="A224" s="547"/>
      <c r="B224" s="555" t="s">
        <v>240</v>
      </c>
      <c r="C224" s="548"/>
      <c r="D224" s="549"/>
      <c r="E224" s="549"/>
      <c r="F224" s="549"/>
      <c r="G224" s="550"/>
      <c r="H224" s="551"/>
      <c r="I224" s="548"/>
      <c r="J224" s="548"/>
      <c r="K224" s="552"/>
      <c r="L224" s="551"/>
      <c r="M224" s="548"/>
      <c r="N224" s="552"/>
      <c r="O224" s="553"/>
      <c r="P224" s="551"/>
    </row>
    <row r="225" spans="1:17" ht="31.5" x14ac:dyDescent="0.25">
      <c r="A225" s="297"/>
      <c r="B225" s="554" t="s">
        <v>906</v>
      </c>
      <c r="C225" s="298"/>
      <c r="D225" s="298"/>
      <c r="E225" s="298"/>
      <c r="F225" s="298"/>
      <c r="G225" s="214"/>
      <c r="H225" s="301"/>
      <c r="I225" s="298"/>
      <c r="J225" s="298"/>
      <c r="K225" s="214"/>
      <c r="L225" s="301"/>
      <c r="M225" s="298"/>
      <c r="N225" s="214"/>
      <c r="O225" s="301"/>
      <c r="P225" s="301"/>
    </row>
    <row r="226" spans="1:17" x14ac:dyDescent="0.25">
      <c r="A226" s="537"/>
      <c r="B226" s="538"/>
      <c r="C226" s="167"/>
      <c r="D226" s="486"/>
      <c r="E226" s="486"/>
      <c r="F226" s="486"/>
      <c r="G226" s="520"/>
      <c r="H226" s="164">
        <f t="shared" ref="H226" si="144">SUM(C226:G226)</f>
        <v>0</v>
      </c>
      <c r="I226" s="167"/>
      <c r="J226" s="167"/>
      <c r="K226" s="168"/>
      <c r="L226" s="165">
        <f t="shared" ref="L226" si="145">SUM(I226:K226)</f>
        <v>0</v>
      </c>
      <c r="M226" s="167"/>
      <c r="N226" s="168"/>
      <c r="O226" s="169"/>
      <c r="P226" s="164">
        <f t="shared" ref="P226" si="146">O226+L226+H226</f>
        <v>0</v>
      </c>
      <c r="Q226" s="302" t="s">
        <v>828</v>
      </c>
    </row>
    <row r="227" spans="1:17" ht="47.25" x14ac:dyDescent="0.25">
      <c r="A227" s="485"/>
      <c r="B227" s="327" t="s">
        <v>904</v>
      </c>
      <c r="C227" s="167"/>
      <c r="D227" s="486"/>
      <c r="E227" s="486"/>
      <c r="F227" s="486"/>
      <c r="G227" s="520"/>
      <c r="H227" s="164"/>
      <c r="I227" s="167"/>
      <c r="J227" s="167"/>
      <c r="K227" s="168"/>
      <c r="L227" s="165"/>
      <c r="M227" s="167"/>
      <c r="N227" s="168"/>
      <c r="O227" s="169"/>
      <c r="P227" s="164"/>
    </row>
    <row r="228" spans="1:17" x14ac:dyDescent="0.25">
      <c r="A228" s="485"/>
      <c r="B228" s="256" t="s">
        <v>997</v>
      </c>
      <c r="C228" s="167"/>
      <c r="D228" s="486"/>
      <c r="E228" s="486"/>
      <c r="F228" s="486"/>
      <c r="G228" s="520">
        <v>19416</v>
      </c>
      <c r="H228" s="164">
        <f t="shared" ref="H228" si="147">SUM(C228:G228)</f>
        <v>19416</v>
      </c>
      <c r="I228" s="167"/>
      <c r="J228" s="167"/>
      <c r="K228" s="168"/>
      <c r="L228" s="165">
        <f t="shared" ref="L228" si="148">SUM(I228:K228)</f>
        <v>0</v>
      </c>
      <c r="M228" s="167"/>
      <c r="N228" s="168"/>
      <c r="O228" s="169"/>
      <c r="P228" s="164">
        <f t="shared" ref="P228" si="149">O228+L228+H228</f>
        <v>19416</v>
      </c>
      <c r="Q228" s="302" t="s">
        <v>828</v>
      </c>
    </row>
    <row r="229" spans="1:17" ht="30.75" customHeight="1" x14ac:dyDescent="0.25">
      <c r="A229" s="485"/>
      <c r="B229" s="327" t="s">
        <v>905</v>
      </c>
      <c r="C229" s="167"/>
      <c r="D229" s="486"/>
      <c r="E229" s="486"/>
      <c r="F229" s="486"/>
      <c r="G229" s="520"/>
      <c r="H229" s="164"/>
      <c r="I229" s="167"/>
      <c r="J229" s="167"/>
      <c r="K229" s="168"/>
      <c r="L229" s="165"/>
      <c r="M229" s="167"/>
      <c r="N229" s="168"/>
      <c r="O229" s="169"/>
      <c r="P229" s="164"/>
    </row>
    <row r="230" spans="1:17" x14ac:dyDescent="0.25">
      <c r="A230" s="485"/>
      <c r="B230" s="256"/>
      <c r="C230" s="167"/>
      <c r="D230" s="486"/>
      <c r="E230" s="486"/>
      <c r="F230" s="486"/>
      <c r="G230" s="520"/>
      <c r="H230" s="164">
        <f t="shared" ref="H230" si="150">SUM(C230:G230)</f>
        <v>0</v>
      </c>
      <c r="I230" s="167"/>
      <c r="J230" s="167"/>
      <c r="K230" s="168"/>
      <c r="L230" s="165">
        <f t="shared" ref="L230" si="151">SUM(I230:K230)</f>
        <v>0</v>
      </c>
      <c r="M230" s="167"/>
      <c r="N230" s="168"/>
      <c r="O230" s="169"/>
      <c r="P230" s="164">
        <f t="shared" ref="P230" si="152">O230+L230+H230</f>
        <v>0</v>
      </c>
      <c r="Q230" s="302" t="s">
        <v>828</v>
      </c>
    </row>
    <row r="231" spans="1:17" x14ac:dyDescent="0.25">
      <c r="A231" s="162"/>
      <c r="B231" s="481" t="s">
        <v>241</v>
      </c>
      <c r="C231" s="167"/>
      <c r="D231" s="486"/>
      <c r="E231" s="486"/>
      <c r="F231" s="486"/>
      <c r="G231" s="257"/>
      <c r="H231" s="164"/>
      <c r="I231" s="167"/>
      <c r="J231" s="167"/>
      <c r="K231" s="168"/>
      <c r="L231" s="165"/>
      <c r="M231" s="167"/>
      <c r="N231" s="168"/>
      <c r="O231" s="169"/>
      <c r="P231" s="164"/>
    </row>
    <row r="232" spans="1:17" ht="35.25" customHeight="1" x14ac:dyDescent="0.25">
      <c r="A232" s="162"/>
      <c r="B232" s="524" t="s">
        <v>906</v>
      </c>
      <c r="C232" s="486"/>
      <c r="D232" s="486"/>
      <c r="E232" s="486"/>
      <c r="F232" s="486"/>
      <c r="G232" s="257"/>
      <c r="H232" s="164"/>
      <c r="I232" s="167"/>
      <c r="J232" s="167"/>
      <c r="K232" s="168"/>
      <c r="L232" s="165"/>
      <c r="M232" s="167"/>
      <c r="N232" s="168"/>
      <c r="O232" s="169"/>
      <c r="P232" s="164"/>
    </row>
    <row r="233" spans="1:17" x14ac:dyDescent="0.25">
      <c r="A233" s="328"/>
      <c r="B233" s="163"/>
      <c r="C233" s="486"/>
      <c r="D233" s="486"/>
      <c r="E233" s="486"/>
      <c r="F233" s="486"/>
      <c r="G233" s="257"/>
      <c r="H233" s="164">
        <f t="shared" ref="H233:H234" si="153">SUM(C233:G233)</f>
        <v>0</v>
      </c>
      <c r="I233" s="167"/>
      <c r="J233" s="167"/>
      <c r="K233" s="168"/>
      <c r="L233" s="165">
        <f t="shared" ref="L233:L234" si="154">SUM(I233:K233)</f>
        <v>0</v>
      </c>
      <c r="M233" s="167"/>
      <c r="N233" s="168"/>
      <c r="O233" s="169"/>
      <c r="P233" s="164">
        <f t="shared" ref="P233:P234" si="155">O233+L233+H233</f>
        <v>0</v>
      </c>
      <c r="Q233" s="302" t="s">
        <v>828</v>
      </c>
    </row>
    <row r="234" spans="1:17" x14ac:dyDescent="0.25">
      <c r="A234" s="487"/>
      <c r="B234" s="163"/>
      <c r="C234" s="299"/>
      <c r="D234" s="299"/>
      <c r="E234" s="299"/>
      <c r="F234" s="300"/>
      <c r="G234" s="300"/>
      <c r="H234" s="164">
        <f t="shared" si="153"/>
        <v>0</v>
      </c>
      <c r="I234" s="298"/>
      <c r="J234" s="298"/>
      <c r="K234" s="300"/>
      <c r="L234" s="165">
        <f t="shared" si="154"/>
        <v>0</v>
      </c>
      <c r="M234" s="299"/>
      <c r="N234" s="300"/>
      <c r="O234" s="301">
        <f t="shared" ref="O234" si="156">SUM(M234:N234)</f>
        <v>0</v>
      </c>
      <c r="P234" s="164">
        <f t="shared" si="155"/>
        <v>0</v>
      </c>
      <c r="Q234" s="302" t="s">
        <v>828</v>
      </c>
    </row>
    <row r="235" spans="1:17" ht="47.25" x14ac:dyDescent="0.25">
      <c r="A235" s="485"/>
      <c r="B235" s="327" t="s">
        <v>904</v>
      </c>
      <c r="C235" s="167"/>
      <c r="D235" s="486"/>
      <c r="E235" s="486"/>
      <c r="F235" s="486"/>
      <c r="G235" s="520"/>
      <c r="H235" s="164"/>
      <c r="I235" s="167"/>
      <c r="J235" s="167"/>
      <c r="K235" s="168"/>
      <c r="L235" s="165"/>
      <c r="M235" s="167"/>
      <c r="N235" s="168"/>
      <c r="O235" s="169"/>
      <c r="P235" s="164"/>
    </row>
    <row r="236" spans="1:17" x14ac:dyDescent="0.25">
      <c r="A236" s="485"/>
      <c r="B236" s="256"/>
      <c r="C236" s="167"/>
      <c r="D236" s="486"/>
      <c r="E236" s="486"/>
      <c r="F236" s="486"/>
      <c r="G236" s="520"/>
      <c r="H236" s="164">
        <f t="shared" ref="H236" si="157">SUM(C236:G236)</f>
        <v>0</v>
      </c>
      <c r="I236" s="167"/>
      <c r="J236" s="167"/>
      <c r="K236" s="168"/>
      <c r="L236" s="165">
        <f t="shared" ref="L236" si="158">SUM(I236:K236)</f>
        <v>0</v>
      </c>
      <c r="M236" s="167"/>
      <c r="N236" s="168"/>
      <c r="O236" s="169"/>
      <c r="P236" s="164">
        <f t="shared" ref="P236" si="159">O236+L236+H236</f>
        <v>0</v>
      </c>
      <c r="Q236" s="302" t="s">
        <v>828</v>
      </c>
    </row>
    <row r="237" spans="1:17" ht="35.25" customHeight="1" x14ac:dyDescent="0.25">
      <c r="A237" s="162"/>
      <c r="B237" s="327" t="s">
        <v>905</v>
      </c>
      <c r="C237" s="167"/>
      <c r="D237" s="486"/>
      <c r="E237" s="486"/>
      <c r="F237" s="486"/>
      <c r="G237" s="257"/>
      <c r="H237" s="164"/>
      <c r="I237" s="167"/>
      <c r="J237" s="167"/>
      <c r="K237" s="168"/>
      <c r="L237" s="165"/>
      <c r="M237" s="167"/>
      <c r="N237" s="168"/>
      <c r="O237" s="169"/>
      <c r="P237" s="164"/>
    </row>
    <row r="238" spans="1:17" x14ac:dyDescent="0.25">
      <c r="A238" s="328"/>
      <c r="B238" s="163" t="s">
        <v>1053</v>
      </c>
      <c r="C238" s="486">
        <v>593</v>
      </c>
      <c r="D238" s="486">
        <v>266</v>
      </c>
      <c r="E238" s="486">
        <v>480</v>
      </c>
      <c r="F238" s="486"/>
      <c r="G238" s="257">
        <v>-2139</v>
      </c>
      <c r="H238" s="164">
        <f t="shared" ref="H238:H239" si="160">SUM(C238:G238)</f>
        <v>-800</v>
      </c>
      <c r="I238" s="167"/>
      <c r="J238" s="167"/>
      <c r="K238" s="168">
        <v>800</v>
      </c>
      <c r="L238" s="165">
        <f t="shared" ref="L238:L239" si="161">SUM(I238:K238)</f>
        <v>800</v>
      </c>
      <c r="M238" s="167"/>
      <c r="N238" s="168"/>
      <c r="O238" s="169"/>
      <c r="P238" s="164">
        <f t="shared" ref="P238:P239" si="162">O238+L238+H238</f>
        <v>0</v>
      </c>
      <c r="Q238" s="302" t="s">
        <v>828</v>
      </c>
    </row>
    <row r="239" spans="1:17" ht="31.5" x14ac:dyDescent="0.25">
      <c r="A239" s="328"/>
      <c r="B239" s="163" t="s">
        <v>1052</v>
      </c>
      <c r="C239" s="486"/>
      <c r="D239" s="486"/>
      <c r="E239" s="486"/>
      <c r="F239" s="486"/>
      <c r="G239" s="257">
        <v>-3312</v>
      </c>
      <c r="H239" s="164">
        <f t="shared" si="160"/>
        <v>-3312</v>
      </c>
      <c r="I239" s="167"/>
      <c r="J239" s="167"/>
      <c r="K239" s="168">
        <v>3312</v>
      </c>
      <c r="L239" s="165">
        <f t="shared" si="161"/>
        <v>3312</v>
      </c>
      <c r="M239" s="167"/>
      <c r="N239" s="168"/>
      <c r="O239" s="169"/>
      <c r="P239" s="164">
        <f t="shared" si="162"/>
        <v>0</v>
      </c>
      <c r="Q239" s="302" t="s">
        <v>828</v>
      </c>
    </row>
    <row r="240" spans="1:17" x14ac:dyDescent="0.25">
      <c r="A240" s="162"/>
      <c r="C240" s="167"/>
      <c r="D240" s="486"/>
      <c r="E240" s="486"/>
      <c r="F240" s="486"/>
      <c r="G240" s="257"/>
      <c r="H240" s="164">
        <f t="shared" ref="H240" si="163">SUM(C240:G240)</f>
        <v>0</v>
      </c>
      <c r="I240" s="167"/>
      <c r="J240" s="167"/>
      <c r="K240" s="168"/>
      <c r="L240" s="165">
        <f t="shared" ref="L240" si="164">SUM(I240:K240)</f>
        <v>0</v>
      </c>
      <c r="M240" s="167"/>
      <c r="N240" s="168"/>
      <c r="O240" s="169"/>
      <c r="P240" s="164">
        <f t="shared" ref="P240" si="165">O240+L240+H240</f>
        <v>0</v>
      </c>
      <c r="Q240" s="302" t="s">
        <v>828</v>
      </c>
    </row>
    <row r="241" spans="1:17" x14ac:dyDescent="0.25">
      <c r="A241" s="162" t="s">
        <v>97</v>
      </c>
      <c r="B241" s="481" t="s">
        <v>307</v>
      </c>
      <c r="C241" s="167"/>
      <c r="D241" s="486"/>
      <c r="E241" s="486"/>
      <c r="F241" s="486"/>
      <c r="G241" s="257"/>
      <c r="H241" s="164"/>
      <c r="I241" s="167"/>
      <c r="J241" s="167"/>
      <c r="K241" s="168"/>
      <c r="L241" s="165"/>
      <c r="M241" s="167"/>
      <c r="N241" s="168"/>
      <c r="O241" s="169"/>
      <c r="P241" s="164"/>
    </row>
    <row r="242" spans="1:17" x14ac:dyDescent="0.25">
      <c r="A242" s="162"/>
      <c r="B242" s="481" t="s">
        <v>752</v>
      </c>
      <c r="C242" s="167"/>
      <c r="D242" s="486"/>
      <c r="E242" s="486"/>
      <c r="F242" s="486"/>
      <c r="G242" s="257"/>
      <c r="H242" s="164"/>
      <c r="I242" s="167"/>
      <c r="J242" s="167"/>
      <c r="K242" s="168"/>
      <c r="L242" s="165"/>
      <c r="M242" s="167"/>
      <c r="N242" s="168"/>
      <c r="O242" s="169"/>
      <c r="P242" s="164"/>
    </row>
    <row r="243" spans="1:17" x14ac:dyDescent="0.25">
      <c r="A243" s="162"/>
      <c r="B243" s="135" t="s">
        <v>475</v>
      </c>
      <c r="C243" s="167"/>
      <c r="D243" s="167"/>
      <c r="E243" s="167"/>
      <c r="F243" s="167"/>
      <c r="G243" s="257"/>
      <c r="H243" s="164"/>
      <c r="I243" s="167"/>
      <c r="J243" s="167"/>
      <c r="K243" s="257"/>
      <c r="L243" s="165"/>
      <c r="M243" s="167"/>
      <c r="N243" s="257"/>
      <c r="O243" s="169"/>
      <c r="P243" s="164"/>
    </row>
    <row r="244" spans="1:17" x14ac:dyDescent="0.25">
      <c r="A244" s="162"/>
      <c r="B244" s="327" t="s">
        <v>385</v>
      </c>
      <c r="C244" s="486"/>
      <c r="D244" s="486"/>
      <c r="E244" s="486"/>
      <c r="F244" s="486"/>
      <c r="G244" s="257"/>
      <c r="H244" s="164"/>
      <c r="I244" s="167"/>
      <c r="J244" s="167"/>
      <c r="K244" s="168"/>
      <c r="L244" s="165"/>
      <c r="M244" s="167"/>
      <c r="N244" s="168"/>
      <c r="O244" s="169"/>
      <c r="P244" s="164"/>
    </row>
    <row r="245" spans="1:17" x14ac:dyDescent="0.25">
      <c r="A245" s="328"/>
      <c r="B245" s="560"/>
      <c r="C245" s="486"/>
      <c r="D245" s="486"/>
      <c r="E245" s="486"/>
      <c r="F245" s="486"/>
      <c r="G245" s="257"/>
      <c r="H245" s="165">
        <f t="shared" ref="H245" si="166">SUM(C245:G245)</f>
        <v>0</v>
      </c>
      <c r="I245" s="167"/>
      <c r="J245" s="167"/>
      <c r="K245" s="168"/>
      <c r="L245" s="165">
        <f t="shared" ref="L245" si="167">SUM(I245:K245)</f>
        <v>0</v>
      </c>
      <c r="M245" s="167"/>
      <c r="N245" s="168"/>
      <c r="O245" s="169"/>
      <c r="P245" s="165">
        <f t="shared" ref="P245" si="168">O245+L245+H245</f>
        <v>0</v>
      </c>
      <c r="Q245" s="302" t="s">
        <v>828</v>
      </c>
    </row>
    <row r="246" spans="1:17" x14ac:dyDescent="0.25">
      <c r="A246" s="328"/>
      <c r="B246" s="163"/>
      <c r="C246" s="167"/>
      <c r="D246" s="486"/>
      <c r="E246" s="486"/>
      <c r="F246" s="486"/>
      <c r="G246" s="257"/>
      <c r="H246" s="165"/>
      <c r="I246" s="167"/>
      <c r="J246" s="167"/>
      <c r="K246" s="168"/>
      <c r="L246" s="165"/>
      <c r="M246" s="167"/>
      <c r="N246" s="168"/>
      <c r="O246" s="169"/>
      <c r="P246" s="165"/>
    </row>
    <row r="247" spans="1:17" x14ac:dyDescent="0.25">
      <c r="A247" s="162"/>
      <c r="B247" s="481" t="s">
        <v>755</v>
      </c>
      <c r="C247" s="167"/>
      <c r="D247" s="486"/>
      <c r="E247" s="486"/>
      <c r="F247" s="486"/>
      <c r="G247" s="257"/>
      <c r="H247" s="164"/>
      <c r="I247" s="167"/>
      <c r="J247" s="167"/>
      <c r="K247" s="168"/>
      <c r="L247" s="165"/>
      <c r="M247" s="167"/>
      <c r="N247" s="168"/>
      <c r="O247" s="169"/>
      <c r="P247" s="164"/>
    </row>
    <row r="248" spans="1:17" ht="35.25" customHeight="1" x14ac:dyDescent="0.25">
      <c r="A248" s="162"/>
      <c r="B248" s="524" t="s">
        <v>1038</v>
      </c>
      <c r="C248" s="486"/>
      <c r="D248" s="486"/>
      <c r="E248" s="486"/>
      <c r="F248" s="486"/>
      <c r="G248" s="257"/>
      <c r="H248" s="165"/>
      <c r="I248" s="167"/>
      <c r="J248" s="167"/>
      <c r="K248" s="168"/>
      <c r="L248" s="165"/>
      <c r="M248" s="167"/>
      <c r="N248" s="168"/>
      <c r="O248" s="169"/>
      <c r="P248" s="165"/>
    </row>
    <row r="249" spans="1:17" x14ac:dyDescent="0.25">
      <c r="A249" s="162"/>
      <c r="B249" s="256" t="s">
        <v>1054</v>
      </c>
      <c r="C249" s="167"/>
      <c r="D249" s="486"/>
      <c r="E249" s="486"/>
      <c r="F249" s="486"/>
      <c r="G249" s="257">
        <v>1</v>
      </c>
      <c r="H249" s="164">
        <f t="shared" ref="H249" si="169">SUM(C249:G249)</f>
        <v>1</v>
      </c>
      <c r="I249" s="167"/>
      <c r="J249" s="167"/>
      <c r="K249" s="168"/>
      <c r="L249" s="165">
        <f t="shared" ref="L249" si="170">SUM(I249:K249)</f>
        <v>0</v>
      </c>
      <c r="M249" s="167"/>
      <c r="N249" s="168"/>
      <c r="O249" s="169"/>
      <c r="P249" s="164">
        <f t="shared" ref="P249" si="171">O249+L249+H249</f>
        <v>1</v>
      </c>
      <c r="Q249" s="302" t="s">
        <v>828</v>
      </c>
    </row>
    <row r="250" spans="1:17" x14ac:dyDescent="0.25">
      <c r="A250" s="328"/>
      <c r="B250" s="163"/>
      <c r="C250" s="486"/>
      <c r="D250" s="486"/>
      <c r="E250" s="486"/>
      <c r="F250" s="486"/>
      <c r="G250" s="257"/>
      <c r="H250" s="165">
        <f t="shared" ref="H250" si="172">SUM(C250:G250)</f>
        <v>0</v>
      </c>
      <c r="I250" s="167"/>
      <c r="J250" s="167"/>
      <c r="K250" s="168"/>
      <c r="L250" s="165">
        <f t="shared" ref="L250" si="173">SUM(I250:K250)</f>
        <v>0</v>
      </c>
      <c r="M250" s="167"/>
      <c r="N250" s="168"/>
      <c r="O250" s="169"/>
      <c r="P250" s="165">
        <f t="shared" ref="P250" si="174">O250+L250+H250</f>
        <v>0</v>
      </c>
      <c r="Q250" s="302" t="s">
        <v>828</v>
      </c>
    </row>
    <row r="251" spans="1:17" x14ac:dyDescent="0.25">
      <c r="A251" s="162"/>
      <c r="B251" s="521" t="s">
        <v>68</v>
      </c>
      <c r="C251" s="167"/>
      <c r="D251" s="486"/>
      <c r="E251" s="486"/>
      <c r="F251" s="486"/>
      <c r="G251" s="257"/>
      <c r="H251" s="164"/>
      <c r="I251" s="167"/>
      <c r="J251" s="167"/>
      <c r="K251" s="168"/>
      <c r="L251" s="165"/>
      <c r="M251" s="167"/>
      <c r="N251" s="168"/>
      <c r="O251" s="169"/>
      <c r="P251" s="164"/>
    </row>
    <row r="252" spans="1:17" ht="30.75" customHeight="1" x14ac:dyDescent="0.25">
      <c r="A252" s="162"/>
      <c r="B252" s="327" t="s">
        <v>905</v>
      </c>
      <c r="C252" s="486"/>
      <c r="D252" s="486"/>
      <c r="E252" s="486"/>
      <c r="F252" s="486"/>
      <c r="G252" s="257"/>
      <c r="H252" s="164"/>
      <c r="I252" s="167"/>
      <c r="J252" s="167"/>
      <c r="K252" s="168"/>
      <c r="L252" s="165"/>
      <c r="M252" s="167"/>
      <c r="N252" s="168"/>
      <c r="O252" s="169"/>
      <c r="P252" s="164"/>
    </row>
    <row r="253" spans="1:17" x14ac:dyDescent="0.25">
      <c r="A253" s="328"/>
      <c r="B253" s="163" t="s">
        <v>1056</v>
      </c>
      <c r="C253" s="486"/>
      <c r="D253" s="486"/>
      <c r="E253" s="486"/>
      <c r="F253" s="486"/>
      <c r="G253" s="257">
        <v>-645</v>
      </c>
      <c r="H253" s="164">
        <f t="shared" ref="H253" si="175">SUM(C253:G253)</f>
        <v>-645</v>
      </c>
      <c r="I253" s="167"/>
      <c r="J253" s="167"/>
      <c r="K253" s="168">
        <v>645</v>
      </c>
      <c r="L253" s="165">
        <f t="shared" ref="L253" si="176">SUM(I253:K253)</f>
        <v>645</v>
      </c>
      <c r="M253" s="167"/>
      <c r="N253" s="168"/>
      <c r="O253" s="169"/>
      <c r="P253" s="164">
        <f t="shared" ref="P253" si="177">O253+L253+H253</f>
        <v>0</v>
      </c>
      <c r="Q253" s="302" t="s">
        <v>828</v>
      </c>
    </row>
    <row r="254" spans="1:17" x14ac:dyDescent="0.25">
      <c r="A254" s="328"/>
      <c r="B254" s="163"/>
      <c r="C254" s="167"/>
      <c r="D254" s="486"/>
      <c r="E254" s="486"/>
      <c r="F254" s="486"/>
      <c r="G254" s="257"/>
      <c r="H254" s="164"/>
      <c r="I254" s="167"/>
      <c r="J254" s="167"/>
      <c r="K254" s="168"/>
      <c r="L254" s="165"/>
      <c r="M254" s="167"/>
      <c r="N254" s="168"/>
      <c r="O254" s="169"/>
      <c r="P254" s="164"/>
    </row>
    <row r="255" spans="1:17" x14ac:dyDescent="0.25">
      <c r="A255" s="162"/>
      <c r="B255" s="481" t="s">
        <v>98</v>
      </c>
      <c r="C255" s="167"/>
      <c r="D255" s="486"/>
      <c r="E255" s="486"/>
      <c r="F255" s="486"/>
      <c r="G255" s="257"/>
      <c r="H255" s="164"/>
      <c r="I255" s="167"/>
      <c r="J255" s="167"/>
      <c r="K255" s="168"/>
      <c r="L255" s="165"/>
      <c r="M255" s="167"/>
      <c r="N255" s="168"/>
      <c r="O255" s="169"/>
      <c r="P255" s="164"/>
    </row>
    <row r="256" spans="1:17" ht="33.75" customHeight="1" x14ac:dyDescent="0.25">
      <c r="A256" s="162"/>
      <c r="B256" s="876" t="s">
        <v>905</v>
      </c>
      <c r="C256" s="167"/>
      <c r="D256" s="486"/>
      <c r="E256" s="486"/>
      <c r="F256" s="486"/>
      <c r="G256" s="257"/>
      <c r="H256" s="164"/>
      <c r="I256" s="167"/>
      <c r="J256" s="167"/>
      <c r="K256" s="168"/>
      <c r="L256" s="165"/>
      <c r="M256" s="167"/>
      <c r="N256" s="168"/>
      <c r="O256" s="169"/>
      <c r="P256" s="164"/>
    </row>
    <row r="257" spans="1:17" x14ac:dyDescent="0.25">
      <c r="A257" s="162"/>
      <c r="B257" s="256" t="s">
        <v>1055</v>
      </c>
      <c r="C257" s="167">
        <v>1052</v>
      </c>
      <c r="D257" s="486">
        <v>88</v>
      </c>
      <c r="E257" s="486">
        <v>1568</v>
      </c>
      <c r="F257" s="486"/>
      <c r="G257" s="257">
        <v>-3158</v>
      </c>
      <c r="H257" s="164">
        <f t="shared" ref="H257:H271" si="178">SUM(C257:G257)</f>
        <v>-450</v>
      </c>
      <c r="I257" s="167"/>
      <c r="J257" s="167"/>
      <c r="K257" s="168">
        <v>450</v>
      </c>
      <c r="L257" s="165">
        <f t="shared" ref="L257:L271" si="179">SUM(I257:K257)</f>
        <v>450</v>
      </c>
      <c r="M257" s="167"/>
      <c r="N257" s="168"/>
      <c r="O257" s="169"/>
      <c r="P257" s="164">
        <f t="shared" ref="P257:P271" si="180">O257+L257+H257</f>
        <v>0</v>
      </c>
      <c r="Q257" s="302" t="s">
        <v>828</v>
      </c>
    </row>
    <row r="258" spans="1:17" x14ac:dyDescent="0.25">
      <c r="A258" s="162"/>
      <c r="B258" s="327" t="s">
        <v>385</v>
      </c>
      <c r="C258" s="167"/>
      <c r="D258" s="486"/>
      <c r="E258" s="486"/>
      <c r="F258" s="486"/>
      <c r="G258" s="257"/>
      <c r="H258" s="164"/>
      <c r="I258" s="167"/>
      <c r="J258" s="167"/>
      <c r="K258" s="168"/>
      <c r="L258" s="165"/>
      <c r="M258" s="167"/>
      <c r="N258" s="168"/>
      <c r="O258" s="169"/>
      <c r="P258" s="164"/>
    </row>
    <row r="259" spans="1:17" x14ac:dyDescent="0.25">
      <c r="A259" s="162"/>
      <c r="B259" s="256"/>
      <c r="C259" s="167"/>
      <c r="D259" s="486"/>
      <c r="E259" s="486"/>
      <c r="F259" s="486"/>
      <c r="G259" s="257"/>
      <c r="H259" s="164">
        <f t="shared" ref="H259" si="181">SUM(C259:G259)</f>
        <v>0</v>
      </c>
      <c r="I259" s="167"/>
      <c r="J259" s="167"/>
      <c r="K259" s="168"/>
      <c r="L259" s="165">
        <f t="shared" ref="L259" si="182">SUM(I259:K259)</f>
        <v>0</v>
      </c>
      <c r="M259" s="167"/>
      <c r="N259" s="168"/>
      <c r="O259" s="169"/>
      <c r="P259" s="164">
        <f t="shared" ref="P259" si="183">O259+L259+H259</f>
        <v>0</v>
      </c>
      <c r="Q259" s="302" t="s">
        <v>828</v>
      </c>
    </row>
    <row r="260" spans="1:17" x14ac:dyDescent="0.25">
      <c r="A260" s="162"/>
      <c r="B260" s="256"/>
      <c r="C260" s="167"/>
      <c r="D260" s="486"/>
      <c r="E260" s="486"/>
      <c r="F260" s="486"/>
      <c r="G260" s="257"/>
      <c r="H260" s="164">
        <f t="shared" ref="H260" si="184">SUM(C260:G260)</f>
        <v>0</v>
      </c>
      <c r="I260" s="167"/>
      <c r="J260" s="167"/>
      <c r="K260" s="168"/>
      <c r="L260" s="165">
        <f t="shared" ref="L260" si="185">SUM(I260:K260)</f>
        <v>0</v>
      </c>
      <c r="M260" s="167"/>
      <c r="N260" s="168"/>
      <c r="O260" s="169"/>
      <c r="P260" s="164">
        <f t="shared" ref="P260" si="186">O260+L260+H260</f>
        <v>0</v>
      </c>
      <c r="Q260" s="302" t="s">
        <v>828</v>
      </c>
    </row>
    <row r="261" spans="1:17" x14ac:dyDescent="0.25">
      <c r="A261" s="162"/>
      <c r="B261" s="481" t="s">
        <v>113</v>
      </c>
      <c r="C261" s="167"/>
      <c r="D261" s="486"/>
      <c r="E261" s="486"/>
      <c r="F261" s="486"/>
      <c r="G261" s="257"/>
      <c r="H261" s="164"/>
      <c r="I261" s="167"/>
      <c r="J261" s="167"/>
      <c r="K261" s="168"/>
      <c r="L261" s="165"/>
      <c r="M261" s="167"/>
      <c r="N261" s="168"/>
      <c r="O261" s="169"/>
      <c r="P261" s="164"/>
    </row>
    <row r="262" spans="1:17" x14ac:dyDescent="0.25">
      <c r="A262" s="485"/>
      <c r="B262" s="327" t="s">
        <v>905</v>
      </c>
      <c r="C262" s="167"/>
      <c r="D262" s="486"/>
      <c r="E262" s="486"/>
      <c r="F262" s="486"/>
      <c r="G262" s="520"/>
      <c r="H262" s="164">
        <f t="shared" ref="H262" si="187">SUM(C262:G262)</f>
        <v>0</v>
      </c>
      <c r="I262" s="167"/>
      <c r="J262" s="167"/>
      <c r="K262" s="168"/>
      <c r="L262" s="165">
        <f t="shared" ref="L262" si="188">SUM(I262:K262)</f>
        <v>0</v>
      </c>
      <c r="M262" s="167"/>
      <c r="N262" s="168"/>
      <c r="O262" s="169"/>
      <c r="P262" s="164">
        <f t="shared" ref="P262" si="189">O262+L262+H262</f>
        <v>0</v>
      </c>
    </row>
    <row r="263" spans="1:17" x14ac:dyDescent="0.25">
      <c r="A263" s="162"/>
      <c r="B263" s="163" t="s">
        <v>942</v>
      </c>
      <c r="C263" s="167"/>
      <c r="D263" s="167"/>
      <c r="E263" s="167"/>
      <c r="F263" s="167"/>
      <c r="G263" s="257">
        <v>-8338</v>
      </c>
      <c r="H263" s="165">
        <f>SUM(C263:G263)</f>
        <v>-8338</v>
      </c>
      <c r="I263" s="167">
        <v>8338</v>
      </c>
      <c r="J263" s="167"/>
      <c r="K263" s="257"/>
      <c r="L263" s="165">
        <f>SUM(I263:K263)</f>
        <v>8338</v>
      </c>
      <c r="M263" s="167"/>
      <c r="N263" s="257"/>
      <c r="O263" s="169"/>
      <c r="P263" s="165">
        <f>O263+L263+H263</f>
        <v>0</v>
      </c>
      <c r="Q263" s="302" t="s">
        <v>827</v>
      </c>
    </row>
    <row r="264" spans="1:17" x14ac:dyDescent="0.25">
      <c r="A264" s="162"/>
      <c r="B264" s="163"/>
      <c r="C264" s="167"/>
      <c r="D264" s="167"/>
      <c r="E264" s="167"/>
      <c r="F264" s="167"/>
      <c r="G264" s="257"/>
      <c r="H264" s="164"/>
      <c r="I264" s="167"/>
      <c r="J264" s="167"/>
      <c r="K264" s="257"/>
      <c r="L264" s="165"/>
      <c r="M264" s="167"/>
      <c r="N264" s="257"/>
      <c r="O264" s="169"/>
      <c r="P264" s="164"/>
    </row>
    <row r="265" spans="1:17" x14ac:dyDescent="0.25">
      <c r="A265" s="162"/>
      <c r="B265" s="135" t="s">
        <v>475</v>
      </c>
      <c r="C265" s="167"/>
      <c r="D265" s="167"/>
      <c r="E265" s="167"/>
      <c r="F265" s="167"/>
      <c r="G265" s="257"/>
      <c r="H265" s="164"/>
      <c r="I265" s="167"/>
      <c r="J265" s="167"/>
      <c r="K265" s="257"/>
      <c r="L265" s="165"/>
      <c r="M265" s="167"/>
      <c r="N265" s="257"/>
      <c r="O265" s="169"/>
      <c r="P265" s="164"/>
    </row>
    <row r="266" spans="1:17" x14ac:dyDescent="0.25">
      <c r="A266" s="162"/>
      <c r="B266" s="163" t="s">
        <v>1101</v>
      </c>
      <c r="C266" s="167"/>
      <c r="D266" s="167"/>
      <c r="E266" s="167"/>
      <c r="F266" s="167"/>
      <c r="G266" s="257"/>
      <c r="H266" s="165">
        <f>SUM(C266:G266)</f>
        <v>0</v>
      </c>
      <c r="I266" s="167">
        <v>1094</v>
      </c>
      <c r="J266" s="167"/>
      <c r="K266" s="257"/>
      <c r="L266" s="165">
        <f>SUM(I266:K266)</f>
        <v>1094</v>
      </c>
      <c r="M266" s="167"/>
      <c r="N266" s="257"/>
      <c r="O266" s="169"/>
      <c r="P266" s="165">
        <f>O266+L266+H266</f>
        <v>1094</v>
      </c>
      <c r="Q266" s="302" t="s">
        <v>827</v>
      </c>
    </row>
    <row r="267" spans="1:17" x14ac:dyDescent="0.25">
      <c r="A267" s="162"/>
      <c r="B267" s="256" t="s">
        <v>1100</v>
      </c>
      <c r="C267" s="167"/>
      <c r="D267" s="486"/>
      <c r="E267" s="486"/>
      <c r="F267" s="486"/>
      <c r="G267" s="257"/>
      <c r="H267" s="164">
        <f t="shared" ref="H267:H270" si="190">SUM(C267:G267)</f>
        <v>0</v>
      </c>
      <c r="I267" s="167">
        <v>3</v>
      </c>
      <c r="J267" s="167"/>
      <c r="K267" s="168"/>
      <c r="L267" s="165">
        <f t="shared" ref="L267:L270" si="191">SUM(I267:K267)</f>
        <v>3</v>
      </c>
      <c r="M267" s="167"/>
      <c r="N267" s="168"/>
      <c r="O267" s="169"/>
      <c r="P267" s="164">
        <f t="shared" ref="P267:P270" si="192">O267+L267+H267</f>
        <v>3</v>
      </c>
      <c r="Q267" s="302" t="s">
        <v>827</v>
      </c>
    </row>
    <row r="268" spans="1:17" x14ac:dyDescent="0.25">
      <c r="A268" s="162"/>
      <c r="B268" s="256" t="s">
        <v>1195</v>
      </c>
      <c r="C268" s="167"/>
      <c r="D268" s="486"/>
      <c r="E268" s="486"/>
      <c r="F268" s="486"/>
      <c r="G268" s="257"/>
      <c r="H268" s="164">
        <f t="shared" si="190"/>
        <v>0</v>
      </c>
      <c r="I268" s="167">
        <v>1151</v>
      </c>
      <c r="J268" s="167"/>
      <c r="K268" s="168"/>
      <c r="L268" s="165">
        <f t="shared" si="191"/>
        <v>1151</v>
      </c>
      <c r="M268" s="167"/>
      <c r="N268" s="168"/>
      <c r="O268" s="169"/>
      <c r="P268" s="164">
        <f t="shared" si="192"/>
        <v>1151</v>
      </c>
      <c r="Q268" s="302" t="s">
        <v>827</v>
      </c>
    </row>
    <row r="269" spans="1:17" x14ac:dyDescent="0.25">
      <c r="A269" s="162"/>
      <c r="B269" s="256"/>
      <c r="C269" s="167"/>
      <c r="D269" s="486"/>
      <c r="E269" s="486"/>
      <c r="F269" s="486"/>
      <c r="G269" s="257"/>
      <c r="H269" s="164"/>
      <c r="I269" s="167"/>
      <c r="J269" s="167"/>
      <c r="K269" s="168"/>
      <c r="L269" s="165"/>
      <c r="M269" s="167"/>
      <c r="N269" s="168"/>
      <c r="O269" s="169"/>
      <c r="P269" s="164"/>
    </row>
    <row r="270" spans="1:17" ht="31.5" x14ac:dyDescent="0.25">
      <c r="A270" s="485"/>
      <c r="B270" s="327" t="s">
        <v>1277</v>
      </c>
      <c r="C270" s="167"/>
      <c r="D270" s="486"/>
      <c r="E270" s="486"/>
      <c r="F270" s="486"/>
      <c r="G270" s="520"/>
      <c r="H270" s="164">
        <f t="shared" si="190"/>
        <v>0</v>
      </c>
      <c r="I270" s="167"/>
      <c r="J270" s="167"/>
      <c r="K270" s="168"/>
      <c r="L270" s="165">
        <f t="shared" si="191"/>
        <v>0</v>
      </c>
      <c r="M270" s="167"/>
      <c r="N270" s="168"/>
      <c r="O270" s="169"/>
      <c r="P270" s="164">
        <f t="shared" si="192"/>
        <v>0</v>
      </c>
    </row>
    <row r="271" spans="1:17" x14ac:dyDescent="0.25">
      <c r="A271" s="162"/>
      <c r="B271" s="256" t="s">
        <v>1276</v>
      </c>
      <c r="C271" s="167"/>
      <c r="D271" s="486"/>
      <c r="E271" s="486"/>
      <c r="F271" s="486"/>
      <c r="G271" s="257"/>
      <c r="H271" s="164">
        <f t="shared" si="178"/>
        <v>0</v>
      </c>
      <c r="I271" s="167">
        <v>52</v>
      </c>
      <c r="J271" s="167"/>
      <c r="K271" s="168"/>
      <c r="L271" s="165">
        <f t="shared" si="179"/>
        <v>52</v>
      </c>
      <c r="M271" s="167"/>
      <c r="N271" s="168"/>
      <c r="O271" s="169"/>
      <c r="P271" s="164">
        <f t="shared" si="180"/>
        <v>52</v>
      </c>
      <c r="Q271" s="302" t="s">
        <v>827</v>
      </c>
    </row>
    <row r="272" spans="1:17" x14ac:dyDescent="0.25">
      <c r="A272" s="162"/>
      <c r="B272" s="256"/>
      <c r="C272" s="167"/>
      <c r="D272" s="486"/>
      <c r="E272" s="486"/>
      <c r="F272" s="486"/>
      <c r="G272" s="257"/>
      <c r="H272" s="164"/>
      <c r="I272" s="167"/>
      <c r="J272" s="167"/>
      <c r="K272" s="168"/>
      <c r="L272" s="165"/>
      <c r="M272" s="167"/>
      <c r="N272" s="168"/>
      <c r="O272" s="169"/>
      <c r="P272" s="164"/>
    </row>
    <row r="273" spans="1:17" x14ac:dyDescent="0.25">
      <c r="A273" s="162"/>
      <c r="B273" s="481" t="s">
        <v>99</v>
      </c>
      <c r="C273" s="167"/>
      <c r="D273" s="486"/>
      <c r="E273" s="486"/>
      <c r="F273" s="486"/>
      <c r="G273" s="257"/>
      <c r="H273" s="164"/>
      <c r="I273" s="167"/>
      <c r="J273" s="167"/>
      <c r="K273" s="168"/>
      <c r="L273" s="165"/>
      <c r="M273" s="167"/>
      <c r="N273" s="168"/>
      <c r="O273" s="169"/>
      <c r="P273" s="164"/>
    </row>
    <row r="274" spans="1:17" ht="33.75" customHeight="1" x14ac:dyDescent="0.25">
      <c r="A274" s="162"/>
      <c r="B274" s="876" t="s">
        <v>905</v>
      </c>
      <c r="C274" s="167"/>
      <c r="D274" s="486"/>
      <c r="E274" s="486"/>
      <c r="F274" s="486"/>
      <c r="G274" s="257"/>
      <c r="H274" s="164"/>
      <c r="I274" s="167"/>
      <c r="J274" s="167"/>
      <c r="K274" s="168"/>
      <c r="L274" s="165"/>
      <c r="M274" s="167"/>
      <c r="N274" s="168"/>
      <c r="O274" s="169"/>
      <c r="P274" s="164"/>
    </row>
    <row r="275" spans="1:17" x14ac:dyDescent="0.25">
      <c r="A275" s="162"/>
      <c r="B275" s="256" t="s">
        <v>1057</v>
      </c>
      <c r="C275" s="167">
        <v>250</v>
      </c>
      <c r="D275" s="486">
        <v>49</v>
      </c>
      <c r="E275" s="486"/>
      <c r="F275" s="486"/>
      <c r="G275" s="257">
        <v>-299</v>
      </c>
      <c r="H275" s="164">
        <f t="shared" ref="H275" si="193">SUM(C275:G275)</f>
        <v>0</v>
      </c>
      <c r="I275" s="167"/>
      <c r="J275" s="167"/>
      <c r="K275" s="168"/>
      <c r="L275" s="165">
        <f t="shared" ref="L275" si="194">SUM(I275:K275)</f>
        <v>0</v>
      </c>
      <c r="M275" s="167"/>
      <c r="N275" s="168"/>
      <c r="O275" s="169"/>
      <c r="P275" s="164">
        <f t="shared" ref="P275" si="195">O275+L275+H275</f>
        <v>0</v>
      </c>
      <c r="Q275" s="302" t="s">
        <v>828</v>
      </c>
    </row>
    <row r="276" spans="1:17" ht="47.25" x14ac:dyDescent="0.25">
      <c r="A276" s="485"/>
      <c r="B276" s="327" t="s">
        <v>904</v>
      </c>
      <c r="C276" s="167"/>
      <c r="D276" s="486"/>
      <c r="E276" s="486"/>
      <c r="F276" s="486"/>
      <c r="G276" s="520"/>
      <c r="H276" s="164">
        <f t="shared" ref="H276" si="196">SUM(C276:G276)</f>
        <v>0</v>
      </c>
      <c r="I276" s="167"/>
      <c r="J276" s="167"/>
      <c r="K276" s="168"/>
      <c r="L276" s="165">
        <f t="shared" ref="L276" si="197">SUM(I276:K276)</f>
        <v>0</v>
      </c>
      <c r="M276" s="167"/>
      <c r="N276" s="168"/>
      <c r="O276" s="169"/>
      <c r="P276" s="164">
        <f t="shared" ref="P276" si="198">O276+L276+H276</f>
        <v>0</v>
      </c>
    </row>
    <row r="277" spans="1:17" x14ac:dyDescent="0.25">
      <c r="A277" s="162"/>
      <c r="B277" s="327" t="s">
        <v>385</v>
      </c>
      <c r="C277" s="486"/>
      <c r="D277" s="486"/>
      <c r="E277" s="486"/>
      <c r="F277" s="486"/>
      <c r="G277" s="257"/>
      <c r="H277" s="164"/>
      <c r="I277" s="167"/>
      <c r="J277" s="167"/>
      <c r="K277" s="168"/>
      <c r="L277" s="165"/>
      <c r="M277" s="167"/>
      <c r="N277" s="168"/>
      <c r="O277" s="169"/>
      <c r="P277" s="164"/>
    </row>
    <row r="278" spans="1:17" ht="78.75" x14ac:dyDescent="0.25">
      <c r="A278" s="162"/>
      <c r="B278" s="256" t="s">
        <v>1269</v>
      </c>
      <c r="C278" s="486"/>
      <c r="D278" s="486"/>
      <c r="E278" s="486"/>
      <c r="F278" s="486"/>
      <c r="G278" s="257">
        <v>-150</v>
      </c>
      <c r="H278" s="164">
        <f t="shared" ref="H278:H280" si="199">SUM(C278:G278)</f>
        <v>-150</v>
      </c>
      <c r="I278" s="167"/>
      <c r="J278" s="167"/>
      <c r="K278" s="168"/>
      <c r="L278" s="165">
        <f t="shared" ref="L278:L280" si="200">SUM(I278:K278)</f>
        <v>0</v>
      </c>
      <c r="M278" s="167"/>
      <c r="N278" s="168"/>
      <c r="O278" s="169"/>
      <c r="P278" s="164">
        <f t="shared" ref="P278:P280" si="201">O278+L278+H278</f>
        <v>-150</v>
      </c>
      <c r="Q278" s="302" t="s">
        <v>828</v>
      </c>
    </row>
    <row r="279" spans="1:17" ht="63" x14ac:dyDescent="0.25">
      <c r="A279" s="162"/>
      <c r="B279" s="256" t="s">
        <v>1270</v>
      </c>
      <c r="C279" s="486"/>
      <c r="D279" s="486"/>
      <c r="E279" s="486"/>
      <c r="F279" s="486"/>
      <c r="G279" s="257">
        <v>-60</v>
      </c>
      <c r="H279" s="164">
        <f t="shared" si="199"/>
        <v>-60</v>
      </c>
      <c r="I279" s="167"/>
      <c r="J279" s="167"/>
      <c r="K279" s="168"/>
      <c r="L279" s="165">
        <f t="shared" si="200"/>
        <v>0</v>
      </c>
      <c r="M279" s="167"/>
      <c r="N279" s="168"/>
      <c r="O279" s="169"/>
      <c r="P279" s="164">
        <f t="shared" si="201"/>
        <v>-60</v>
      </c>
      <c r="Q279" s="302" t="s">
        <v>828</v>
      </c>
    </row>
    <row r="280" spans="1:17" ht="78.75" x14ac:dyDescent="0.25">
      <c r="A280" s="162"/>
      <c r="B280" s="256" t="s">
        <v>1271</v>
      </c>
      <c r="C280" s="486"/>
      <c r="D280" s="486"/>
      <c r="E280" s="486"/>
      <c r="F280" s="486"/>
      <c r="G280" s="257">
        <v>-50</v>
      </c>
      <c r="H280" s="164">
        <f t="shared" si="199"/>
        <v>-50</v>
      </c>
      <c r="I280" s="167"/>
      <c r="J280" s="167"/>
      <c r="K280" s="168"/>
      <c r="L280" s="165">
        <f t="shared" si="200"/>
        <v>0</v>
      </c>
      <c r="M280" s="167"/>
      <c r="N280" s="168"/>
      <c r="O280" s="169"/>
      <c r="P280" s="164">
        <f t="shared" si="201"/>
        <v>-50</v>
      </c>
      <c r="Q280" s="302" t="s">
        <v>828</v>
      </c>
    </row>
    <row r="281" spans="1:17" ht="78.75" x14ac:dyDescent="0.25">
      <c r="A281" s="162"/>
      <c r="B281" s="256" t="s">
        <v>1272</v>
      </c>
      <c r="C281" s="486"/>
      <c r="D281" s="486"/>
      <c r="E281" s="486"/>
      <c r="F281" s="486"/>
      <c r="G281" s="257">
        <v>-75</v>
      </c>
      <c r="H281" s="164">
        <f t="shared" ref="H281" si="202">SUM(C281:G281)</f>
        <v>-75</v>
      </c>
      <c r="I281" s="167"/>
      <c r="J281" s="167"/>
      <c r="K281" s="168"/>
      <c r="L281" s="165">
        <f t="shared" ref="L281" si="203">SUM(I281:K281)</f>
        <v>0</v>
      </c>
      <c r="M281" s="167"/>
      <c r="N281" s="168"/>
      <c r="O281" s="169"/>
      <c r="P281" s="164">
        <f t="shared" ref="P281" si="204">O281+L281+H281</f>
        <v>-75</v>
      </c>
      <c r="Q281" s="302" t="s">
        <v>828</v>
      </c>
    </row>
    <row r="282" spans="1:17" ht="63" x14ac:dyDescent="0.25">
      <c r="A282" s="162"/>
      <c r="B282" s="256" t="s">
        <v>1273</v>
      </c>
      <c r="C282" s="486"/>
      <c r="D282" s="486"/>
      <c r="E282" s="486"/>
      <c r="F282" s="486"/>
      <c r="G282" s="257">
        <v>-150</v>
      </c>
      <c r="H282" s="164">
        <f t="shared" ref="H282" si="205">SUM(C282:G282)</f>
        <v>-150</v>
      </c>
      <c r="I282" s="167"/>
      <c r="J282" s="167"/>
      <c r="K282" s="168"/>
      <c r="L282" s="165">
        <f t="shared" ref="L282" si="206">SUM(I282:K282)</f>
        <v>0</v>
      </c>
      <c r="M282" s="167"/>
      <c r="N282" s="168"/>
      <c r="O282" s="169"/>
      <c r="P282" s="164">
        <f t="shared" ref="P282" si="207">O282+L282+H282</f>
        <v>-150</v>
      </c>
      <c r="Q282" s="302" t="s">
        <v>828</v>
      </c>
    </row>
    <row r="283" spans="1:17" x14ac:dyDescent="0.25">
      <c r="A283" s="162"/>
      <c r="B283" s="256"/>
      <c r="C283" s="486"/>
      <c r="D283" s="486"/>
      <c r="E283" s="486"/>
      <c r="F283" s="486"/>
      <c r="G283" s="257"/>
      <c r="H283" s="164">
        <f t="shared" ref="H283" si="208">SUM(C283:G283)</f>
        <v>0</v>
      </c>
      <c r="I283" s="167"/>
      <c r="J283" s="167"/>
      <c r="K283" s="168"/>
      <c r="L283" s="165">
        <f t="shared" ref="L283" si="209">SUM(I283:K283)</f>
        <v>0</v>
      </c>
      <c r="M283" s="167"/>
      <c r="N283" s="168"/>
      <c r="O283" s="169"/>
      <c r="P283" s="164">
        <f t="shared" ref="P283" si="210">O283+L283+H283</f>
        <v>0</v>
      </c>
      <c r="Q283" s="302" t="s">
        <v>828</v>
      </c>
    </row>
    <row r="284" spans="1:17" ht="16.5" thickBot="1" x14ac:dyDescent="0.3">
      <c r="A284" s="162"/>
      <c r="B284" s="256"/>
      <c r="C284" s="167"/>
      <c r="D284" s="486"/>
      <c r="E284" s="486"/>
      <c r="F284" s="486"/>
      <c r="G284" s="257"/>
      <c r="H284" s="164"/>
      <c r="I284" s="167"/>
      <c r="J284" s="167"/>
      <c r="K284" s="168"/>
      <c r="L284" s="165"/>
      <c r="M284" s="167"/>
      <c r="N284" s="168"/>
      <c r="O284" s="169"/>
      <c r="P284" s="164"/>
    </row>
    <row r="285" spans="1:17" ht="16.5" thickBot="1" x14ac:dyDescent="0.3">
      <c r="A285" s="482" t="s">
        <v>43</v>
      </c>
      <c r="B285" s="483" t="s">
        <v>44</v>
      </c>
      <c r="C285" s="484">
        <f t="shared" ref="C285:P285" si="211">SUM(C11:C284)</f>
        <v>388495</v>
      </c>
      <c r="D285" s="484">
        <f t="shared" si="211"/>
        <v>95129</v>
      </c>
      <c r="E285" s="484">
        <f t="shared" si="211"/>
        <v>5791542</v>
      </c>
      <c r="F285" s="484">
        <f t="shared" si="211"/>
        <v>223720</v>
      </c>
      <c r="G285" s="484">
        <f t="shared" si="211"/>
        <v>14476373</v>
      </c>
      <c r="H285" s="484">
        <f t="shared" si="211"/>
        <v>20975259</v>
      </c>
      <c r="I285" s="484">
        <f t="shared" si="211"/>
        <v>29946298</v>
      </c>
      <c r="J285" s="484">
        <f t="shared" si="211"/>
        <v>1136755</v>
      </c>
      <c r="K285" s="484">
        <f t="shared" si="211"/>
        <v>1396529</v>
      </c>
      <c r="L285" s="484">
        <f t="shared" si="211"/>
        <v>32479582</v>
      </c>
      <c r="M285" s="484">
        <f t="shared" si="211"/>
        <v>255418</v>
      </c>
      <c r="N285" s="484">
        <f t="shared" si="211"/>
        <v>1957992</v>
      </c>
      <c r="O285" s="484">
        <f t="shared" si="211"/>
        <v>2213410</v>
      </c>
      <c r="P285" s="484">
        <f t="shared" si="211"/>
        <v>55668251</v>
      </c>
    </row>
    <row r="286" spans="1:17" x14ac:dyDescent="0.25">
      <c r="A286" s="297"/>
      <c r="B286" s="466" t="s">
        <v>74</v>
      </c>
      <c r="C286" s="298"/>
      <c r="D286" s="299"/>
      <c r="E286" s="299"/>
      <c r="F286" s="300"/>
      <c r="G286" s="300"/>
      <c r="H286" s="164"/>
      <c r="I286" s="298"/>
      <c r="J286" s="298"/>
      <c r="K286" s="300"/>
      <c r="L286" s="164"/>
      <c r="M286" s="455"/>
      <c r="N286" s="300"/>
      <c r="O286" s="301"/>
      <c r="P286" s="164"/>
    </row>
    <row r="287" spans="1:17" x14ac:dyDescent="0.25">
      <c r="A287" s="297"/>
      <c r="B287" s="327"/>
      <c r="C287" s="298"/>
      <c r="D287" s="299"/>
      <c r="E287" s="299"/>
      <c r="F287" s="300"/>
      <c r="G287" s="300"/>
      <c r="H287" s="301"/>
      <c r="I287" s="298"/>
      <c r="J287" s="298"/>
      <c r="K287" s="300"/>
      <c r="L287" s="301"/>
      <c r="M287" s="298"/>
      <c r="N287" s="300"/>
      <c r="O287" s="301"/>
      <c r="P287" s="301"/>
    </row>
    <row r="288" spans="1:17" ht="31.5" x14ac:dyDescent="0.25">
      <c r="A288" s="297"/>
      <c r="B288" s="163" t="s">
        <v>1009</v>
      </c>
      <c r="C288" s="298"/>
      <c r="D288" s="299"/>
      <c r="E288" s="299"/>
      <c r="F288" s="300"/>
      <c r="G288" s="300"/>
      <c r="H288" s="301"/>
      <c r="I288" s="298"/>
      <c r="J288" s="298"/>
      <c r="K288" s="300"/>
      <c r="L288" s="301"/>
      <c r="M288" s="298">
        <v>85972</v>
      </c>
      <c r="N288" s="300"/>
      <c r="O288" s="301">
        <f t="shared" ref="O288:O293" si="212">SUM(M288:N288)</f>
        <v>85972</v>
      </c>
      <c r="P288" s="301">
        <f t="shared" ref="P288:P293" si="213">SUM(O288)</f>
        <v>85972</v>
      </c>
      <c r="Q288" s="302" t="s">
        <v>827</v>
      </c>
    </row>
    <row r="289" spans="1:17" ht="63" x14ac:dyDescent="0.25">
      <c r="A289" s="297"/>
      <c r="B289" s="163" t="s">
        <v>1008</v>
      </c>
      <c r="C289" s="298"/>
      <c r="D289" s="299"/>
      <c r="E289" s="299"/>
      <c r="F289" s="300"/>
      <c r="G289" s="300"/>
      <c r="H289" s="301"/>
      <c r="I289" s="298"/>
      <c r="J289" s="298"/>
      <c r="K289" s="300"/>
      <c r="L289" s="301"/>
      <c r="M289" s="298">
        <v>33638</v>
      </c>
      <c r="N289" s="300"/>
      <c r="O289" s="301">
        <f t="shared" si="212"/>
        <v>33638</v>
      </c>
      <c r="P289" s="301">
        <f t="shared" si="213"/>
        <v>33638</v>
      </c>
      <c r="Q289" s="302" t="s">
        <v>827</v>
      </c>
    </row>
    <row r="290" spans="1:17" ht="63" x14ac:dyDescent="0.25">
      <c r="A290" s="297"/>
      <c r="B290" s="163" t="s">
        <v>1007</v>
      </c>
      <c r="C290" s="298"/>
      <c r="D290" s="299"/>
      <c r="E290" s="299"/>
      <c r="F290" s="300"/>
      <c r="G290" s="300"/>
      <c r="H290" s="301"/>
      <c r="I290" s="298"/>
      <c r="J290" s="298"/>
      <c r="K290" s="300"/>
      <c r="L290" s="301"/>
      <c r="M290" s="298">
        <v>5033</v>
      </c>
      <c r="N290" s="300"/>
      <c r="O290" s="301">
        <f t="shared" si="212"/>
        <v>5033</v>
      </c>
      <c r="P290" s="301">
        <f t="shared" si="213"/>
        <v>5033</v>
      </c>
      <c r="Q290" s="302" t="s">
        <v>827</v>
      </c>
    </row>
    <row r="291" spans="1:17" ht="63" x14ac:dyDescent="0.25">
      <c r="A291" s="297"/>
      <c r="B291" s="163" t="s">
        <v>1010</v>
      </c>
      <c r="C291" s="298"/>
      <c r="D291" s="299"/>
      <c r="E291" s="299"/>
      <c r="F291" s="300"/>
      <c r="G291" s="300"/>
      <c r="H291" s="301"/>
      <c r="I291" s="298"/>
      <c r="J291" s="298"/>
      <c r="K291" s="300"/>
      <c r="L291" s="301"/>
      <c r="M291" s="298">
        <v>140782</v>
      </c>
      <c r="N291" s="300"/>
      <c r="O291" s="301">
        <f t="shared" si="212"/>
        <v>140782</v>
      </c>
      <c r="P291" s="301">
        <f t="shared" si="213"/>
        <v>140782</v>
      </c>
      <c r="Q291" s="302" t="s">
        <v>827</v>
      </c>
    </row>
    <row r="292" spans="1:17" ht="47.25" x14ac:dyDescent="0.25">
      <c r="A292" s="297"/>
      <c r="B292" s="163" t="s">
        <v>1011</v>
      </c>
      <c r="C292" s="298"/>
      <c r="D292" s="299"/>
      <c r="E292" s="299"/>
      <c r="F292" s="300"/>
      <c r="G292" s="300"/>
      <c r="H292" s="301"/>
      <c r="I292" s="298"/>
      <c r="J292" s="298"/>
      <c r="K292" s="300"/>
      <c r="L292" s="301"/>
      <c r="M292" s="298">
        <v>9302</v>
      </c>
      <c r="N292" s="300"/>
      <c r="O292" s="301">
        <f t="shared" si="212"/>
        <v>9302</v>
      </c>
      <c r="P292" s="301">
        <f t="shared" si="213"/>
        <v>9302</v>
      </c>
      <c r="Q292" s="302" t="s">
        <v>827</v>
      </c>
    </row>
    <row r="293" spans="1:17" ht="31.5" x14ac:dyDescent="0.25">
      <c r="A293" s="297"/>
      <c r="B293" s="163" t="s">
        <v>1012</v>
      </c>
      <c r="C293" s="298"/>
      <c r="D293" s="299"/>
      <c r="E293" s="299"/>
      <c r="F293" s="300"/>
      <c r="G293" s="300"/>
      <c r="H293" s="301"/>
      <c r="I293" s="298"/>
      <c r="J293" s="298"/>
      <c r="K293" s="300"/>
      <c r="L293" s="301"/>
      <c r="M293" s="298">
        <v>11381</v>
      </c>
      <c r="N293" s="300"/>
      <c r="O293" s="301">
        <f t="shared" si="212"/>
        <v>11381</v>
      </c>
      <c r="P293" s="301">
        <f t="shared" si="213"/>
        <v>11381</v>
      </c>
      <c r="Q293" s="302" t="s">
        <v>827</v>
      </c>
    </row>
    <row r="294" spans="1:17" ht="47.25" x14ac:dyDescent="0.25">
      <c r="A294" s="297"/>
      <c r="B294" s="163" t="s">
        <v>1013</v>
      </c>
      <c r="C294" s="298"/>
      <c r="D294" s="299"/>
      <c r="E294" s="299"/>
      <c r="F294" s="300"/>
      <c r="G294" s="300"/>
      <c r="H294" s="301"/>
      <c r="I294" s="298"/>
      <c r="J294" s="298"/>
      <c r="K294" s="300"/>
      <c r="L294" s="301"/>
      <c r="M294" s="298">
        <v>1</v>
      </c>
      <c r="N294" s="300"/>
      <c r="O294" s="301">
        <f t="shared" ref="O294:O295" si="214">SUM(M294:N294)</f>
        <v>1</v>
      </c>
      <c r="P294" s="301">
        <f>SUM(O294)</f>
        <v>1</v>
      </c>
      <c r="Q294" s="302" t="s">
        <v>827</v>
      </c>
    </row>
    <row r="295" spans="1:17" ht="31.5" x14ac:dyDescent="0.25">
      <c r="A295" s="297"/>
      <c r="B295" s="163" t="s">
        <v>1014</v>
      </c>
      <c r="C295" s="298"/>
      <c r="D295" s="299"/>
      <c r="E295" s="299"/>
      <c r="F295" s="300"/>
      <c r="G295" s="300"/>
      <c r="H295" s="301"/>
      <c r="I295" s="298"/>
      <c r="J295" s="298"/>
      <c r="K295" s="300"/>
      <c r="L295" s="301"/>
      <c r="M295" s="298">
        <v>-1</v>
      </c>
      <c r="N295" s="300"/>
      <c r="O295" s="301">
        <f t="shared" si="214"/>
        <v>-1</v>
      </c>
      <c r="P295" s="301">
        <f>SUM(O295)</f>
        <v>-1</v>
      </c>
      <c r="Q295" s="302" t="s">
        <v>827</v>
      </c>
    </row>
    <row r="296" spans="1:17" ht="31.5" x14ac:dyDescent="0.25">
      <c r="A296" s="297"/>
      <c r="B296" s="163" t="s">
        <v>1015</v>
      </c>
      <c r="C296" s="298"/>
      <c r="D296" s="299"/>
      <c r="E296" s="299"/>
      <c r="F296" s="300"/>
      <c r="G296" s="300"/>
      <c r="H296" s="301"/>
      <c r="I296" s="298"/>
      <c r="J296" s="298"/>
      <c r="K296" s="300"/>
      <c r="L296" s="301"/>
      <c r="M296" s="298">
        <v>-3122</v>
      </c>
      <c r="N296" s="300"/>
      <c r="O296" s="301">
        <f t="shared" ref="O296" si="215">SUM(M296:N296)</f>
        <v>-3122</v>
      </c>
      <c r="P296" s="301">
        <f>SUM(O296)</f>
        <v>-3122</v>
      </c>
      <c r="Q296" s="302" t="s">
        <v>827</v>
      </c>
    </row>
    <row r="297" spans="1:17" ht="31.5" x14ac:dyDescent="0.25">
      <c r="A297" s="297"/>
      <c r="B297" s="163" t="s">
        <v>1021</v>
      </c>
      <c r="C297" s="298"/>
      <c r="D297" s="299"/>
      <c r="E297" s="299"/>
      <c r="F297" s="300"/>
      <c r="G297" s="300"/>
      <c r="H297" s="301"/>
      <c r="I297" s="298"/>
      <c r="J297" s="298"/>
      <c r="K297" s="300"/>
      <c r="L297" s="301"/>
      <c r="M297" s="299">
        <v>-1</v>
      </c>
      <c r="N297" s="300"/>
      <c r="O297" s="301">
        <f t="shared" ref="O297:O299" si="216">SUM(M297:N297)</f>
        <v>-1</v>
      </c>
      <c r="P297" s="301">
        <f t="shared" ref="P297:P299" si="217">SUM(O297+L297+H297)</f>
        <v>-1</v>
      </c>
      <c r="Q297" s="302" t="s">
        <v>827</v>
      </c>
    </row>
    <row r="298" spans="1:17" x14ac:dyDescent="0.25">
      <c r="A298" s="297"/>
      <c r="B298" s="489" t="s">
        <v>1022</v>
      </c>
      <c r="C298" s="298"/>
      <c r="D298" s="299"/>
      <c r="E298" s="299"/>
      <c r="F298" s="300"/>
      <c r="G298" s="300"/>
      <c r="H298" s="301"/>
      <c r="I298" s="298"/>
      <c r="J298" s="298"/>
      <c r="K298" s="300"/>
      <c r="L298" s="301"/>
      <c r="M298" s="299">
        <v>-1</v>
      </c>
      <c r="N298" s="300"/>
      <c r="O298" s="301">
        <f t="shared" si="216"/>
        <v>-1</v>
      </c>
      <c r="P298" s="301">
        <f t="shared" si="217"/>
        <v>-1</v>
      </c>
      <c r="Q298" s="302" t="s">
        <v>827</v>
      </c>
    </row>
    <row r="299" spans="1:17" ht="39" customHeight="1" x14ac:dyDescent="0.25">
      <c r="A299" s="485"/>
      <c r="B299" s="163" t="s">
        <v>1023</v>
      </c>
      <c r="C299" s="167"/>
      <c r="D299" s="486"/>
      <c r="E299" s="486"/>
      <c r="F299" s="168"/>
      <c r="G299" s="168"/>
      <c r="H299" s="169"/>
      <c r="I299" s="167"/>
      <c r="J299" s="167"/>
      <c r="K299" s="168"/>
      <c r="L299" s="169"/>
      <c r="M299" s="486">
        <v>-1</v>
      </c>
      <c r="N299" s="168"/>
      <c r="O299" s="169">
        <f t="shared" si="216"/>
        <v>-1</v>
      </c>
      <c r="P299" s="169">
        <f t="shared" si="217"/>
        <v>-1</v>
      </c>
      <c r="Q299" s="302" t="s">
        <v>827</v>
      </c>
    </row>
    <row r="300" spans="1:17" ht="46.5" customHeight="1" x14ac:dyDescent="0.25">
      <c r="A300" s="297"/>
      <c r="B300" s="163" t="s">
        <v>1024</v>
      </c>
      <c r="C300" s="298"/>
      <c r="D300" s="299"/>
      <c r="E300" s="299"/>
      <c r="F300" s="300"/>
      <c r="G300" s="300"/>
      <c r="H300" s="301"/>
      <c r="I300" s="298"/>
      <c r="J300" s="298"/>
      <c r="K300" s="300"/>
      <c r="L300" s="301"/>
      <c r="M300" s="299">
        <v>-1</v>
      </c>
      <c r="N300" s="300"/>
      <c r="O300" s="301">
        <f t="shared" ref="O300" si="218">SUM(M300:N300)</f>
        <v>-1</v>
      </c>
      <c r="P300" s="301">
        <f t="shared" ref="P300" si="219">SUM(O300+L300+H300)</f>
        <v>-1</v>
      </c>
      <c r="Q300" s="302" t="s">
        <v>827</v>
      </c>
    </row>
    <row r="301" spans="1:17" ht="31.5" x14ac:dyDescent="0.25">
      <c r="A301" s="297"/>
      <c r="B301" s="163" t="s">
        <v>1025</v>
      </c>
      <c r="C301" s="298"/>
      <c r="D301" s="299"/>
      <c r="E301" s="299"/>
      <c r="F301" s="300"/>
      <c r="G301" s="300"/>
      <c r="H301" s="301"/>
      <c r="I301" s="298"/>
      <c r="J301" s="298"/>
      <c r="K301" s="300"/>
      <c r="L301" s="301"/>
      <c r="M301" s="299">
        <v>-1</v>
      </c>
      <c r="N301" s="300"/>
      <c r="O301" s="301">
        <f t="shared" ref="O301" si="220">SUM(M301:N301)</f>
        <v>-1</v>
      </c>
      <c r="P301" s="301">
        <f t="shared" ref="P301" si="221">SUM(O301+L301+H301)</f>
        <v>-1</v>
      </c>
      <c r="Q301" s="302" t="s">
        <v>827</v>
      </c>
    </row>
    <row r="302" spans="1:17" x14ac:dyDescent="0.25">
      <c r="A302" s="297"/>
      <c r="B302" s="489" t="s">
        <v>917</v>
      </c>
      <c r="C302" s="298"/>
      <c r="D302" s="299"/>
      <c r="E302" s="299"/>
      <c r="F302" s="300"/>
      <c r="G302" s="300"/>
      <c r="H302" s="301"/>
      <c r="I302" s="298"/>
      <c r="J302" s="298"/>
      <c r="K302" s="300"/>
      <c r="L302" s="301"/>
      <c r="M302" s="299">
        <v>5</v>
      </c>
      <c r="N302" s="300"/>
      <c r="O302" s="301">
        <f t="shared" ref="O302:O303" si="222">SUM(M302:N302)</f>
        <v>5</v>
      </c>
      <c r="P302" s="301">
        <f t="shared" ref="P302:P303" si="223">SUM(O302+L302+H302)</f>
        <v>5</v>
      </c>
      <c r="Q302" s="302" t="s">
        <v>827</v>
      </c>
    </row>
    <row r="303" spans="1:17" x14ac:dyDescent="0.25">
      <c r="A303" s="297"/>
      <c r="B303" s="256" t="s">
        <v>1032</v>
      </c>
      <c r="C303" s="298"/>
      <c r="D303" s="299"/>
      <c r="E303" s="299"/>
      <c r="F303" s="300"/>
      <c r="G303" s="300"/>
      <c r="H303" s="301"/>
      <c r="I303" s="298"/>
      <c r="J303" s="298"/>
      <c r="K303" s="300"/>
      <c r="L303" s="301"/>
      <c r="M303" s="299">
        <v>-1</v>
      </c>
      <c r="N303" s="300"/>
      <c r="O303" s="301">
        <f t="shared" si="222"/>
        <v>-1</v>
      </c>
      <c r="P303" s="301">
        <f t="shared" si="223"/>
        <v>-1</v>
      </c>
      <c r="Q303" s="302" t="s">
        <v>827</v>
      </c>
    </row>
    <row r="304" spans="1:17" ht="31.5" x14ac:dyDescent="0.25">
      <c r="A304" s="297"/>
      <c r="B304" s="163" t="s">
        <v>1035</v>
      </c>
      <c r="C304" s="298"/>
      <c r="D304" s="299"/>
      <c r="E304" s="299"/>
      <c r="F304" s="300"/>
      <c r="G304" s="300"/>
      <c r="H304" s="301"/>
      <c r="I304" s="298"/>
      <c r="J304" s="298"/>
      <c r="K304" s="300"/>
      <c r="L304" s="301"/>
      <c r="M304" s="299">
        <v>-1</v>
      </c>
      <c r="N304" s="300"/>
      <c r="O304" s="301">
        <f t="shared" ref="O304:O305" si="224">SUM(M304:N304)</f>
        <v>-1</v>
      </c>
      <c r="P304" s="301">
        <f t="shared" ref="P304:P305" si="225">SUM(O304+L304+H304)</f>
        <v>-1</v>
      </c>
      <c r="Q304" s="302" t="s">
        <v>827</v>
      </c>
    </row>
    <row r="305" spans="1:17" ht="31.5" x14ac:dyDescent="0.25">
      <c r="A305" s="297"/>
      <c r="B305" s="163" t="s">
        <v>1033</v>
      </c>
      <c r="C305" s="298"/>
      <c r="D305" s="299"/>
      <c r="E305" s="299"/>
      <c r="F305" s="300"/>
      <c r="G305" s="300"/>
      <c r="H305" s="301"/>
      <c r="I305" s="298"/>
      <c r="J305" s="298"/>
      <c r="K305" s="300"/>
      <c r="L305" s="301"/>
      <c r="M305" s="299">
        <v>-1</v>
      </c>
      <c r="N305" s="300"/>
      <c r="O305" s="301">
        <f t="shared" si="224"/>
        <v>-1</v>
      </c>
      <c r="P305" s="301">
        <f t="shared" si="225"/>
        <v>-1</v>
      </c>
      <c r="Q305" s="302" t="s">
        <v>827</v>
      </c>
    </row>
    <row r="306" spans="1:17" x14ac:dyDescent="0.25">
      <c r="A306" s="487"/>
      <c r="B306" s="256" t="s">
        <v>1039</v>
      </c>
      <c r="C306" s="298"/>
      <c r="D306" s="299"/>
      <c r="E306" s="299"/>
      <c r="F306" s="300"/>
      <c r="G306" s="300"/>
      <c r="H306" s="301"/>
      <c r="I306" s="298"/>
      <c r="J306" s="298"/>
      <c r="K306" s="300"/>
      <c r="L306" s="301"/>
      <c r="M306" s="299">
        <v>-1</v>
      </c>
      <c r="N306" s="300"/>
      <c r="O306" s="301">
        <f t="shared" ref="O306:O309" si="226">SUM(M306:N306)</f>
        <v>-1</v>
      </c>
      <c r="P306" s="301">
        <f t="shared" ref="P306:P309" si="227">SUM(O306+L306+H306)</f>
        <v>-1</v>
      </c>
      <c r="Q306" s="302" t="s">
        <v>828</v>
      </c>
    </row>
    <row r="307" spans="1:17" ht="31.5" x14ac:dyDescent="0.25">
      <c r="A307" s="487"/>
      <c r="B307" s="256" t="s">
        <v>1042</v>
      </c>
      <c r="C307" s="298"/>
      <c r="D307" s="299"/>
      <c r="E307" s="299"/>
      <c r="F307" s="300"/>
      <c r="G307" s="300"/>
      <c r="H307" s="301"/>
      <c r="I307" s="298"/>
      <c r="J307" s="298"/>
      <c r="K307" s="300"/>
      <c r="L307" s="301"/>
      <c r="M307" s="299">
        <v>-1</v>
      </c>
      <c r="N307" s="300"/>
      <c r="O307" s="301">
        <f t="shared" si="226"/>
        <v>-1</v>
      </c>
      <c r="P307" s="301">
        <f t="shared" si="227"/>
        <v>-1</v>
      </c>
      <c r="Q307" s="302" t="s">
        <v>828</v>
      </c>
    </row>
    <row r="308" spans="1:17" x14ac:dyDescent="0.25">
      <c r="A308" s="487"/>
      <c r="B308" s="256" t="s">
        <v>1054</v>
      </c>
      <c r="C308" s="298"/>
      <c r="D308" s="299"/>
      <c r="E308" s="299"/>
      <c r="F308" s="300"/>
      <c r="G308" s="300"/>
      <c r="H308" s="301"/>
      <c r="I308" s="298"/>
      <c r="J308" s="298"/>
      <c r="K308" s="300"/>
      <c r="L308" s="301"/>
      <c r="M308" s="299">
        <v>-1</v>
      </c>
      <c r="N308" s="300"/>
      <c r="O308" s="301">
        <f t="shared" si="226"/>
        <v>-1</v>
      </c>
      <c r="P308" s="301">
        <f t="shared" si="227"/>
        <v>-1</v>
      </c>
      <c r="Q308" s="302" t="s">
        <v>828</v>
      </c>
    </row>
    <row r="309" spans="1:17" ht="31.5" x14ac:dyDescent="0.25">
      <c r="A309" s="487"/>
      <c r="B309" s="256" t="s">
        <v>1192</v>
      </c>
      <c r="C309" s="298"/>
      <c r="D309" s="299"/>
      <c r="E309" s="299"/>
      <c r="F309" s="300"/>
      <c r="G309" s="300"/>
      <c r="H309" s="301"/>
      <c r="I309" s="298"/>
      <c r="J309" s="298"/>
      <c r="K309" s="300"/>
      <c r="L309" s="301"/>
      <c r="M309" s="299">
        <v>1</v>
      </c>
      <c r="N309" s="300"/>
      <c r="O309" s="301">
        <f t="shared" si="226"/>
        <v>1</v>
      </c>
      <c r="P309" s="301">
        <f t="shared" si="227"/>
        <v>1</v>
      </c>
      <c r="Q309" s="302" t="s">
        <v>828</v>
      </c>
    </row>
    <row r="310" spans="1:17" ht="31.5" x14ac:dyDescent="0.25">
      <c r="A310" s="297"/>
      <c r="B310" s="163" t="s">
        <v>1294</v>
      </c>
      <c r="C310" s="298"/>
      <c r="D310" s="299"/>
      <c r="E310" s="299"/>
      <c r="F310" s="300"/>
      <c r="G310" s="300"/>
      <c r="H310" s="301"/>
      <c r="I310" s="298"/>
      <c r="J310" s="298"/>
      <c r="K310" s="300"/>
      <c r="L310" s="301"/>
      <c r="M310" s="299">
        <v>1</v>
      </c>
      <c r="N310" s="300"/>
      <c r="O310" s="301">
        <f t="shared" ref="O310" si="228">SUM(M310:N310)</f>
        <v>1</v>
      </c>
      <c r="P310" s="301">
        <f t="shared" ref="P310" si="229">SUM(O310+L310+H310)</f>
        <v>1</v>
      </c>
      <c r="Q310" s="302" t="s">
        <v>828</v>
      </c>
    </row>
    <row r="311" spans="1:17" ht="47.25" x14ac:dyDescent="0.25">
      <c r="A311" s="485"/>
      <c r="B311" s="327" t="s">
        <v>904</v>
      </c>
      <c r="C311" s="167"/>
      <c r="D311" s="486"/>
      <c r="E311" s="486"/>
      <c r="F311" s="486"/>
      <c r="G311" s="520"/>
      <c r="H311" s="164"/>
      <c r="I311" s="167"/>
      <c r="J311" s="167"/>
      <c r="K311" s="168"/>
      <c r="L311" s="165"/>
      <c r="M311" s="167"/>
      <c r="N311" s="168"/>
      <c r="O311" s="169"/>
      <c r="P311" s="164"/>
    </row>
    <row r="312" spans="1:17" x14ac:dyDescent="0.25">
      <c r="A312" s="485"/>
      <c r="B312" s="877" t="s">
        <v>997</v>
      </c>
      <c r="C312" s="167"/>
      <c r="D312" s="486"/>
      <c r="E312" s="486"/>
      <c r="F312" s="486"/>
      <c r="G312" s="520"/>
      <c r="H312" s="164">
        <f t="shared" ref="H312" si="230">SUM(C312:G312)</f>
        <v>0</v>
      </c>
      <c r="I312" s="167"/>
      <c r="J312" s="167"/>
      <c r="K312" s="168"/>
      <c r="L312" s="165">
        <f t="shared" ref="L312" si="231">SUM(I312:K312)</f>
        <v>0</v>
      </c>
      <c r="M312" s="167">
        <v>-19416</v>
      </c>
      <c r="N312" s="168"/>
      <c r="O312" s="169"/>
      <c r="P312" s="164">
        <f t="shared" ref="P312" si="232">O312+L312+H312</f>
        <v>0</v>
      </c>
      <c r="Q312" s="302" t="s">
        <v>828</v>
      </c>
    </row>
    <row r="313" spans="1:17" x14ac:dyDescent="0.25">
      <c r="A313" s="297"/>
      <c r="B313" s="163"/>
      <c r="C313" s="298"/>
      <c r="D313" s="299"/>
      <c r="E313" s="299"/>
      <c r="F313" s="300"/>
      <c r="G313" s="300"/>
      <c r="H313" s="301"/>
      <c r="I313" s="298"/>
      <c r="J313" s="298"/>
      <c r="K313" s="300"/>
      <c r="L313" s="301"/>
      <c r="M313" s="299"/>
      <c r="N313" s="300"/>
      <c r="O313" s="301">
        <f t="shared" ref="O313" si="233">SUM(M313:N313)</f>
        <v>0</v>
      </c>
      <c r="P313" s="301">
        <f t="shared" ref="P313" si="234">SUM(O313+L313+H313)</f>
        <v>0</v>
      </c>
      <c r="Q313" s="302" t="s">
        <v>827</v>
      </c>
    </row>
    <row r="314" spans="1:17" ht="35.25" customHeight="1" x14ac:dyDescent="0.25">
      <c r="A314" s="162"/>
      <c r="B314" s="524" t="s">
        <v>906</v>
      </c>
      <c r="C314" s="486"/>
      <c r="D314" s="486"/>
      <c r="E314" s="486"/>
      <c r="F314" s="486"/>
      <c r="G314" s="257"/>
      <c r="H314" s="164"/>
      <c r="I314" s="167"/>
      <c r="J314" s="167"/>
      <c r="K314" s="168"/>
      <c r="L314" s="165"/>
      <c r="M314" s="167"/>
      <c r="N314" s="168"/>
      <c r="O314" s="169"/>
      <c r="P314" s="164"/>
    </row>
    <row r="315" spans="1:17" x14ac:dyDescent="0.25">
      <c r="A315" s="297"/>
      <c r="B315" s="163" t="s">
        <v>1037</v>
      </c>
      <c r="C315" s="298"/>
      <c r="D315" s="299"/>
      <c r="E315" s="299"/>
      <c r="F315" s="300"/>
      <c r="G315" s="300"/>
      <c r="H315" s="165">
        <f t="shared" ref="H315:H316" si="235">SUM(C315:G315)</f>
        <v>0</v>
      </c>
      <c r="I315" s="298"/>
      <c r="J315" s="298"/>
      <c r="K315" s="300"/>
      <c r="L315" s="165">
        <f t="shared" ref="L315:L316" si="236">SUM(I315:K315)</f>
        <v>0</v>
      </c>
      <c r="M315" s="299">
        <v>-14</v>
      </c>
      <c r="N315" s="300"/>
      <c r="O315" s="301">
        <f>SUM(M315:N315)</f>
        <v>-14</v>
      </c>
      <c r="P315" s="301">
        <f>SUM(O315+L315+H315)</f>
        <v>-14</v>
      </c>
      <c r="Q315" s="302" t="s">
        <v>828</v>
      </c>
    </row>
    <row r="316" spans="1:17" ht="15" customHeight="1" x14ac:dyDescent="0.25">
      <c r="A316" s="328"/>
      <c r="B316" s="163" t="s">
        <v>1047</v>
      </c>
      <c r="C316" s="167"/>
      <c r="D316" s="486"/>
      <c r="E316" s="486"/>
      <c r="F316" s="168"/>
      <c r="G316" s="257"/>
      <c r="H316" s="165">
        <f t="shared" si="235"/>
        <v>0</v>
      </c>
      <c r="I316" s="167"/>
      <c r="J316" s="167"/>
      <c r="K316" s="168"/>
      <c r="L316" s="165">
        <f t="shared" si="236"/>
        <v>0</v>
      </c>
      <c r="M316" s="167">
        <v>-188</v>
      </c>
      <c r="N316" s="168"/>
      <c r="O316" s="301">
        <f>SUM(M316:N316)</f>
        <v>-188</v>
      </c>
      <c r="P316" s="301">
        <f>SUM(O316+L316+H316)</f>
        <v>-188</v>
      </c>
      <c r="Q316" s="302" t="s">
        <v>828</v>
      </c>
    </row>
    <row r="317" spans="1:17" ht="47.25" x14ac:dyDescent="0.25">
      <c r="A317" s="297"/>
      <c r="B317" s="163" t="s">
        <v>1005</v>
      </c>
      <c r="C317" s="298"/>
      <c r="D317" s="299"/>
      <c r="E317" s="299"/>
      <c r="F317" s="300"/>
      <c r="G317" s="300"/>
      <c r="H317" s="301"/>
      <c r="I317" s="298"/>
      <c r="J317" s="298"/>
      <c r="K317" s="300"/>
      <c r="L317" s="301"/>
      <c r="M317" s="298">
        <v>-3031</v>
      </c>
      <c r="N317" s="300"/>
      <c r="O317" s="301">
        <f t="shared" ref="O317" si="237">SUM(M317:N317)</f>
        <v>-3031</v>
      </c>
      <c r="P317" s="301">
        <f>SUM(O317)</f>
        <v>-3031</v>
      </c>
      <c r="Q317" s="302" t="s">
        <v>828</v>
      </c>
    </row>
    <row r="318" spans="1:17" ht="31.5" x14ac:dyDescent="0.25">
      <c r="A318" s="297"/>
      <c r="B318" s="163" t="s">
        <v>1065</v>
      </c>
      <c r="C318" s="298"/>
      <c r="D318" s="299"/>
      <c r="E318" s="299"/>
      <c r="F318" s="300"/>
      <c r="G318" s="300"/>
      <c r="H318" s="301"/>
      <c r="I318" s="298"/>
      <c r="J318" s="298"/>
      <c r="K318" s="300"/>
      <c r="L318" s="301"/>
      <c r="M318" s="298">
        <v>-90005</v>
      </c>
      <c r="N318" s="300"/>
      <c r="O318" s="301">
        <f t="shared" ref="O318" si="238">SUM(M318:N318)</f>
        <v>-90005</v>
      </c>
      <c r="P318" s="301">
        <f>SUM(O318)</f>
        <v>-90005</v>
      </c>
      <c r="Q318" s="302" t="s">
        <v>828</v>
      </c>
    </row>
    <row r="319" spans="1:17" x14ac:dyDescent="0.25">
      <c r="A319" s="561"/>
      <c r="B319" s="563"/>
      <c r="C319" s="298"/>
      <c r="D319" s="299"/>
      <c r="E319" s="299"/>
      <c r="F319" s="300"/>
      <c r="G319" s="300"/>
      <c r="H319" s="301"/>
      <c r="I319" s="298"/>
      <c r="J319" s="298"/>
      <c r="K319" s="300"/>
      <c r="L319" s="301"/>
      <c r="M319" s="298"/>
      <c r="N319" s="300"/>
      <c r="O319" s="301"/>
      <c r="P319" s="301"/>
    </row>
    <row r="320" spans="1:17" ht="31.5" x14ac:dyDescent="0.25">
      <c r="A320" s="561"/>
      <c r="B320" s="562" t="s">
        <v>1283</v>
      </c>
      <c r="C320" s="298"/>
      <c r="D320" s="299"/>
      <c r="E320" s="299"/>
      <c r="F320" s="300"/>
      <c r="G320" s="300"/>
      <c r="H320" s="301"/>
      <c r="I320" s="298"/>
      <c r="J320" s="298"/>
      <c r="K320" s="300"/>
      <c r="L320" s="301"/>
      <c r="M320" s="298"/>
      <c r="N320" s="300"/>
      <c r="O320" s="301"/>
      <c r="P320" s="301"/>
    </row>
    <row r="321" spans="1:17" ht="31.5" x14ac:dyDescent="0.25">
      <c r="A321" s="486"/>
      <c r="B321" s="163" t="s">
        <v>1064</v>
      </c>
      <c r="C321" s="298"/>
      <c r="D321" s="299"/>
      <c r="E321" s="299"/>
      <c r="F321" s="300"/>
      <c r="G321" s="300"/>
      <c r="H321" s="301"/>
      <c r="I321" s="298"/>
      <c r="J321" s="298"/>
      <c r="K321" s="300"/>
      <c r="L321" s="301"/>
      <c r="M321" s="299">
        <v>18</v>
      </c>
      <c r="N321" s="300"/>
      <c r="O321" s="301">
        <f t="shared" ref="O321" si="239">SUM(M321:N321)</f>
        <v>18</v>
      </c>
      <c r="P321" s="301">
        <f t="shared" ref="P321" si="240">SUM(O321+L321+H321)</f>
        <v>18</v>
      </c>
      <c r="Q321" s="302" t="s">
        <v>828</v>
      </c>
    </row>
    <row r="322" spans="1:17" x14ac:dyDescent="0.25">
      <c r="A322" s="486"/>
      <c r="B322" s="163" t="s">
        <v>1067</v>
      </c>
      <c r="C322" s="298"/>
      <c r="D322" s="299"/>
      <c r="E322" s="299"/>
      <c r="F322" s="300"/>
      <c r="G322" s="300"/>
      <c r="H322" s="301"/>
      <c r="I322" s="298"/>
      <c r="J322" s="298"/>
      <c r="K322" s="300"/>
      <c r="L322" s="301"/>
      <c r="M322" s="299">
        <v>2494</v>
      </c>
      <c r="N322" s="300"/>
      <c r="O322" s="301">
        <f t="shared" ref="O322:O323" si="241">SUM(M322:N322)</f>
        <v>2494</v>
      </c>
      <c r="P322" s="301">
        <f t="shared" ref="P322:P323" si="242">SUM(O322+L322+H322)</f>
        <v>2494</v>
      </c>
      <c r="Q322" s="302" t="s">
        <v>1068</v>
      </c>
    </row>
    <row r="323" spans="1:17" ht="47.25" x14ac:dyDescent="0.25">
      <c r="A323" s="486"/>
      <c r="B323" s="163" t="s">
        <v>1070</v>
      </c>
      <c r="C323" s="298"/>
      <c r="D323" s="299"/>
      <c r="E323" s="299"/>
      <c r="F323" s="300"/>
      <c r="G323" s="300"/>
      <c r="H323" s="301"/>
      <c r="I323" s="298"/>
      <c r="J323" s="298"/>
      <c r="K323" s="300"/>
      <c r="L323" s="301"/>
      <c r="M323" s="299">
        <v>320</v>
      </c>
      <c r="N323" s="300"/>
      <c r="O323" s="301">
        <f t="shared" si="241"/>
        <v>320</v>
      </c>
      <c r="P323" s="301">
        <f t="shared" si="242"/>
        <v>320</v>
      </c>
      <c r="Q323" s="302" t="s">
        <v>1068</v>
      </c>
    </row>
    <row r="324" spans="1:17" ht="31.5" x14ac:dyDescent="0.25">
      <c r="A324" s="486"/>
      <c r="B324" s="163" t="s">
        <v>1072</v>
      </c>
      <c r="C324" s="298"/>
      <c r="D324" s="299"/>
      <c r="E324" s="299"/>
      <c r="F324" s="300"/>
      <c r="G324" s="300"/>
      <c r="H324" s="301"/>
      <c r="I324" s="298"/>
      <c r="J324" s="298"/>
      <c r="K324" s="300"/>
      <c r="L324" s="301"/>
      <c r="M324" s="299">
        <v>35314</v>
      </c>
      <c r="N324" s="300"/>
      <c r="O324" s="301">
        <f t="shared" ref="O324" si="243">SUM(M324:N324)</f>
        <v>35314</v>
      </c>
      <c r="P324" s="301">
        <f t="shared" ref="P324" si="244">SUM(O324+L324+H324)</f>
        <v>35314</v>
      </c>
      <c r="Q324" s="302" t="s">
        <v>1068</v>
      </c>
    </row>
    <row r="325" spans="1:17" ht="31.5" x14ac:dyDescent="0.25">
      <c r="A325" s="486"/>
      <c r="B325" s="163" t="s">
        <v>1074</v>
      </c>
      <c r="C325" s="298"/>
      <c r="D325" s="299"/>
      <c r="E325" s="299"/>
      <c r="F325" s="300"/>
      <c r="G325" s="300"/>
      <c r="H325" s="301"/>
      <c r="I325" s="298"/>
      <c r="J325" s="298"/>
      <c r="K325" s="300"/>
      <c r="L325" s="301"/>
      <c r="M325" s="299">
        <v>193</v>
      </c>
      <c r="N325" s="300"/>
      <c r="O325" s="301">
        <f t="shared" ref="O325:O336" si="245">SUM(M325:N325)</f>
        <v>193</v>
      </c>
      <c r="P325" s="301">
        <f t="shared" ref="P325:P336" si="246">SUM(O325+L325+H325)</f>
        <v>193</v>
      </c>
      <c r="Q325" s="302" t="s">
        <v>1068</v>
      </c>
    </row>
    <row r="326" spans="1:17" x14ac:dyDescent="0.25">
      <c r="A326" s="486"/>
      <c r="B326" s="163" t="s">
        <v>1075</v>
      </c>
      <c r="C326" s="298"/>
      <c r="D326" s="299"/>
      <c r="E326" s="299"/>
      <c r="F326" s="300"/>
      <c r="G326" s="300"/>
      <c r="H326" s="301"/>
      <c r="I326" s="298"/>
      <c r="J326" s="298"/>
      <c r="K326" s="300"/>
      <c r="L326" s="301"/>
      <c r="M326" s="299">
        <v>-80926</v>
      </c>
      <c r="N326" s="300"/>
      <c r="O326" s="301">
        <f t="shared" ref="O326:O334" si="247">SUM(M326:N326)</f>
        <v>-80926</v>
      </c>
      <c r="P326" s="301">
        <f t="shared" ref="P326:P334" si="248">SUM(O326+L326+H326)</f>
        <v>-80926</v>
      </c>
      <c r="Q326" s="302" t="s">
        <v>1068</v>
      </c>
    </row>
    <row r="327" spans="1:17" x14ac:dyDescent="0.25">
      <c r="A327" s="486"/>
      <c r="B327" s="163" t="s">
        <v>1076</v>
      </c>
      <c r="C327" s="298" t="s">
        <v>1071</v>
      </c>
      <c r="D327" s="299"/>
      <c r="E327" s="299"/>
      <c r="F327" s="300"/>
      <c r="G327" s="300"/>
      <c r="H327" s="301"/>
      <c r="I327" s="298"/>
      <c r="J327" s="298"/>
      <c r="K327" s="300"/>
      <c r="L327" s="301"/>
      <c r="M327" s="299">
        <v>582545</v>
      </c>
      <c r="N327" s="300"/>
      <c r="O327" s="301">
        <f t="shared" si="247"/>
        <v>582545</v>
      </c>
      <c r="P327" s="301">
        <f t="shared" si="248"/>
        <v>582545</v>
      </c>
      <c r="Q327" s="302" t="s">
        <v>1068</v>
      </c>
    </row>
    <row r="328" spans="1:17" x14ac:dyDescent="0.25">
      <c r="A328" s="486"/>
      <c r="B328" s="163" t="s">
        <v>1077</v>
      </c>
      <c r="C328" s="298"/>
      <c r="D328" s="299"/>
      <c r="E328" s="299"/>
      <c r="F328" s="300"/>
      <c r="G328" s="300"/>
      <c r="H328" s="301"/>
      <c r="I328" s="298"/>
      <c r="J328" s="298"/>
      <c r="K328" s="300"/>
      <c r="L328" s="301"/>
      <c r="M328" s="299">
        <v>-109</v>
      </c>
      <c r="N328" s="300"/>
      <c r="O328" s="301">
        <f t="shared" si="247"/>
        <v>-109</v>
      </c>
      <c r="P328" s="301">
        <f t="shared" si="248"/>
        <v>-109</v>
      </c>
      <c r="Q328" s="302" t="s">
        <v>1068</v>
      </c>
    </row>
    <row r="329" spans="1:17" x14ac:dyDescent="0.25">
      <c r="A329" s="486"/>
      <c r="B329" s="163" t="s">
        <v>1078</v>
      </c>
      <c r="C329" s="298"/>
      <c r="D329" s="299"/>
      <c r="E329" s="299"/>
      <c r="F329" s="300"/>
      <c r="G329" s="300"/>
      <c r="H329" s="301"/>
      <c r="I329" s="298"/>
      <c r="J329" s="298"/>
      <c r="K329" s="300"/>
      <c r="L329" s="301"/>
      <c r="M329" s="299">
        <v>6484</v>
      </c>
      <c r="N329" s="300"/>
      <c r="O329" s="301">
        <f t="shared" si="247"/>
        <v>6484</v>
      </c>
      <c r="P329" s="301">
        <f t="shared" si="248"/>
        <v>6484</v>
      </c>
      <c r="Q329" s="302" t="s">
        <v>1068</v>
      </c>
    </row>
    <row r="330" spans="1:17" x14ac:dyDescent="0.25">
      <c r="A330" s="486"/>
      <c r="B330" s="163" t="s">
        <v>1079</v>
      </c>
      <c r="C330" s="298"/>
      <c r="D330" s="299"/>
      <c r="E330" s="299"/>
      <c r="F330" s="300"/>
      <c r="G330" s="300"/>
      <c r="H330" s="301"/>
      <c r="I330" s="298"/>
      <c r="J330" s="298"/>
      <c r="K330" s="300"/>
      <c r="L330" s="301"/>
      <c r="M330" s="299">
        <v>-22568</v>
      </c>
      <c r="N330" s="300"/>
      <c r="O330" s="301">
        <f t="shared" ref="O330:O331" si="249">SUM(M330:N330)</f>
        <v>-22568</v>
      </c>
      <c r="P330" s="301">
        <f t="shared" ref="P330:P331" si="250">SUM(O330+L330+H330)</f>
        <v>-22568</v>
      </c>
      <c r="Q330" s="302" t="s">
        <v>1068</v>
      </c>
    </row>
    <row r="331" spans="1:17" x14ac:dyDescent="0.25">
      <c r="A331" s="486"/>
      <c r="B331" s="163" t="s">
        <v>1080</v>
      </c>
      <c r="C331" s="298"/>
      <c r="D331" s="299"/>
      <c r="E331" s="299"/>
      <c r="F331" s="300"/>
      <c r="G331" s="300"/>
      <c r="H331" s="301"/>
      <c r="I331" s="298"/>
      <c r="J331" s="298"/>
      <c r="K331" s="300"/>
      <c r="L331" s="301"/>
      <c r="M331" s="299">
        <v>1232</v>
      </c>
      <c r="N331" s="300"/>
      <c r="O331" s="301">
        <f t="shared" si="249"/>
        <v>1232</v>
      </c>
      <c r="P331" s="301">
        <f t="shared" si="250"/>
        <v>1232</v>
      </c>
      <c r="Q331" s="302" t="s">
        <v>1068</v>
      </c>
    </row>
    <row r="332" spans="1:17" x14ac:dyDescent="0.25">
      <c r="A332" s="486"/>
      <c r="B332" s="163" t="s">
        <v>1081</v>
      </c>
      <c r="C332" s="298"/>
      <c r="D332" s="299"/>
      <c r="E332" s="299"/>
      <c r="F332" s="300"/>
      <c r="G332" s="300"/>
      <c r="H332" s="301"/>
      <c r="I332" s="298"/>
      <c r="J332" s="298"/>
      <c r="K332" s="300"/>
      <c r="L332" s="301"/>
      <c r="M332" s="299">
        <v>3774</v>
      </c>
      <c r="N332" s="300"/>
      <c r="O332" s="301">
        <f t="shared" ref="O332:O333" si="251">SUM(M332:N332)</f>
        <v>3774</v>
      </c>
      <c r="P332" s="301">
        <f t="shared" ref="P332:P333" si="252">SUM(O332+L332+H332)</f>
        <v>3774</v>
      </c>
      <c r="Q332" s="302" t="s">
        <v>1068</v>
      </c>
    </row>
    <row r="333" spans="1:17" x14ac:dyDescent="0.25">
      <c r="A333" s="486"/>
      <c r="B333" s="163" t="s">
        <v>1082</v>
      </c>
      <c r="C333" s="298"/>
      <c r="D333" s="299"/>
      <c r="E333" s="299"/>
      <c r="F333" s="300"/>
      <c r="G333" s="300"/>
      <c r="H333" s="301"/>
      <c r="I333" s="298"/>
      <c r="J333" s="298"/>
      <c r="K333" s="300"/>
      <c r="L333" s="301"/>
      <c r="M333" s="299">
        <v>720</v>
      </c>
      <c r="N333" s="300"/>
      <c r="O333" s="301">
        <f t="shared" si="251"/>
        <v>720</v>
      </c>
      <c r="P333" s="301">
        <f t="shared" si="252"/>
        <v>720</v>
      </c>
      <c r="Q333" s="302" t="s">
        <v>1068</v>
      </c>
    </row>
    <row r="334" spans="1:17" x14ac:dyDescent="0.25">
      <c r="A334" s="486"/>
      <c r="B334" s="163" t="s">
        <v>1083</v>
      </c>
      <c r="C334" s="298"/>
      <c r="D334" s="299"/>
      <c r="E334" s="299"/>
      <c r="F334" s="300"/>
      <c r="G334" s="300"/>
      <c r="H334" s="301"/>
      <c r="I334" s="298"/>
      <c r="J334" s="298"/>
      <c r="K334" s="300"/>
      <c r="L334" s="301"/>
      <c r="M334" s="299">
        <v>-1052</v>
      </c>
      <c r="N334" s="300"/>
      <c r="O334" s="301">
        <f t="shared" si="247"/>
        <v>-1052</v>
      </c>
      <c r="P334" s="301">
        <f t="shared" si="248"/>
        <v>-1052</v>
      </c>
      <c r="Q334" s="302" t="s">
        <v>1068</v>
      </c>
    </row>
    <row r="335" spans="1:17" x14ac:dyDescent="0.25">
      <c r="A335" s="486"/>
      <c r="B335" s="163" t="s">
        <v>1084</v>
      </c>
      <c r="C335" s="298"/>
      <c r="D335" s="299"/>
      <c r="E335" s="299"/>
      <c r="F335" s="300"/>
      <c r="G335" s="300"/>
      <c r="H335" s="301"/>
      <c r="I335" s="298"/>
      <c r="J335" s="298"/>
      <c r="K335" s="300"/>
      <c r="L335" s="301"/>
      <c r="M335" s="299">
        <v>-3000</v>
      </c>
      <c r="N335" s="300"/>
      <c r="O335" s="301">
        <f t="shared" si="245"/>
        <v>-3000</v>
      </c>
      <c r="P335" s="301">
        <f t="shared" si="246"/>
        <v>-3000</v>
      </c>
      <c r="Q335" s="302" t="s">
        <v>1068</v>
      </c>
    </row>
    <row r="336" spans="1:17" x14ac:dyDescent="0.25">
      <c r="A336" s="297"/>
      <c r="B336" s="163" t="s">
        <v>942</v>
      </c>
      <c r="C336" s="298"/>
      <c r="D336" s="299"/>
      <c r="E336" s="299"/>
      <c r="F336" s="300"/>
      <c r="G336" s="300"/>
      <c r="H336" s="301"/>
      <c r="I336" s="298"/>
      <c r="J336" s="298"/>
      <c r="K336" s="300"/>
      <c r="L336" s="301"/>
      <c r="M336" s="299">
        <v>-52</v>
      </c>
      <c r="N336" s="300"/>
      <c r="O336" s="301">
        <f t="shared" si="245"/>
        <v>-52</v>
      </c>
      <c r="P336" s="301">
        <f t="shared" si="246"/>
        <v>-52</v>
      </c>
    </row>
    <row r="337" spans="1:16" x14ac:dyDescent="0.25">
      <c r="A337" s="297"/>
      <c r="B337" s="163" t="s">
        <v>1085</v>
      </c>
      <c r="C337" s="298"/>
      <c r="D337" s="299"/>
      <c r="E337" s="299"/>
      <c r="F337" s="300"/>
      <c r="G337" s="300"/>
      <c r="H337" s="301"/>
      <c r="I337" s="298"/>
      <c r="J337" s="298"/>
      <c r="K337" s="300"/>
      <c r="L337" s="301"/>
      <c r="M337" s="299">
        <v>160</v>
      </c>
      <c r="N337" s="300"/>
      <c r="O337" s="301">
        <f t="shared" ref="O337:O339" si="253">SUM(M337:N337)</f>
        <v>160</v>
      </c>
      <c r="P337" s="301">
        <f t="shared" ref="P337:P339" si="254">SUM(O337+L337+H337)</f>
        <v>160</v>
      </c>
    </row>
    <row r="338" spans="1:16" x14ac:dyDescent="0.25">
      <c r="A338" s="297"/>
      <c r="B338" s="163" t="s">
        <v>1086</v>
      </c>
      <c r="C338" s="298"/>
      <c r="D338" s="299"/>
      <c r="E338" s="299"/>
      <c r="F338" s="300"/>
      <c r="G338" s="300"/>
      <c r="H338" s="301"/>
      <c r="I338" s="298"/>
      <c r="J338" s="298"/>
      <c r="K338" s="300"/>
      <c r="L338" s="301"/>
      <c r="M338" s="299">
        <v>63</v>
      </c>
      <c r="N338" s="300"/>
      <c r="O338" s="301">
        <f t="shared" si="253"/>
        <v>63</v>
      </c>
      <c r="P338" s="301">
        <f t="shared" si="254"/>
        <v>63</v>
      </c>
    </row>
    <row r="339" spans="1:16" x14ac:dyDescent="0.25">
      <c r="A339" s="297"/>
      <c r="B339" s="163" t="s">
        <v>1087</v>
      </c>
      <c r="C339" s="298"/>
      <c r="D339" s="299"/>
      <c r="E339" s="299"/>
      <c r="F339" s="300"/>
      <c r="G339" s="300"/>
      <c r="H339" s="301"/>
      <c r="I339" s="298"/>
      <c r="J339" s="298"/>
      <c r="K339" s="300"/>
      <c r="L339" s="301"/>
      <c r="M339" s="299">
        <v>4</v>
      </c>
      <c r="N339" s="300"/>
      <c r="O339" s="301">
        <f t="shared" si="253"/>
        <v>4</v>
      </c>
      <c r="P339" s="301">
        <f t="shared" si="254"/>
        <v>4</v>
      </c>
    </row>
    <row r="340" spans="1:16" ht="31.5" x14ac:dyDescent="0.25">
      <c r="A340" s="297"/>
      <c r="B340" s="163" t="s">
        <v>1088</v>
      </c>
      <c r="C340" s="298"/>
      <c r="D340" s="299"/>
      <c r="E340" s="299"/>
      <c r="F340" s="300"/>
      <c r="G340" s="300"/>
      <c r="H340" s="301"/>
      <c r="I340" s="298"/>
      <c r="J340" s="298"/>
      <c r="K340" s="300"/>
      <c r="L340" s="301"/>
      <c r="M340" s="299">
        <v>945</v>
      </c>
      <c r="N340" s="300"/>
      <c r="O340" s="301">
        <f t="shared" ref="O340:O345" si="255">SUM(M340:N340)</f>
        <v>945</v>
      </c>
      <c r="P340" s="301">
        <f t="shared" ref="P340:P345" si="256">SUM(O340+L340+H340)</f>
        <v>945</v>
      </c>
    </row>
    <row r="341" spans="1:16" x14ac:dyDescent="0.25">
      <c r="A341" s="297"/>
      <c r="B341" s="163" t="s">
        <v>1089</v>
      </c>
      <c r="C341" s="298"/>
      <c r="D341" s="299"/>
      <c r="E341" s="299"/>
      <c r="F341" s="300"/>
      <c r="G341" s="300"/>
      <c r="H341" s="301"/>
      <c r="I341" s="298"/>
      <c r="J341" s="298"/>
      <c r="K341" s="300"/>
      <c r="L341" s="301"/>
      <c r="M341" s="299">
        <v>457</v>
      </c>
      <c r="N341" s="300"/>
      <c r="O341" s="301">
        <f t="shared" si="255"/>
        <v>457</v>
      </c>
      <c r="P341" s="301">
        <f t="shared" si="256"/>
        <v>457</v>
      </c>
    </row>
    <row r="342" spans="1:16" x14ac:dyDescent="0.25">
      <c r="A342" s="297"/>
      <c r="B342" s="163" t="s">
        <v>1090</v>
      </c>
      <c r="C342" s="298"/>
      <c r="D342" s="299"/>
      <c r="E342" s="299"/>
      <c r="F342" s="300"/>
      <c r="G342" s="300"/>
      <c r="H342" s="301"/>
      <c r="I342" s="298"/>
      <c r="J342" s="298"/>
      <c r="K342" s="300"/>
      <c r="L342" s="301"/>
      <c r="M342" s="299">
        <v>13159</v>
      </c>
      <c r="N342" s="300"/>
      <c r="O342" s="301">
        <f t="shared" si="255"/>
        <v>13159</v>
      </c>
      <c r="P342" s="301">
        <f t="shared" si="256"/>
        <v>13159</v>
      </c>
    </row>
    <row r="343" spans="1:16" x14ac:dyDescent="0.25">
      <c r="A343" s="297"/>
      <c r="B343" s="163" t="s">
        <v>1091</v>
      </c>
      <c r="C343" s="298"/>
      <c r="D343" s="299"/>
      <c r="E343" s="299"/>
      <c r="F343" s="300"/>
      <c r="G343" s="300"/>
      <c r="H343" s="301"/>
      <c r="I343" s="298"/>
      <c r="J343" s="298"/>
      <c r="K343" s="300"/>
      <c r="L343" s="301"/>
      <c r="M343" s="299">
        <v>500</v>
      </c>
      <c r="N343" s="300"/>
      <c r="O343" s="301">
        <f t="shared" si="255"/>
        <v>500</v>
      </c>
      <c r="P343" s="301">
        <f t="shared" si="256"/>
        <v>500</v>
      </c>
    </row>
    <row r="344" spans="1:16" x14ac:dyDescent="0.25">
      <c r="A344" s="297"/>
      <c r="B344" s="163" t="s">
        <v>1092</v>
      </c>
      <c r="C344" s="298"/>
      <c r="D344" s="299"/>
      <c r="E344" s="299"/>
      <c r="F344" s="300"/>
      <c r="G344" s="300"/>
      <c r="H344" s="301"/>
      <c r="I344" s="298"/>
      <c r="J344" s="298"/>
      <c r="K344" s="300"/>
      <c r="L344" s="301"/>
      <c r="M344" s="299">
        <f>19869-12103</f>
        <v>7766</v>
      </c>
      <c r="N344" s="300"/>
      <c r="O344" s="301">
        <f t="shared" si="255"/>
        <v>7766</v>
      </c>
      <c r="P344" s="301">
        <f t="shared" si="256"/>
        <v>7766</v>
      </c>
    </row>
    <row r="345" spans="1:16" x14ac:dyDescent="0.25">
      <c r="A345" s="297"/>
      <c r="B345" s="163" t="s">
        <v>1085</v>
      </c>
      <c r="C345" s="298"/>
      <c r="D345" s="299"/>
      <c r="E345" s="299"/>
      <c r="F345" s="300"/>
      <c r="G345" s="300"/>
      <c r="H345" s="301"/>
      <c r="I345" s="298"/>
      <c r="J345" s="298"/>
      <c r="K345" s="300"/>
      <c r="L345" s="301"/>
      <c r="M345" s="299">
        <v>13</v>
      </c>
      <c r="N345" s="300"/>
      <c r="O345" s="301">
        <f t="shared" si="255"/>
        <v>13</v>
      </c>
      <c r="P345" s="301">
        <f t="shared" si="256"/>
        <v>13</v>
      </c>
    </row>
    <row r="346" spans="1:16" ht="31.5" x14ac:dyDescent="0.25">
      <c r="A346" s="297"/>
      <c r="B346" s="163" t="s">
        <v>1093</v>
      </c>
      <c r="C346" s="298"/>
      <c r="D346" s="299"/>
      <c r="E346" s="299"/>
      <c r="F346" s="300"/>
      <c r="G346" s="300"/>
      <c r="H346" s="301"/>
      <c r="I346" s="298"/>
      <c r="J346" s="298"/>
      <c r="K346" s="300"/>
      <c r="L346" s="301"/>
      <c r="M346" s="299">
        <v>572</v>
      </c>
      <c r="N346" s="300"/>
      <c r="O346" s="301">
        <f t="shared" ref="O346:O347" si="257">SUM(M346:N346)</f>
        <v>572</v>
      </c>
      <c r="P346" s="301">
        <f t="shared" ref="P346:P347" si="258">SUM(O346+L346+H346)</f>
        <v>572</v>
      </c>
    </row>
    <row r="347" spans="1:16" ht="31.5" x14ac:dyDescent="0.25">
      <c r="A347" s="297"/>
      <c r="B347" s="163" t="s">
        <v>1088</v>
      </c>
      <c r="C347" s="298"/>
      <c r="D347" s="299"/>
      <c r="E347" s="299"/>
      <c r="F347" s="300"/>
      <c r="G347" s="300"/>
      <c r="H347" s="301"/>
      <c r="I347" s="298"/>
      <c r="J347" s="298"/>
      <c r="K347" s="300"/>
      <c r="L347" s="301"/>
      <c r="M347" s="299">
        <v>256</v>
      </c>
      <c r="N347" s="300"/>
      <c r="O347" s="301">
        <f t="shared" si="257"/>
        <v>256</v>
      </c>
      <c r="P347" s="301">
        <f t="shared" si="258"/>
        <v>256</v>
      </c>
    </row>
    <row r="348" spans="1:16" x14ac:dyDescent="0.25">
      <c r="A348" s="297"/>
      <c r="B348" s="163" t="s">
        <v>1096</v>
      </c>
      <c r="C348" s="298"/>
      <c r="D348" s="299"/>
      <c r="E348" s="299"/>
      <c r="F348" s="300"/>
      <c r="G348" s="300"/>
      <c r="H348" s="301"/>
      <c r="I348" s="298"/>
      <c r="J348" s="298"/>
      <c r="K348" s="300"/>
      <c r="L348" s="301"/>
      <c r="M348" s="299">
        <f>25476-51565</f>
        <v>-26089</v>
      </c>
      <c r="N348" s="300"/>
      <c r="O348" s="301">
        <f t="shared" ref="O348:O352" si="259">SUM(M348:N348)</f>
        <v>-26089</v>
      </c>
      <c r="P348" s="301">
        <f t="shared" ref="P348:P352" si="260">SUM(O348+L348+H348)</f>
        <v>-26089</v>
      </c>
    </row>
    <row r="349" spans="1:16" x14ac:dyDescent="0.25">
      <c r="A349" s="297"/>
      <c r="B349" s="163" t="s">
        <v>1098</v>
      </c>
      <c r="C349" s="298"/>
      <c r="D349" s="299"/>
      <c r="E349" s="299"/>
      <c r="F349" s="300"/>
      <c r="G349" s="300"/>
      <c r="H349" s="301"/>
      <c r="I349" s="298"/>
      <c r="J349" s="298"/>
      <c r="K349" s="300"/>
      <c r="L349" s="301"/>
      <c r="M349" s="299">
        <v>19578</v>
      </c>
      <c r="N349" s="300"/>
      <c r="O349" s="301">
        <f t="shared" si="259"/>
        <v>19578</v>
      </c>
      <c r="P349" s="301">
        <f t="shared" si="260"/>
        <v>19578</v>
      </c>
    </row>
    <row r="350" spans="1:16" x14ac:dyDescent="0.25">
      <c r="A350" s="297"/>
      <c r="B350" s="163" t="s">
        <v>1085</v>
      </c>
      <c r="C350" s="298"/>
      <c r="D350" s="299"/>
      <c r="E350" s="299"/>
      <c r="F350" s="300"/>
      <c r="G350" s="300"/>
      <c r="H350" s="301"/>
      <c r="I350" s="298"/>
      <c r="J350" s="298"/>
      <c r="K350" s="300"/>
      <c r="L350" s="301"/>
      <c r="M350" s="299">
        <v>1</v>
      </c>
      <c r="N350" s="300"/>
      <c r="O350" s="301">
        <f t="shared" si="259"/>
        <v>1</v>
      </c>
      <c r="P350" s="301">
        <f t="shared" si="260"/>
        <v>1</v>
      </c>
    </row>
    <row r="351" spans="1:16" x14ac:dyDescent="0.25">
      <c r="A351" s="297"/>
      <c r="B351" s="163" t="s">
        <v>1102</v>
      </c>
      <c r="C351" s="298"/>
      <c r="D351" s="299"/>
      <c r="E351" s="299"/>
      <c r="F351" s="300"/>
      <c r="G351" s="300"/>
      <c r="H351" s="301"/>
      <c r="I351" s="298"/>
      <c r="J351" s="298"/>
      <c r="K351" s="300"/>
      <c r="L351" s="301"/>
      <c r="M351" s="878">
        <v>1</v>
      </c>
      <c r="N351" s="300"/>
      <c r="O351" s="301">
        <f t="shared" si="259"/>
        <v>1</v>
      </c>
      <c r="P351" s="301">
        <f t="shared" si="260"/>
        <v>1</v>
      </c>
    </row>
    <row r="352" spans="1:16" x14ac:dyDescent="0.25">
      <c r="A352" s="297"/>
      <c r="B352" s="163" t="s">
        <v>1103</v>
      </c>
      <c r="C352" s="298"/>
      <c r="D352" s="299"/>
      <c r="E352" s="299"/>
      <c r="F352" s="300"/>
      <c r="G352" s="300"/>
      <c r="H352" s="301"/>
      <c r="I352" s="298"/>
      <c r="J352" s="298"/>
      <c r="K352" s="300"/>
      <c r="L352" s="301"/>
      <c r="M352" s="878">
        <v>2891</v>
      </c>
      <c r="N352" s="300"/>
      <c r="O352" s="301">
        <f t="shared" si="259"/>
        <v>2891</v>
      </c>
      <c r="P352" s="301">
        <f t="shared" si="260"/>
        <v>2891</v>
      </c>
    </row>
    <row r="353" spans="1:16" x14ac:dyDescent="0.25">
      <c r="A353" s="297"/>
      <c r="B353" s="163" t="s">
        <v>1104</v>
      </c>
      <c r="C353" s="298"/>
      <c r="D353" s="299"/>
      <c r="E353" s="299"/>
      <c r="F353" s="300"/>
      <c r="G353" s="300"/>
      <c r="H353" s="301"/>
      <c r="I353" s="298"/>
      <c r="J353" s="298"/>
      <c r="K353" s="300"/>
      <c r="L353" s="301"/>
      <c r="M353" s="878">
        <v>695</v>
      </c>
      <c r="N353" s="300"/>
      <c r="O353" s="301">
        <f t="shared" ref="O353:O359" si="261">SUM(M353:N353)</f>
        <v>695</v>
      </c>
      <c r="P353" s="301">
        <f t="shared" ref="P353:P359" si="262">SUM(O353+L353+H353)</f>
        <v>695</v>
      </c>
    </row>
    <row r="354" spans="1:16" x14ac:dyDescent="0.25">
      <c r="A354" s="297"/>
      <c r="B354" s="163" t="s">
        <v>1105</v>
      </c>
      <c r="C354" s="298"/>
      <c r="D354" s="299"/>
      <c r="E354" s="299"/>
      <c r="F354" s="300"/>
      <c r="G354" s="300"/>
      <c r="H354" s="301"/>
      <c r="I354" s="298"/>
      <c r="J354" s="298"/>
      <c r="K354" s="300"/>
      <c r="L354" s="301"/>
      <c r="M354" s="878">
        <v>691</v>
      </c>
      <c r="N354" s="300"/>
      <c r="O354" s="301">
        <f t="shared" si="261"/>
        <v>691</v>
      </c>
      <c r="P354" s="301">
        <f t="shared" si="262"/>
        <v>691</v>
      </c>
    </row>
    <row r="355" spans="1:16" x14ac:dyDescent="0.25">
      <c r="A355" s="297"/>
      <c r="B355" s="163" t="s">
        <v>1106</v>
      </c>
      <c r="C355" s="298"/>
      <c r="D355" s="299"/>
      <c r="E355" s="299"/>
      <c r="F355" s="300"/>
      <c r="G355" s="300"/>
      <c r="H355" s="301"/>
      <c r="I355" s="298"/>
      <c r="J355" s="298"/>
      <c r="K355" s="300"/>
      <c r="L355" s="301"/>
      <c r="M355" s="878">
        <v>522</v>
      </c>
      <c r="N355" s="300"/>
      <c r="O355" s="301">
        <f t="shared" si="261"/>
        <v>522</v>
      </c>
      <c r="P355" s="301">
        <f t="shared" si="262"/>
        <v>522</v>
      </c>
    </row>
    <row r="356" spans="1:16" x14ac:dyDescent="0.25">
      <c r="A356" s="297"/>
      <c r="B356" s="163" t="s">
        <v>987</v>
      </c>
      <c r="C356" s="298"/>
      <c r="D356" s="299"/>
      <c r="E356" s="299"/>
      <c r="F356" s="300"/>
      <c r="G356" s="300"/>
      <c r="H356" s="301"/>
      <c r="I356" s="298"/>
      <c r="J356" s="298"/>
      <c r="K356" s="300"/>
      <c r="L356" s="301"/>
      <c r="M356" s="878">
        <v>3</v>
      </c>
      <c r="N356" s="300"/>
      <c r="O356" s="301">
        <f t="shared" si="261"/>
        <v>3</v>
      </c>
      <c r="P356" s="301">
        <f t="shared" si="262"/>
        <v>3</v>
      </c>
    </row>
    <row r="357" spans="1:16" x14ac:dyDescent="0.25">
      <c r="A357" s="297"/>
      <c r="B357" s="163" t="s">
        <v>1107</v>
      </c>
      <c r="C357" s="298"/>
      <c r="D357" s="299"/>
      <c r="E357" s="299"/>
      <c r="F357" s="300"/>
      <c r="G357" s="300"/>
      <c r="H357" s="301"/>
      <c r="I357" s="298"/>
      <c r="J357" s="298"/>
      <c r="K357" s="300"/>
      <c r="L357" s="301"/>
      <c r="M357" s="878">
        <v>478</v>
      </c>
      <c r="N357" s="300"/>
      <c r="O357" s="301">
        <f t="shared" si="261"/>
        <v>478</v>
      </c>
      <c r="P357" s="301">
        <f t="shared" si="262"/>
        <v>478</v>
      </c>
    </row>
    <row r="358" spans="1:16" x14ac:dyDescent="0.25">
      <c r="A358" s="297"/>
      <c r="B358" s="163" t="s">
        <v>1108</v>
      </c>
      <c r="C358" s="298"/>
      <c r="D358" s="299"/>
      <c r="E358" s="299"/>
      <c r="F358" s="300"/>
      <c r="G358" s="300"/>
      <c r="H358" s="301"/>
      <c r="I358" s="298"/>
      <c r="J358" s="298"/>
      <c r="K358" s="300"/>
      <c r="L358" s="301"/>
      <c r="M358" s="878">
        <v>434</v>
      </c>
      <c r="N358" s="300"/>
      <c r="O358" s="301">
        <f t="shared" si="261"/>
        <v>434</v>
      </c>
      <c r="P358" s="301">
        <f t="shared" si="262"/>
        <v>434</v>
      </c>
    </row>
    <row r="359" spans="1:16" x14ac:dyDescent="0.25">
      <c r="A359" s="297"/>
      <c r="B359" s="163" t="s">
        <v>1109</v>
      </c>
      <c r="C359" s="298"/>
      <c r="D359" s="299"/>
      <c r="E359" s="299"/>
      <c r="F359" s="300"/>
      <c r="G359" s="300"/>
      <c r="H359" s="301"/>
      <c r="I359" s="298"/>
      <c r="J359" s="298"/>
      <c r="K359" s="300"/>
      <c r="L359" s="301"/>
      <c r="M359" s="878">
        <v>244</v>
      </c>
      <c r="N359" s="300"/>
      <c r="O359" s="301">
        <f t="shared" si="261"/>
        <v>244</v>
      </c>
      <c r="P359" s="301">
        <f t="shared" si="262"/>
        <v>244</v>
      </c>
    </row>
    <row r="360" spans="1:16" x14ac:dyDescent="0.25">
      <c r="A360" s="297"/>
      <c r="B360" s="163" t="s">
        <v>1110</v>
      </c>
      <c r="C360" s="298"/>
      <c r="D360" s="299"/>
      <c r="E360" s="299"/>
      <c r="F360" s="300"/>
      <c r="G360" s="300"/>
      <c r="H360" s="301"/>
      <c r="I360" s="298"/>
      <c r="J360" s="298"/>
      <c r="K360" s="300"/>
      <c r="L360" s="301"/>
      <c r="M360" s="878">
        <v>318</v>
      </c>
      <c r="N360" s="300"/>
      <c r="O360" s="301">
        <f t="shared" ref="O360:O363" si="263">SUM(M360:N360)</f>
        <v>318</v>
      </c>
      <c r="P360" s="301">
        <f t="shared" ref="P360:P363" si="264">SUM(O360+L360+H360)</f>
        <v>318</v>
      </c>
    </row>
    <row r="361" spans="1:16" x14ac:dyDescent="0.25">
      <c r="A361" s="297"/>
      <c r="B361" s="163" t="s">
        <v>1082</v>
      </c>
      <c r="C361" s="298"/>
      <c r="D361" s="299"/>
      <c r="E361" s="299"/>
      <c r="F361" s="300"/>
      <c r="G361" s="300"/>
      <c r="H361" s="301"/>
      <c r="I361" s="298"/>
      <c r="J361" s="298"/>
      <c r="K361" s="300"/>
      <c r="L361" s="301"/>
      <c r="M361" s="878">
        <v>30</v>
      </c>
      <c r="N361" s="300"/>
      <c r="O361" s="301">
        <f t="shared" si="263"/>
        <v>30</v>
      </c>
      <c r="P361" s="301">
        <f t="shared" si="264"/>
        <v>30</v>
      </c>
    </row>
    <row r="362" spans="1:16" ht="31.5" x14ac:dyDescent="0.25">
      <c r="A362" s="297"/>
      <c r="B362" s="163" t="s">
        <v>1111</v>
      </c>
      <c r="C362" s="298"/>
      <c r="D362" s="299"/>
      <c r="E362" s="299"/>
      <c r="F362" s="300"/>
      <c r="G362" s="300"/>
      <c r="H362" s="301"/>
      <c r="I362" s="298"/>
      <c r="J362" s="298"/>
      <c r="K362" s="300"/>
      <c r="L362" s="301"/>
      <c r="M362" s="879">
        <v>595</v>
      </c>
      <c r="N362" s="300"/>
      <c r="O362" s="301">
        <f t="shared" si="263"/>
        <v>595</v>
      </c>
      <c r="P362" s="301">
        <f t="shared" si="264"/>
        <v>595</v>
      </c>
    </row>
    <row r="363" spans="1:16" x14ac:dyDescent="0.25">
      <c r="A363" s="297"/>
      <c r="B363" s="163" t="s">
        <v>1112</v>
      </c>
      <c r="C363" s="298"/>
      <c r="D363" s="299"/>
      <c r="E363" s="299"/>
      <c r="F363" s="300"/>
      <c r="G363" s="300"/>
      <c r="H363" s="301"/>
      <c r="I363" s="298"/>
      <c r="J363" s="298"/>
      <c r="K363" s="300"/>
      <c r="L363" s="301"/>
      <c r="M363" s="878">
        <v>132</v>
      </c>
      <c r="N363" s="300"/>
      <c r="O363" s="301">
        <f t="shared" si="263"/>
        <v>132</v>
      </c>
      <c r="P363" s="301">
        <f t="shared" si="264"/>
        <v>132</v>
      </c>
    </row>
    <row r="364" spans="1:16" x14ac:dyDescent="0.25">
      <c r="A364" s="297"/>
      <c r="B364" s="163" t="s">
        <v>1113</v>
      </c>
      <c r="C364" s="298"/>
      <c r="D364" s="299"/>
      <c r="E364" s="299"/>
      <c r="F364" s="300"/>
      <c r="G364" s="300"/>
      <c r="H364" s="301"/>
      <c r="I364" s="298"/>
      <c r="J364" s="298"/>
      <c r="K364" s="300"/>
      <c r="L364" s="301"/>
      <c r="M364" s="878">
        <v>4</v>
      </c>
      <c r="N364" s="300"/>
      <c r="O364" s="301">
        <f t="shared" ref="O364:O374" si="265">SUM(M364:N364)</f>
        <v>4</v>
      </c>
      <c r="P364" s="301">
        <f t="shared" ref="P364:P374" si="266">SUM(O364+L364+H364)</f>
        <v>4</v>
      </c>
    </row>
    <row r="365" spans="1:16" x14ac:dyDescent="0.25">
      <c r="A365" s="297"/>
      <c r="B365" s="163" t="s">
        <v>1114</v>
      </c>
      <c r="C365" s="298"/>
      <c r="D365" s="299"/>
      <c r="E365" s="299"/>
      <c r="F365" s="300"/>
      <c r="G365" s="300"/>
      <c r="H365" s="301"/>
      <c r="I365" s="298"/>
      <c r="J365" s="298"/>
      <c r="K365" s="300"/>
      <c r="L365" s="301"/>
      <c r="M365" s="878">
        <v>500</v>
      </c>
      <c r="N365" s="300"/>
      <c r="O365" s="301">
        <f t="shared" si="265"/>
        <v>500</v>
      </c>
      <c r="P365" s="301">
        <f t="shared" si="266"/>
        <v>500</v>
      </c>
    </row>
    <row r="366" spans="1:16" x14ac:dyDescent="0.25">
      <c r="A366" s="297"/>
      <c r="B366" s="163" t="s">
        <v>1115</v>
      </c>
      <c r="C366" s="298"/>
      <c r="D366" s="299"/>
      <c r="E366" s="299"/>
      <c r="F366" s="300"/>
      <c r="G366" s="300"/>
      <c r="H366" s="301"/>
      <c r="I366" s="298"/>
      <c r="J366" s="298"/>
      <c r="K366" s="300"/>
      <c r="L366" s="301"/>
      <c r="M366" s="878">
        <v>470</v>
      </c>
      <c r="N366" s="300"/>
      <c r="O366" s="301">
        <f t="shared" si="265"/>
        <v>470</v>
      </c>
      <c r="P366" s="301">
        <f t="shared" si="266"/>
        <v>470</v>
      </c>
    </row>
    <row r="367" spans="1:16" ht="31.5" x14ac:dyDescent="0.25">
      <c r="A367" s="297"/>
      <c r="B367" s="163" t="s">
        <v>1116</v>
      </c>
      <c r="C367" s="298"/>
      <c r="D367" s="299"/>
      <c r="E367" s="299"/>
      <c r="F367" s="300"/>
      <c r="G367" s="300"/>
      <c r="H367" s="301"/>
      <c r="I367" s="298"/>
      <c r="J367" s="298"/>
      <c r="K367" s="300"/>
      <c r="L367" s="301"/>
      <c r="M367" s="878">
        <v>1</v>
      </c>
      <c r="N367" s="300"/>
      <c r="O367" s="301">
        <f t="shared" si="265"/>
        <v>1</v>
      </c>
      <c r="P367" s="301">
        <f t="shared" si="266"/>
        <v>1</v>
      </c>
    </row>
    <row r="368" spans="1:16" x14ac:dyDescent="0.25">
      <c r="A368" s="297"/>
      <c r="B368" s="163" t="s">
        <v>1117</v>
      </c>
      <c r="C368" s="298"/>
      <c r="D368" s="299"/>
      <c r="E368" s="299"/>
      <c r="F368" s="300"/>
      <c r="G368" s="300"/>
      <c r="H368" s="301"/>
      <c r="I368" s="298"/>
      <c r="J368" s="298"/>
      <c r="K368" s="300"/>
      <c r="L368" s="301"/>
      <c r="M368" s="878">
        <v>7231</v>
      </c>
      <c r="N368" s="300"/>
      <c r="O368" s="301">
        <f t="shared" si="265"/>
        <v>7231</v>
      </c>
      <c r="P368" s="301">
        <f t="shared" si="266"/>
        <v>7231</v>
      </c>
    </row>
    <row r="369" spans="1:17" x14ac:dyDescent="0.25">
      <c r="A369" s="297"/>
      <c r="B369" s="163" t="s">
        <v>1118</v>
      </c>
      <c r="C369" s="298"/>
      <c r="D369" s="299"/>
      <c r="E369" s="299"/>
      <c r="F369" s="300"/>
      <c r="G369" s="300"/>
      <c r="H369" s="301"/>
      <c r="I369" s="298"/>
      <c r="J369" s="298"/>
      <c r="K369" s="300"/>
      <c r="L369" s="301"/>
      <c r="M369" s="878">
        <v>680</v>
      </c>
      <c r="N369" s="300"/>
      <c r="O369" s="301">
        <f t="shared" si="265"/>
        <v>680</v>
      </c>
      <c r="P369" s="301">
        <f t="shared" si="266"/>
        <v>680</v>
      </c>
    </row>
    <row r="370" spans="1:17" x14ac:dyDescent="0.25">
      <c r="A370" s="297"/>
      <c r="B370" s="163" t="s">
        <v>752</v>
      </c>
      <c r="C370" s="298"/>
      <c r="D370" s="299"/>
      <c r="E370" s="299"/>
      <c r="F370" s="300"/>
      <c r="G370" s="300"/>
      <c r="H370" s="301"/>
      <c r="I370" s="298"/>
      <c r="J370" s="298"/>
      <c r="K370" s="300"/>
      <c r="L370" s="301"/>
      <c r="M370" s="878">
        <v>99</v>
      </c>
      <c r="N370" s="300"/>
      <c r="O370" s="301">
        <f t="shared" si="265"/>
        <v>99</v>
      </c>
      <c r="P370" s="301">
        <f t="shared" si="266"/>
        <v>99</v>
      </c>
    </row>
    <row r="371" spans="1:17" x14ac:dyDescent="0.25">
      <c r="A371" s="297"/>
      <c r="B371" s="163" t="s">
        <v>755</v>
      </c>
      <c r="C371" s="298"/>
      <c r="D371" s="299"/>
      <c r="E371" s="299"/>
      <c r="F371" s="300"/>
      <c r="G371" s="300"/>
      <c r="H371" s="301"/>
      <c r="I371" s="298"/>
      <c r="J371" s="298"/>
      <c r="K371" s="300"/>
      <c r="L371" s="301"/>
      <c r="M371" s="878">
        <v>83</v>
      </c>
      <c r="N371" s="300"/>
      <c r="O371" s="301">
        <f t="shared" si="265"/>
        <v>83</v>
      </c>
      <c r="P371" s="301">
        <f t="shared" si="266"/>
        <v>83</v>
      </c>
    </row>
    <row r="372" spans="1:17" ht="31.5" x14ac:dyDescent="0.25">
      <c r="A372" s="297"/>
      <c r="B372" s="163" t="s">
        <v>1119</v>
      </c>
      <c r="C372" s="298"/>
      <c r="D372" s="299"/>
      <c r="E372" s="299"/>
      <c r="F372" s="300"/>
      <c r="G372" s="300"/>
      <c r="H372" s="301"/>
      <c r="I372" s="298"/>
      <c r="J372" s="298"/>
      <c r="K372" s="300"/>
      <c r="L372" s="301"/>
      <c r="M372" s="1066">
        <v>86</v>
      </c>
      <c r="N372" s="300"/>
      <c r="O372" s="301">
        <f t="shared" si="265"/>
        <v>86</v>
      </c>
      <c r="P372" s="301">
        <f t="shared" si="266"/>
        <v>86</v>
      </c>
    </row>
    <row r="373" spans="1:17" ht="31.5" x14ac:dyDescent="0.25">
      <c r="A373" s="297"/>
      <c r="B373" s="163" t="s">
        <v>1120</v>
      </c>
      <c r="C373" s="298"/>
      <c r="D373" s="299"/>
      <c r="E373" s="299"/>
      <c r="F373" s="300"/>
      <c r="G373" s="300"/>
      <c r="H373" s="301"/>
      <c r="I373" s="298"/>
      <c r="J373" s="298"/>
      <c r="K373" s="300"/>
      <c r="L373" s="301"/>
      <c r="M373" s="1066">
        <v>5</v>
      </c>
      <c r="N373" s="300"/>
      <c r="O373" s="301">
        <f t="shared" ref="O373" si="267">SUM(M373:N373)</f>
        <v>5</v>
      </c>
      <c r="P373" s="301">
        <f t="shared" ref="P373" si="268">SUM(O373+L373+H373)</f>
        <v>5</v>
      </c>
    </row>
    <row r="374" spans="1:17" ht="63" x14ac:dyDescent="0.25">
      <c r="A374" s="297"/>
      <c r="B374" s="163" t="s">
        <v>1284</v>
      </c>
      <c r="C374" s="298"/>
      <c r="D374" s="299"/>
      <c r="E374" s="299"/>
      <c r="F374" s="300"/>
      <c r="G374" s="300"/>
      <c r="H374" s="301"/>
      <c r="I374" s="298"/>
      <c r="J374" s="298"/>
      <c r="K374" s="300"/>
      <c r="L374" s="301"/>
      <c r="M374" s="300">
        <v>-358106</v>
      </c>
      <c r="N374" s="300"/>
      <c r="O374" s="301">
        <f t="shared" si="265"/>
        <v>-358106</v>
      </c>
      <c r="P374" s="301">
        <f t="shared" si="266"/>
        <v>-358106</v>
      </c>
      <c r="Q374" s="302" t="s">
        <v>828</v>
      </c>
    </row>
    <row r="375" spans="1:17" ht="31.5" x14ac:dyDescent="0.25">
      <c r="A375" s="297"/>
      <c r="B375" s="163" t="s">
        <v>1285</v>
      </c>
      <c r="C375" s="298"/>
      <c r="D375" s="299"/>
      <c r="E375" s="299"/>
      <c r="F375" s="300"/>
      <c r="G375" s="300"/>
      <c r="H375" s="301"/>
      <c r="I375" s="298"/>
      <c r="J375" s="298"/>
      <c r="K375" s="300"/>
      <c r="L375" s="301"/>
      <c r="M375" s="300">
        <v>-65000</v>
      </c>
      <c r="N375" s="300"/>
      <c r="O375" s="301">
        <f t="shared" ref="O375:O382" si="269">SUM(M375:N375)</f>
        <v>-65000</v>
      </c>
      <c r="P375" s="301">
        <f t="shared" ref="P375:P382" si="270">SUM(O375+L375+H375)</f>
        <v>-65000</v>
      </c>
      <c r="Q375" s="302" t="s">
        <v>828</v>
      </c>
    </row>
    <row r="376" spans="1:17" ht="31.5" x14ac:dyDescent="0.25">
      <c r="A376" s="297"/>
      <c r="B376" s="163" t="s">
        <v>1286</v>
      </c>
      <c r="C376" s="298"/>
      <c r="D376" s="299"/>
      <c r="E376" s="299"/>
      <c r="F376" s="300"/>
      <c r="G376" s="300"/>
      <c r="H376" s="301"/>
      <c r="I376" s="298"/>
      <c r="J376" s="298"/>
      <c r="K376" s="300"/>
      <c r="L376" s="301"/>
      <c r="M376" s="300">
        <v>-50000</v>
      </c>
      <c r="N376" s="300"/>
      <c r="O376" s="301">
        <f t="shared" si="269"/>
        <v>-50000</v>
      </c>
      <c r="P376" s="301">
        <f t="shared" si="270"/>
        <v>-50000</v>
      </c>
      <c r="Q376" s="302" t="s">
        <v>828</v>
      </c>
    </row>
    <row r="377" spans="1:17" ht="31.5" x14ac:dyDescent="0.25">
      <c r="A377" s="297"/>
      <c r="B377" s="163" t="s">
        <v>1287</v>
      </c>
      <c r="C377" s="298"/>
      <c r="D377" s="299"/>
      <c r="E377" s="299"/>
      <c r="F377" s="300"/>
      <c r="G377" s="300"/>
      <c r="H377" s="301"/>
      <c r="I377" s="298"/>
      <c r="J377" s="298"/>
      <c r="K377" s="300"/>
      <c r="L377" s="301"/>
      <c r="M377" s="300">
        <v>-250000</v>
      </c>
      <c r="N377" s="300"/>
      <c r="O377" s="301">
        <f t="shared" si="269"/>
        <v>-250000</v>
      </c>
      <c r="P377" s="301">
        <f t="shared" si="270"/>
        <v>-250000</v>
      </c>
      <c r="Q377" s="302" t="s">
        <v>828</v>
      </c>
    </row>
    <row r="378" spans="1:17" x14ac:dyDescent="0.25">
      <c r="A378" s="297"/>
      <c r="B378" s="163" t="s">
        <v>1288</v>
      </c>
      <c r="C378" s="298"/>
      <c r="D378" s="299"/>
      <c r="E378" s="299"/>
      <c r="F378" s="300"/>
      <c r="G378" s="300"/>
      <c r="H378" s="301"/>
      <c r="I378" s="298"/>
      <c r="J378" s="298"/>
      <c r="K378" s="300"/>
      <c r="L378" s="301"/>
      <c r="M378" s="300">
        <v>-70000</v>
      </c>
      <c r="N378" s="300"/>
      <c r="O378" s="301">
        <f t="shared" ref="O378:O381" si="271">SUM(M378:N378)</f>
        <v>-70000</v>
      </c>
      <c r="P378" s="301">
        <f t="shared" ref="P378:P381" si="272">SUM(O378+L378+H378)</f>
        <v>-70000</v>
      </c>
      <c r="Q378" s="302" t="s">
        <v>828</v>
      </c>
    </row>
    <row r="379" spans="1:17" ht="31.5" x14ac:dyDescent="0.25">
      <c r="A379" s="297"/>
      <c r="B379" s="163" t="s">
        <v>1289</v>
      </c>
      <c r="C379" s="298"/>
      <c r="D379" s="299"/>
      <c r="E379" s="299"/>
      <c r="F379" s="300"/>
      <c r="G379" s="300"/>
      <c r="H379" s="301"/>
      <c r="I379" s="298"/>
      <c r="J379" s="298"/>
      <c r="K379" s="300"/>
      <c r="L379" s="301"/>
      <c r="M379" s="300">
        <v>-100000</v>
      </c>
      <c r="N379" s="300"/>
      <c r="O379" s="301">
        <f t="shared" si="271"/>
        <v>-100000</v>
      </c>
      <c r="P379" s="301">
        <f t="shared" si="272"/>
        <v>-100000</v>
      </c>
      <c r="Q379" s="302" t="s">
        <v>828</v>
      </c>
    </row>
    <row r="380" spans="1:17" ht="31.5" x14ac:dyDescent="0.25">
      <c r="A380" s="297"/>
      <c r="B380" s="163" t="s">
        <v>1292</v>
      </c>
      <c r="C380" s="298"/>
      <c r="D380" s="299"/>
      <c r="E380" s="299"/>
      <c r="F380" s="300"/>
      <c r="G380" s="300"/>
      <c r="H380" s="301"/>
      <c r="I380" s="298"/>
      <c r="J380" s="298"/>
      <c r="K380" s="300"/>
      <c r="L380" s="301"/>
      <c r="M380" s="300">
        <v>2785</v>
      </c>
      <c r="N380" s="300"/>
      <c r="O380" s="301">
        <f t="shared" si="271"/>
        <v>2785</v>
      </c>
      <c r="P380" s="301">
        <f t="shared" si="272"/>
        <v>2785</v>
      </c>
      <c r="Q380" s="302" t="s">
        <v>828</v>
      </c>
    </row>
    <row r="381" spans="1:17" x14ac:dyDescent="0.25">
      <c r="A381" s="297"/>
      <c r="B381" s="163"/>
      <c r="C381" s="298"/>
      <c r="D381" s="299"/>
      <c r="E381" s="299"/>
      <c r="F381" s="300"/>
      <c r="G381" s="300"/>
      <c r="H381" s="301"/>
      <c r="I381" s="298"/>
      <c r="J381" s="298"/>
      <c r="K381" s="300"/>
      <c r="L381" s="301"/>
      <c r="M381" s="300"/>
      <c r="N381" s="300"/>
      <c r="O381" s="301">
        <f t="shared" si="271"/>
        <v>0</v>
      </c>
      <c r="P381" s="301">
        <f t="shared" si="272"/>
        <v>0</v>
      </c>
      <c r="Q381" s="302" t="s">
        <v>828</v>
      </c>
    </row>
    <row r="382" spans="1:17" x14ac:dyDescent="0.25">
      <c r="A382" s="297"/>
      <c r="B382" s="163"/>
      <c r="C382" s="298"/>
      <c r="D382" s="299"/>
      <c r="E382" s="299"/>
      <c r="F382" s="300"/>
      <c r="G382" s="300"/>
      <c r="H382" s="301"/>
      <c r="I382" s="298"/>
      <c r="J382" s="298"/>
      <c r="K382" s="300"/>
      <c r="L382" s="301"/>
      <c r="M382" s="300"/>
      <c r="N382" s="300"/>
      <c r="O382" s="301">
        <f t="shared" si="269"/>
        <v>0</v>
      </c>
      <c r="P382" s="301">
        <f t="shared" si="270"/>
        <v>0</v>
      </c>
      <c r="Q382" s="302" t="s">
        <v>828</v>
      </c>
    </row>
    <row r="383" spans="1:17" x14ac:dyDescent="0.25">
      <c r="A383" s="297"/>
      <c r="B383" s="163"/>
      <c r="C383" s="298"/>
      <c r="D383" s="299"/>
      <c r="E383" s="299"/>
      <c r="F383" s="300"/>
      <c r="G383" s="300"/>
      <c r="H383" s="301"/>
      <c r="I383" s="298"/>
      <c r="J383" s="298"/>
      <c r="K383" s="300"/>
      <c r="L383" s="301"/>
      <c r="M383" s="300"/>
      <c r="N383" s="300"/>
      <c r="O383" s="301">
        <f t="shared" ref="O383" si="273">SUM(M383:N383)</f>
        <v>0</v>
      </c>
      <c r="P383" s="301">
        <f t="shared" ref="P383" si="274">SUM(O383+L383+H383)</f>
        <v>0</v>
      </c>
    </row>
    <row r="384" spans="1:17" x14ac:dyDescent="0.25">
      <c r="A384" s="297"/>
      <c r="B384" s="327" t="s">
        <v>474</v>
      </c>
      <c r="C384" s="298" t="s">
        <v>927</v>
      </c>
      <c r="D384" s="299"/>
      <c r="E384" s="299"/>
      <c r="F384" s="300"/>
      <c r="G384" s="300"/>
      <c r="H384" s="301"/>
      <c r="I384" s="298"/>
      <c r="J384" s="298"/>
      <c r="K384" s="300"/>
      <c r="L384" s="301"/>
      <c r="M384" s="299"/>
      <c r="N384" s="300"/>
      <c r="O384" s="301"/>
      <c r="P384" s="301">
        <f t="shared" ref="P384" si="275">SUM(O384+L384+H384)</f>
        <v>0</v>
      </c>
    </row>
    <row r="385" spans="1:17" x14ac:dyDescent="0.25">
      <c r="A385" s="297"/>
      <c r="B385" s="256"/>
      <c r="C385" s="298" t="s">
        <v>927</v>
      </c>
      <c r="D385" s="299"/>
      <c r="E385" s="299"/>
      <c r="F385" s="300"/>
      <c r="G385" s="300"/>
      <c r="H385" s="301"/>
      <c r="I385" s="298"/>
      <c r="J385" s="298"/>
      <c r="K385" s="300"/>
      <c r="L385" s="301"/>
      <c r="M385" s="300"/>
      <c r="N385" s="300"/>
      <c r="O385" s="301">
        <f t="shared" ref="O385:O388" si="276">SUM(M385:N385)</f>
        <v>0</v>
      </c>
      <c r="P385" s="301">
        <f t="shared" ref="P385:P388" si="277">SUM(O385+L385+H385)</f>
        <v>0</v>
      </c>
      <c r="Q385" s="302" t="s">
        <v>828</v>
      </c>
    </row>
    <row r="386" spans="1:17" x14ac:dyDescent="0.25">
      <c r="A386" s="297"/>
      <c r="B386" s="327" t="s">
        <v>957</v>
      </c>
      <c r="C386" s="298" t="s">
        <v>927</v>
      </c>
      <c r="D386" s="299"/>
      <c r="E386" s="299"/>
      <c r="F386" s="300"/>
      <c r="G386" s="300"/>
      <c r="H386" s="301"/>
      <c r="I386" s="298"/>
      <c r="J386" s="298"/>
      <c r="K386" s="300"/>
      <c r="L386" s="301"/>
      <c r="M386" s="299"/>
      <c r="N386" s="300"/>
      <c r="O386" s="301"/>
      <c r="P386" s="301">
        <f t="shared" si="277"/>
        <v>0</v>
      </c>
    </row>
    <row r="387" spans="1:17" ht="31.5" x14ac:dyDescent="0.25">
      <c r="A387" s="297"/>
      <c r="B387" s="256" t="s">
        <v>1268</v>
      </c>
      <c r="C387" s="298" t="s">
        <v>927</v>
      </c>
      <c r="D387" s="299"/>
      <c r="E387" s="299"/>
      <c r="F387" s="300"/>
      <c r="G387" s="300"/>
      <c r="H387" s="301"/>
      <c r="I387" s="298"/>
      <c r="J387" s="298"/>
      <c r="K387" s="300"/>
      <c r="L387" s="301"/>
      <c r="M387" s="300">
        <v>2556</v>
      </c>
      <c r="N387" s="300"/>
      <c r="O387" s="301">
        <f t="shared" ref="O387" si="278">SUM(M387:N387)</f>
        <v>2556</v>
      </c>
      <c r="P387" s="301">
        <f t="shared" ref="P387" si="279">SUM(O387+L387+H387)</f>
        <v>2556</v>
      </c>
      <c r="Q387" s="302" t="s">
        <v>828</v>
      </c>
    </row>
    <row r="388" spans="1:17" x14ac:dyDescent="0.25">
      <c r="A388" s="297"/>
      <c r="B388" s="256" t="s">
        <v>1278</v>
      </c>
      <c r="C388" s="298" t="s">
        <v>927</v>
      </c>
      <c r="D388" s="299"/>
      <c r="E388" s="299"/>
      <c r="F388" s="300"/>
      <c r="G388" s="300"/>
      <c r="H388" s="301"/>
      <c r="I388" s="298"/>
      <c r="J388" s="298"/>
      <c r="K388" s="300"/>
      <c r="L388" s="301"/>
      <c r="M388" s="300">
        <f>-722+1124+2466+839</f>
        <v>3707</v>
      </c>
      <c r="N388" s="300"/>
      <c r="O388" s="301">
        <f t="shared" si="276"/>
        <v>3707</v>
      </c>
      <c r="P388" s="301">
        <f t="shared" si="277"/>
        <v>3707</v>
      </c>
      <c r="Q388" s="302" t="s">
        <v>1279</v>
      </c>
    </row>
    <row r="389" spans="1:17" x14ac:dyDescent="0.25">
      <c r="A389" s="297"/>
      <c r="B389" s="256"/>
      <c r="C389" s="298" t="s">
        <v>927</v>
      </c>
      <c r="D389" s="299"/>
      <c r="E389" s="299"/>
      <c r="F389" s="300"/>
      <c r="G389" s="300"/>
      <c r="H389" s="301"/>
      <c r="I389" s="298"/>
      <c r="J389" s="298"/>
      <c r="K389" s="300"/>
      <c r="L389" s="301"/>
      <c r="M389" s="300"/>
      <c r="N389" s="300"/>
      <c r="O389" s="301">
        <f t="shared" ref="O389" si="280">SUM(M389:N389)</f>
        <v>0</v>
      </c>
      <c r="P389" s="301">
        <f t="shared" ref="P389" si="281">SUM(O389+L389+H389)</f>
        <v>0</v>
      </c>
      <c r="Q389" s="302" t="s">
        <v>828</v>
      </c>
    </row>
    <row r="390" spans="1:17" x14ac:dyDescent="0.25">
      <c r="A390" s="485"/>
      <c r="B390" s="476" t="s">
        <v>45</v>
      </c>
      <c r="C390" s="167"/>
      <c r="D390" s="486"/>
      <c r="E390" s="486"/>
      <c r="F390" s="168"/>
      <c r="G390" s="168"/>
      <c r="H390" s="165"/>
      <c r="I390" s="167"/>
      <c r="J390" s="167"/>
      <c r="K390" s="168"/>
      <c r="L390" s="165"/>
      <c r="M390" s="167"/>
      <c r="N390" s="488"/>
      <c r="O390" s="165"/>
      <c r="P390" s="164"/>
    </row>
    <row r="391" spans="1:17" ht="35.25" customHeight="1" x14ac:dyDescent="0.25">
      <c r="A391" s="162"/>
      <c r="B391" s="524" t="s">
        <v>906</v>
      </c>
      <c r="C391" s="486"/>
      <c r="D391" s="486"/>
      <c r="E391" s="486"/>
      <c r="F391" s="486"/>
      <c r="G391" s="257"/>
      <c r="H391" s="164"/>
      <c r="I391" s="167"/>
      <c r="J391" s="167"/>
      <c r="K391" s="168"/>
      <c r="L391" s="165"/>
      <c r="M391" s="167"/>
      <c r="N391" s="168"/>
      <c r="O391" s="169"/>
      <c r="P391" s="164"/>
    </row>
    <row r="392" spans="1:17" ht="31.5" x14ac:dyDescent="0.25">
      <c r="A392" s="328"/>
      <c r="B392" s="163" t="s">
        <v>541</v>
      </c>
      <c r="C392" s="486"/>
      <c r="D392" s="486"/>
      <c r="E392" s="486"/>
      <c r="F392" s="486"/>
      <c r="G392" s="257"/>
      <c r="H392" s="165">
        <f t="shared" ref="H392:H394" si="282">SUM(C392:G392)</f>
        <v>0</v>
      </c>
      <c r="I392" s="167"/>
      <c r="J392" s="167"/>
      <c r="K392" s="168"/>
      <c r="L392" s="165">
        <f t="shared" ref="L392:L394" si="283">SUM(I392:K392)</f>
        <v>0</v>
      </c>
      <c r="M392" s="167"/>
      <c r="N392" s="168">
        <v>13350</v>
      </c>
      <c r="O392" s="169"/>
      <c r="P392" s="165">
        <f t="shared" ref="P392:P394" si="284">O392+L392+H392</f>
        <v>0</v>
      </c>
      <c r="Q392" s="302" t="s">
        <v>827</v>
      </c>
    </row>
    <row r="393" spans="1:17" x14ac:dyDescent="0.25">
      <c r="A393" s="328"/>
      <c r="B393" s="163" t="s">
        <v>542</v>
      </c>
      <c r="C393" s="486"/>
      <c r="D393" s="486"/>
      <c r="E393" s="486"/>
      <c r="F393" s="486"/>
      <c r="G393" s="257"/>
      <c r="H393" s="165">
        <f t="shared" si="282"/>
        <v>0</v>
      </c>
      <c r="I393" s="167"/>
      <c r="J393" s="167"/>
      <c r="K393" s="168"/>
      <c r="L393" s="165">
        <f t="shared" si="283"/>
        <v>0</v>
      </c>
      <c r="M393" s="167"/>
      <c r="N393" s="168">
        <v>-3361</v>
      </c>
      <c r="O393" s="169"/>
      <c r="P393" s="165">
        <f t="shared" si="284"/>
        <v>0</v>
      </c>
      <c r="Q393" s="302" t="s">
        <v>827</v>
      </c>
    </row>
    <row r="394" spans="1:17" x14ac:dyDescent="0.25">
      <c r="A394" s="328"/>
      <c r="B394" s="163" t="s">
        <v>540</v>
      </c>
      <c r="C394" s="486"/>
      <c r="D394" s="486"/>
      <c r="E394" s="486"/>
      <c r="F394" s="486"/>
      <c r="G394" s="257"/>
      <c r="H394" s="164">
        <f t="shared" si="282"/>
        <v>0</v>
      </c>
      <c r="I394" s="167"/>
      <c r="J394" s="167"/>
      <c r="K394" s="168"/>
      <c r="L394" s="165">
        <f t="shared" si="283"/>
        <v>0</v>
      </c>
      <c r="M394" s="167"/>
      <c r="N394" s="168">
        <v>-9989</v>
      </c>
      <c r="O394" s="169"/>
      <c r="P394" s="164">
        <f t="shared" si="284"/>
        <v>0</v>
      </c>
      <c r="Q394" s="302" t="s">
        <v>827</v>
      </c>
    </row>
    <row r="395" spans="1:17" x14ac:dyDescent="0.25">
      <c r="A395" s="328"/>
      <c r="B395" s="163"/>
      <c r="C395" s="167"/>
      <c r="D395" s="486"/>
      <c r="E395" s="486"/>
      <c r="F395" s="486"/>
      <c r="G395" s="257"/>
      <c r="H395" s="164"/>
      <c r="I395" s="167"/>
      <c r="J395" s="167"/>
      <c r="K395" s="168"/>
      <c r="L395" s="165"/>
      <c r="M395" s="167"/>
      <c r="N395" s="168"/>
      <c r="O395" s="169"/>
      <c r="P395" s="164"/>
    </row>
    <row r="396" spans="1:17" ht="47.25" x14ac:dyDescent="0.25">
      <c r="A396" s="485"/>
      <c r="B396" s="327" t="s">
        <v>904</v>
      </c>
      <c r="C396" s="167"/>
      <c r="D396" s="486"/>
      <c r="E396" s="486"/>
      <c r="F396" s="486"/>
      <c r="G396" s="520"/>
      <c r="H396" s="164"/>
      <c r="I396" s="167"/>
      <c r="J396" s="167"/>
      <c r="K396" s="168"/>
      <c r="L396" s="165"/>
      <c r="M396" s="167"/>
      <c r="N396" s="168"/>
      <c r="O396" s="169"/>
      <c r="P396" s="164"/>
    </row>
    <row r="397" spans="1:17" x14ac:dyDescent="0.25">
      <c r="A397" s="328"/>
      <c r="B397" s="163"/>
      <c r="C397" s="167"/>
      <c r="D397" s="486"/>
      <c r="E397" s="486"/>
      <c r="F397" s="168"/>
      <c r="G397" s="257"/>
      <c r="H397" s="164"/>
      <c r="I397" s="167"/>
      <c r="J397" s="167"/>
      <c r="K397" s="168"/>
      <c r="L397" s="165"/>
      <c r="M397" s="167"/>
      <c r="N397" s="168"/>
      <c r="O397" s="169"/>
      <c r="P397" s="164"/>
    </row>
    <row r="398" spans="1:17" x14ac:dyDescent="0.25">
      <c r="A398" s="485"/>
      <c r="B398" s="525" t="s">
        <v>475</v>
      </c>
      <c r="C398" s="167"/>
      <c r="D398" s="486"/>
      <c r="E398" s="486"/>
      <c r="F398" s="168"/>
      <c r="G398" s="168"/>
      <c r="H398" s="165"/>
      <c r="I398" s="167"/>
      <c r="J398" s="167"/>
      <c r="K398" s="168"/>
      <c r="L398" s="165"/>
      <c r="M398" s="167"/>
      <c r="N398" s="488"/>
      <c r="O398" s="165"/>
      <c r="P398" s="164"/>
    </row>
    <row r="399" spans="1:17" x14ac:dyDescent="0.25">
      <c r="A399" s="485"/>
      <c r="B399" s="489" t="s">
        <v>1000</v>
      </c>
      <c r="C399" s="167"/>
      <c r="D399" s="486"/>
      <c r="E399" s="486"/>
      <c r="F399" s="168"/>
      <c r="G399" s="168"/>
      <c r="H399" s="165"/>
      <c r="I399" s="167"/>
      <c r="J399" s="167"/>
      <c r="K399" s="168"/>
      <c r="L399" s="165"/>
      <c r="M399" s="167"/>
      <c r="N399" s="168">
        <v>4000</v>
      </c>
      <c r="O399" s="169">
        <f t="shared" ref="O399" si="285">SUM(M399:N399)</f>
        <v>4000</v>
      </c>
      <c r="P399" s="164">
        <f t="shared" ref="P399" si="286">SUM(O399)</f>
        <v>4000</v>
      </c>
      <c r="Q399" s="302" t="s">
        <v>827</v>
      </c>
    </row>
    <row r="400" spans="1:17" ht="31.5" x14ac:dyDescent="0.25">
      <c r="A400" s="485"/>
      <c r="B400" s="489" t="s">
        <v>476</v>
      </c>
      <c r="C400" s="167"/>
      <c r="D400" s="486"/>
      <c r="E400" s="486"/>
      <c r="F400" s="168"/>
      <c r="G400" s="168"/>
      <c r="H400" s="165"/>
      <c r="I400" s="167"/>
      <c r="J400" s="167"/>
      <c r="K400" s="168"/>
      <c r="L400" s="165"/>
      <c r="M400" s="167"/>
      <c r="N400" s="168">
        <v>2947</v>
      </c>
      <c r="O400" s="169">
        <f t="shared" ref="O400" si="287">SUM(M400:N400)</f>
        <v>2947</v>
      </c>
      <c r="P400" s="164">
        <f t="shared" ref="P400" si="288">SUM(O400)</f>
        <v>2947</v>
      </c>
      <c r="Q400" s="302" t="s">
        <v>1266</v>
      </c>
    </row>
    <row r="401" spans="1:17" x14ac:dyDescent="0.25">
      <c r="A401" s="485"/>
      <c r="B401" s="489" t="s">
        <v>538</v>
      </c>
      <c r="C401" s="167"/>
      <c r="D401" s="486"/>
      <c r="E401" s="486"/>
      <c r="F401" s="168"/>
      <c r="G401" s="168"/>
      <c r="H401" s="165"/>
      <c r="I401" s="167"/>
      <c r="J401" s="167"/>
      <c r="K401" s="168"/>
      <c r="L401" s="165"/>
      <c r="M401" s="167"/>
      <c r="N401" s="168">
        <v>15334</v>
      </c>
      <c r="O401" s="169">
        <f t="shared" ref="O401:O403" si="289">SUM(M401:N401)</f>
        <v>15334</v>
      </c>
      <c r="P401" s="164">
        <f t="shared" ref="P401:P403" si="290">SUM(O401)</f>
        <v>15334</v>
      </c>
      <c r="Q401" s="302" t="s">
        <v>827</v>
      </c>
    </row>
    <row r="402" spans="1:17" ht="47.25" x14ac:dyDescent="0.25">
      <c r="A402" s="485"/>
      <c r="B402" s="489" t="s">
        <v>676</v>
      </c>
      <c r="C402" s="167"/>
      <c r="D402" s="486"/>
      <c r="E402" s="486"/>
      <c r="F402" s="168"/>
      <c r="G402" s="168"/>
      <c r="H402" s="165"/>
      <c r="I402" s="167"/>
      <c r="J402" s="167"/>
      <c r="K402" s="168"/>
      <c r="L402" s="165"/>
      <c r="M402" s="167"/>
      <c r="N402" s="168">
        <v>1157</v>
      </c>
      <c r="O402" s="169">
        <f t="shared" si="289"/>
        <v>1157</v>
      </c>
      <c r="P402" s="164">
        <f t="shared" si="290"/>
        <v>1157</v>
      </c>
      <c r="Q402" s="302" t="s">
        <v>827</v>
      </c>
    </row>
    <row r="403" spans="1:17" x14ac:dyDescent="0.25">
      <c r="A403" s="485"/>
      <c r="B403" s="489" t="s">
        <v>539</v>
      </c>
      <c r="C403" s="167"/>
      <c r="D403" s="486"/>
      <c r="E403" s="486"/>
      <c r="F403" s="168"/>
      <c r="G403" s="168"/>
      <c r="H403" s="165"/>
      <c r="I403" s="167"/>
      <c r="J403" s="167"/>
      <c r="K403" s="168"/>
      <c r="L403" s="165"/>
      <c r="M403" s="167"/>
      <c r="N403" s="168">
        <v>8293</v>
      </c>
      <c r="O403" s="169">
        <f t="shared" si="289"/>
        <v>8293</v>
      </c>
      <c r="P403" s="164">
        <f t="shared" si="290"/>
        <v>8293</v>
      </c>
      <c r="Q403" s="302" t="s">
        <v>1267</v>
      </c>
    </row>
    <row r="404" spans="1:17" x14ac:dyDescent="0.25">
      <c r="A404" s="539"/>
      <c r="B404" s="489"/>
      <c r="C404" s="540"/>
      <c r="D404" s="541"/>
      <c r="E404" s="541"/>
      <c r="F404" s="542"/>
      <c r="G404" s="542"/>
      <c r="H404" s="331"/>
      <c r="I404" s="540"/>
      <c r="J404" s="540"/>
      <c r="K404" s="542"/>
      <c r="L404" s="331"/>
      <c r="M404" s="540"/>
      <c r="N404" s="542"/>
      <c r="O404" s="169"/>
      <c r="P404" s="164"/>
    </row>
    <row r="405" spans="1:17" ht="29.25" customHeight="1" x14ac:dyDescent="0.25">
      <c r="A405" s="539"/>
      <c r="B405" s="327" t="s">
        <v>905</v>
      </c>
      <c r="C405" s="540"/>
      <c r="D405" s="541"/>
      <c r="E405" s="541"/>
      <c r="F405" s="542"/>
      <c r="G405" s="542"/>
      <c r="H405" s="331"/>
      <c r="I405" s="540"/>
      <c r="J405" s="540"/>
      <c r="K405" s="542"/>
      <c r="L405" s="331"/>
      <c r="M405" s="540"/>
      <c r="N405" s="542"/>
      <c r="O405" s="169"/>
      <c r="P405" s="164"/>
    </row>
    <row r="406" spans="1:17" x14ac:dyDescent="0.25">
      <c r="A406" s="485"/>
      <c r="B406" s="166"/>
      <c r="C406" s="167"/>
      <c r="D406" s="486"/>
      <c r="E406" s="486"/>
      <c r="F406" s="168"/>
      <c r="G406" s="168"/>
      <c r="H406" s="165"/>
      <c r="I406" s="167"/>
      <c r="J406" s="167"/>
      <c r="K406" s="168"/>
      <c r="L406" s="165"/>
      <c r="M406" s="167"/>
      <c r="N406" s="168"/>
      <c r="O406" s="169">
        <f t="shared" ref="O406:O407" si="291">SUM(M406:N406)</f>
        <v>0</v>
      </c>
      <c r="P406" s="164">
        <f t="shared" ref="P406:P407" si="292">SUM(O406)</f>
        <v>0</v>
      </c>
      <c r="Q406" s="302" t="s">
        <v>982</v>
      </c>
    </row>
    <row r="407" spans="1:17" x14ac:dyDescent="0.25">
      <c r="A407" s="485"/>
      <c r="B407" s="166"/>
      <c r="C407" s="167"/>
      <c r="D407" s="486"/>
      <c r="E407" s="486"/>
      <c r="F407" s="168"/>
      <c r="G407" s="168"/>
      <c r="H407" s="165"/>
      <c r="I407" s="167"/>
      <c r="J407" s="167"/>
      <c r="K407" s="168"/>
      <c r="L407" s="165"/>
      <c r="M407" s="167"/>
      <c r="N407" s="168"/>
      <c r="O407" s="169">
        <f t="shared" si="291"/>
        <v>0</v>
      </c>
      <c r="P407" s="164">
        <f t="shared" si="292"/>
        <v>0</v>
      </c>
      <c r="Q407" s="302" t="s">
        <v>982</v>
      </c>
    </row>
    <row r="408" spans="1:17" x14ac:dyDescent="0.25">
      <c r="A408" s="485"/>
      <c r="B408" s="166"/>
      <c r="C408" s="167"/>
      <c r="D408" s="486"/>
      <c r="E408" s="486"/>
      <c r="F408" s="168"/>
      <c r="G408" s="168"/>
      <c r="H408" s="165"/>
      <c r="I408" s="167"/>
      <c r="J408" s="167"/>
      <c r="K408" s="168"/>
      <c r="L408" s="165"/>
      <c r="M408" s="167"/>
      <c r="N408" s="168"/>
      <c r="O408" s="169">
        <f t="shared" ref="O408" si="293">SUM(M408:N408)</f>
        <v>0</v>
      </c>
      <c r="P408" s="164">
        <f t="shared" ref="P408" si="294">SUM(O408)</f>
        <v>0</v>
      </c>
      <c r="Q408" s="302" t="s">
        <v>982</v>
      </c>
    </row>
    <row r="409" spans="1:17" x14ac:dyDescent="0.25">
      <c r="A409" s="539"/>
      <c r="B409" s="166"/>
      <c r="C409" s="540"/>
      <c r="D409" s="541"/>
      <c r="E409" s="541"/>
      <c r="F409" s="542"/>
      <c r="G409" s="542"/>
      <c r="H409" s="331"/>
      <c r="I409" s="540"/>
      <c r="J409" s="540"/>
      <c r="K409" s="542"/>
      <c r="L409" s="331"/>
      <c r="M409" s="540"/>
      <c r="N409" s="542"/>
      <c r="O409" s="169"/>
      <c r="P409" s="164"/>
    </row>
    <row r="410" spans="1:17" x14ac:dyDescent="0.25">
      <c r="A410" s="539"/>
      <c r="B410" s="526" t="s">
        <v>474</v>
      </c>
      <c r="C410" s="540"/>
      <c r="D410" s="541"/>
      <c r="E410" s="541"/>
      <c r="F410" s="542"/>
      <c r="G410" s="542"/>
      <c r="H410" s="331"/>
      <c r="I410" s="540"/>
      <c r="J410" s="540"/>
      <c r="K410" s="542"/>
      <c r="L410" s="331"/>
      <c r="M410" s="540"/>
      <c r="N410" s="542"/>
      <c r="O410" s="169"/>
      <c r="P410" s="164"/>
    </row>
    <row r="411" spans="1:17" ht="31.5" x14ac:dyDescent="0.25">
      <c r="A411" s="539"/>
      <c r="B411" s="166" t="s">
        <v>959</v>
      </c>
      <c r="C411" s="540"/>
      <c r="D411" s="541"/>
      <c r="E411" s="541"/>
      <c r="F411" s="542"/>
      <c r="G411" s="542"/>
      <c r="H411" s="331"/>
      <c r="I411" s="540"/>
      <c r="J411" s="540"/>
      <c r="K411" s="542"/>
      <c r="L411" s="331"/>
      <c r="M411" s="540"/>
      <c r="N411" s="542"/>
      <c r="O411" s="169">
        <f t="shared" ref="O411" si="295">SUM(M411:N411)</f>
        <v>0</v>
      </c>
      <c r="P411" s="164">
        <f t="shared" ref="P411" si="296">SUM(O411)</f>
        <v>0</v>
      </c>
      <c r="Q411" s="302" t="s">
        <v>827</v>
      </c>
    </row>
    <row r="412" spans="1:17" x14ac:dyDescent="0.25">
      <c r="A412" s="539"/>
      <c r="B412" s="166" t="s">
        <v>540</v>
      </c>
      <c r="C412" s="540"/>
      <c r="D412" s="541"/>
      <c r="E412" s="541"/>
      <c r="F412" s="542"/>
      <c r="G412" s="542"/>
      <c r="H412" s="331"/>
      <c r="I412" s="540"/>
      <c r="J412" s="540"/>
      <c r="K412" s="542"/>
      <c r="L412" s="331"/>
      <c r="M412" s="540"/>
      <c r="N412" s="542"/>
      <c r="O412" s="169">
        <f t="shared" ref="O412:O418" si="297">SUM(M412:N412)</f>
        <v>0</v>
      </c>
      <c r="P412" s="164">
        <f t="shared" ref="P412:P418" si="298">SUM(O412)</f>
        <v>0</v>
      </c>
      <c r="Q412" s="302" t="s">
        <v>827</v>
      </c>
    </row>
    <row r="413" spans="1:17" ht="31.5" x14ac:dyDescent="0.25">
      <c r="A413" s="539"/>
      <c r="B413" s="166" t="s">
        <v>541</v>
      </c>
      <c r="C413" s="540"/>
      <c r="D413" s="541"/>
      <c r="E413" s="541"/>
      <c r="F413" s="542"/>
      <c r="G413" s="542"/>
      <c r="H413" s="331"/>
      <c r="I413" s="540"/>
      <c r="J413" s="540"/>
      <c r="K413" s="542"/>
      <c r="L413" s="331"/>
      <c r="M413" s="540"/>
      <c r="N413" s="542">
        <v>-13350</v>
      </c>
      <c r="O413" s="169">
        <f t="shared" si="297"/>
        <v>-13350</v>
      </c>
      <c r="P413" s="164">
        <f t="shared" si="298"/>
        <v>-13350</v>
      </c>
      <c r="Q413" s="302" t="s">
        <v>827</v>
      </c>
    </row>
    <row r="414" spans="1:17" x14ac:dyDescent="0.25">
      <c r="A414" s="539"/>
      <c r="B414" s="166" t="s">
        <v>542</v>
      </c>
      <c r="C414" s="540"/>
      <c r="D414" s="541"/>
      <c r="E414" s="541"/>
      <c r="F414" s="542"/>
      <c r="G414" s="542"/>
      <c r="H414" s="331"/>
      <c r="I414" s="540"/>
      <c r="J414" s="540"/>
      <c r="K414" s="542"/>
      <c r="L414" s="331"/>
      <c r="M414" s="540"/>
      <c r="N414" s="542">
        <v>-36989</v>
      </c>
      <c r="O414" s="169">
        <f t="shared" si="297"/>
        <v>-36989</v>
      </c>
      <c r="P414" s="164">
        <f t="shared" si="298"/>
        <v>-36989</v>
      </c>
      <c r="Q414" s="302" t="s">
        <v>828</v>
      </c>
    </row>
    <row r="415" spans="1:17" x14ac:dyDescent="0.25">
      <c r="A415" s="539"/>
      <c r="B415" s="166" t="s">
        <v>538</v>
      </c>
      <c r="C415" s="540"/>
      <c r="D415" s="541"/>
      <c r="E415" s="541"/>
      <c r="F415" s="542"/>
      <c r="G415" s="542"/>
      <c r="H415" s="331"/>
      <c r="I415" s="540"/>
      <c r="J415" s="540"/>
      <c r="K415" s="542"/>
      <c r="L415" s="331"/>
      <c r="M415" s="540"/>
      <c r="N415" s="542">
        <v>-15334</v>
      </c>
      <c r="O415" s="169">
        <f t="shared" si="297"/>
        <v>-15334</v>
      </c>
      <c r="P415" s="164">
        <f t="shared" si="298"/>
        <v>-15334</v>
      </c>
      <c r="Q415" s="302" t="s">
        <v>863</v>
      </c>
    </row>
    <row r="416" spans="1:17" ht="47.25" x14ac:dyDescent="0.25">
      <c r="A416" s="539"/>
      <c r="B416" s="489" t="s">
        <v>676</v>
      </c>
      <c r="C416" s="540"/>
      <c r="D416" s="541"/>
      <c r="E416" s="541"/>
      <c r="F416" s="542"/>
      <c r="G416" s="542"/>
      <c r="H416" s="331"/>
      <c r="I416" s="540"/>
      <c r="J416" s="540"/>
      <c r="K416" s="542"/>
      <c r="L416" s="331"/>
      <c r="M416" s="540"/>
      <c r="N416" s="542">
        <v>-1157</v>
      </c>
      <c r="O416" s="169">
        <f t="shared" si="297"/>
        <v>-1157</v>
      </c>
      <c r="P416" s="164">
        <f t="shared" si="298"/>
        <v>-1157</v>
      </c>
      <c r="Q416" s="302" t="s">
        <v>863</v>
      </c>
    </row>
    <row r="417" spans="1:17" x14ac:dyDescent="0.25">
      <c r="A417" s="485"/>
      <c r="B417" s="489" t="s">
        <v>539</v>
      </c>
      <c r="C417" s="167"/>
      <c r="D417" s="486"/>
      <c r="E417" s="486"/>
      <c r="F417" s="168"/>
      <c r="G417" s="168"/>
      <c r="H417" s="165"/>
      <c r="I417" s="167"/>
      <c r="J417" s="167"/>
      <c r="K417" s="168"/>
      <c r="L417" s="165"/>
      <c r="M417" s="167"/>
      <c r="N417" s="168">
        <v>-8293</v>
      </c>
      <c r="O417" s="169">
        <f t="shared" si="297"/>
        <v>-8293</v>
      </c>
      <c r="P417" s="165">
        <f t="shared" si="298"/>
        <v>-8293</v>
      </c>
      <c r="Q417" s="302" t="s">
        <v>981</v>
      </c>
    </row>
    <row r="418" spans="1:17" ht="31.5" x14ac:dyDescent="0.25">
      <c r="A418" s="485"/>
      <c r="B418" s="489" t="s">
        <v>476</v>
      </c>
      <c r="C418" s="167"/>
      <c r="D418" s="486"/>
      <c r="E418" s="486"/>
      <c r="F418" s="168"/>
      <c r="G418" s="168"/>
      <c r="H418" s="165"/>
      <c r="I418" s="167"/>
      <c r="J418" s="167"/>
      <c r="K418" s="168"/>
      <c r="L418" s="165"/>
      <c r="M418" s="167"/>
      <c r="N418" s="168">
        <v>-2660</v>
      </c>
      <c r="O418" s="169">
        <f t="shared" si="297"/>
        <v>-2660</v>
      </c>
      <c r="P418" s="165">
        <f t="shared" si="298"/>
        <v>-2660</v>
      </c>
      <c r="Q418" s="302" t="s">
        <v>981</v>
      </c>
    </row>
    <row r="419" spans="1:17" x14ac:dyDescent="0.25">
      <c r="A419" s="485"/>
      <c r="B419" s="489"/>
      <c r="C419" s="167"/>
      <c r="D419" s="486"/>
      <c r="E419" s="486"/>
      <c r="F419" s="168"/>
      <c r="G419" s="168"/>
      <c r="H419" s="165"/>
      <c r="I419" s="167"/>
      <c r="J419" s="167"/>
      <c r="K419" s="168"/>
      <c r="L419" s="165"/>
      <c r="M419" s="167"/>
      <c r="N419" s="168"/>
      <c r="O419" s="169"/>
      <c r="P419" s="165"/>
    </row>
    <row r="420" spans="1:17" x14ac:dyDescent="0.25">
      <c r="A420" s="485"/>
      <c r="B420" s="525" t="s">
        <v>543</v>
      </c>
      <c r="C420" s="167"/>
      <c r="D420" s="486"/>
      <c r="E420" s="486"/>
      <c r="F420" s="168"/>
      <c r="G420" s="168"/>
      <c r="H420" s="165"/>
      <c r="I420" s="167"/>
      <c r="J420" s="167"/>
      <c r="K420" s="168"/>
      <c r="L420" s="165"/>
      <c r="M420" s="167"/>
      <c r="N420" s="168"/>
      <c r="O420" s="169"/>
      <c r="P420" s="165"/>
    </row>
    <row r="421" spans="1:17" ht="31.5" x14ac:dyDescent="0.25">
      <c r="A421" s="539"/>
      <c r="B421" s="166" t="s">
        <v>476</v>
      </c>
      <c r="C421" s="540"/>
      <c r="D421" s="541"/>
      <c r="E421" s="541"/>
      <c r="F421" s="542"/>
      <c r="G421" s="542"/>
      <c r="H421" s="331"/>
      <c r="I421" s="540"/>
      <c r="J421" s="540"/>
      <c r="K421" s="542"/>
      <c r="L421" s="331"/>
      <c r="M421" s="540"/>
      <c r="N421" s="542">
        <v>-287</v>
      </c>
      <c r="O421" s="169">
        <f t="shared" ref="O421" si="299">SUM(M421:N421)</f>
        <v>-287</v>
      </c>
      <c r="P421" s="164">
        <f t="shared" ref="P421" si="300">SUM(O421)</f>
        <v>-287</v>
      </c>
      <c r="Q421" s="302" t="s">
        <v>863</v>
      </c>
    </row>
    <row r="422" spans="1:17" x14ac:dyDescent="0.25">
      <c r="A422" s="539"/>
      <c r="B422" s="166"/>
      <c r="C422" s="540"/>
      <c r="D422" s="541"/>
      <c r="E422" s="541"/>
      <c r="F422" s="542"/>
      <c r="G422" s="542"/>
      <c r="H422" s="331"/>
      <c r="I422" s="540"/>
      <c r="J422" s="540"/>
      <c r="K422" s="542"/>
      <c r="L422" s="331"/>
      <c r="M422" s="540"/>
      <c r="N422" s="542"/>
      <c r="O422" s="169"/>
      <c r="P422" s="164"/>
    </row>
    <row r="423" spans="1:17" ht="16.5" thickBot="1" x14ac:dyDescent="0.3">
      <c r="A423" s="490" t="s">
        <v>46</v>
      </c>
      <c r="B423" s="491" t="s">
        <v>47</v>
      </c>
      <c r="C423" s="540"/>
      <c r="D423" s="541"/>
      <c r="E423" s="541"/>
      <c r="F423" s="542"/>
      <c r="G423" s="542"/>
      <c r="H423" s="331"/>
      <c r="I423" s="540"/>
      <c r="J423" s="540"/>
      <c r="K423" s="542"/>
      <c r="L423" s="331"/>
      <c r="M423" s="492">
        <f>SUM(M287:M422)</f>
        <v>-154765</v>
      </c>
      <c r="N423" s="493">
        <f>SUM(N391:N422)</f>
        <v>-46339</v>
      </c>
      <c r="O423" s="331">
        <f>M423+N423</f>
        <v>-201104</v>
      </c>
      <c r="P423" s="164">
        <f>SUM(O423)</f>
        <v>-201104</v>
      </c>
    </row>
    <row r="424" spans="1:17" ht="17.25" thickTop="1" thickBot="1" x14ac:dyDescent="0.3">
      <c r="A424" s="494" t="s">
        <v>48</v>
      </c>
      <c r="B424" s="495" t="s">
        <v>49</v>
      </c>
      <c r="C424" s="496">
        <f>SUM(C285:C390)</f>
        <v>388495</v>
      </c>
      <c r="D424" s="496">
        <f t="shared" ref="D424:L424" si="301">SUM(D285:D423)</f>
        <v>95129</v>
      </c>
      <c r="E424" s="496">
        <f t="shared" si="301"/>
        <v>5791542</v>
      </c>
      <c r="F424" s="496">
        <f t="shared" si="301"/>
        <v>223720</v>
      </c>
      <c r="G424" s="496">
        <f t="shared" si="301"/>
        <v>14476373</v>
      </c>
      <c r="H424" s="496">
        <f t="shared" si="301"/>
        <v>20975259</v>
      </c>
      <c r="I424" s="496">
        <f t="shared" si="301"/>
        <v>29946298</v>
      </c>
      <c r="J424" s="496">
        <f t="shared" si="301"/>
        <v>1136755</v>
      </c>
      <c r="K424" s="496">
        <f t="shared" si="301"/>
        <v>1396529</v>
      </c>
      <c r="L424" s="496">
        <f t="shared" si="301"/>
        <v>32479582</v>
      </c>
      <c r="M424" s="496">
        <f>SUM(M285+M423)</f>
        <v>100653</v>
      </c>
      <c r="N424" s="496">
        <f>SUM(N285+N423)</f>
        <v>1911653</v>
      </c>
      <c r="O424" s="496">
        <f>SUM(O285+O423)</f>
        <v>2012306</v>
      </c>
      <c r="P424" s="496">
        <f>SUM(P285+P423)</f>
        <v>55467147</v>
      </c>
    </row>
    <row r="425" spans="1:17" x14ac:dyDescent="0.25">
      <c r="B425" s="534"/>
    </row>
    <row r="426" spans="1:17" x14ac:dyDescent="0.25">
      <c r="B426" s="534"/>
      <c r="C426" s="302">
        <f t="shared" ref="C426:P426" si="302">SUM(C424-C11)</f>
        <v>19918</v>
      </c>
      <c r="D426" s="302">
        <f t="shared" si="302"/>
        <v>3301</v>
      </c>
      <c r="E426" s="302">
        <f t="shared" si="302"/>
        <v>330770</v>
      </c>
      <c r="F426" s="302">
        <f t="shared" si="302"/>
        <v>41</v>
      </c>
      <c r="G426" s="302">
        <f t="shared" si="302"/>
        <v>22285</v>
      </c>
      <c r="H426" s="302">
        <f t="shared" si="302"/>
        <v>376315</v>
      </c>
      <c r="I426" s="302">
        <f t="shared" si="302"/>
        <v>1093640</v>
      </c>
      <c r="J426" s="302">
        <f t="shared" si="302"/>
        <v>-1211</v>
      </c>
      <c r="K426" s="302">
        <f t="shared" si="302"/>
        <v>-369222</v>
      </c>
      <c r="L426" s="302">
        <f t="shared" si="302"/>
        <v>723207</v>
      </c>
      <c r="M426" s="302">
        <f t="shared" si="302"/>
        <v>-154765</v>
      </c>
      <c r="N426" s="302">
        <f t="shared" si="302"/>
        <v>-46339</v>
      </c>
      <c r="O426" s="302">
        <f t="shared" si="302"/>
        <v>-201104</v>
      </c>
      <c r="P426" s="302">
        <f t="shared" si="302"/>
        <v>898418</v>
      </c>
    </row>
    <row r="427" spans="1:17" x14ac:dyDescent="0.25">
      <c r="B427" s="534"/>
    </row>
    <row r="428" spans="1:17" x14ac:dyDescent="0.25">
      <c r="B428" s="534"/>
    </row>
    <row r="429" spans="1:17" x14ac:dyDescent="0.25">
      <c r="B429" s="534"/>
    </row>
    <row r="430" spans="1:17" x14ac:dyDescent="0.25">
      <c r="B430" s="534"/>
    </row>
    <row r="431" spans="1:17" x14ac:dyDescent="0.25">
      <c r="B431" s="534"/>
    </row>
    <row r="432" spans="1:17" x14ac:dyDescent="0.25">
      <c r="B432" s="534"/>
    </row>
    <row r="433" spans="2:2" x14ac:dyDescent="0.25">
      <c r="B433" s="534"/>
    </row>
    <row r="434" spans="2:2" x14ac:dyDescent="0.25">
      <c r="B434" s="534"/>
    </row>
    <row r="435" spans="2:2" x14ac:dyDescent="0.25">
      <c r="B435" s="534"/>
    </row>
    <row r="436" spans="2:2" x14ac:dyDescent="0.25">
      <c r="B436" s="534"/>
    </row>
    <row r="437" spans="2:2" x14ac:dyDescent="0.25">
      <c r="B437" s="534"/>
    </row>
    <row r="438" spans="2:2" x14ac:dyDescent="0.25">
      <c r="B438" s="534"/>
    </row>
    <row r="439" spans="2:2" x14ac:dyDescent="0.25">
      <c r="B439" s="534"/>
    </row>
    <row r="440" spans="2:2" x14ac:dyDescent="0.25">
      <c r="B440" s="534"/>
    </row>
    <row r="441" spans="2:2" x14ac:dyDescent="0.25">
      <c r="B441" s="534"/>
    </row>
    <row r="442" spans="2:2" x14ac:dyDescent="0.25">
      <c r="B442" s="534"/>
    </row>
  </sheetData>
  <mergeCells count="1">
    <mergeCell ref="A1:P1"/>
  </mergeCells>
  <phoneticPr fontId="0" type="noConversion"/>
  <printOptions horizontalCentered="1"/>
  <pageMargins left="0.19685039370078741" right="0.51181102362204722" top="0.78740157480314965" bottom="0.39370078740157483" header="0.43307086614173229" footer="0.19685039370078741"/>
  <pageSetup paperSize="9" scale="63" fitToHeight="0" orientation="landscape" r:id="rId1"/>
  <headerFooter alignWithMargins="0">
    <oddHeader>&amp;R&amp;"Times New Roman CE,Félkövér"&amp;11 9. melléklet a 6/2020.(II.24.) önkormányzati rendelethez&amp;12
&amp;"Times New Roman CE,Dőlt"&amp;10 10. melléklet
  az 5/2019.(II.15.) önkormányzati rendelethez</oddHeader>
  </headerFooter>
  <rowBreaks count="1" manualBreakCount="1">
    <brk id="22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18</vt:i4>
      </vt:variant>
      <vt:variant>
        <vt:lpstr>Névvel ellátott tartományok</vt:lpstr>
      </vt:variant>
      <vt:variant>
        <vt:i4>17</vt:i4>
      </vt:variant>
    </vt:vector>
  </HeadingPairs>
  <TitlesOfParts>
    <vt:vector size="35" baseType="lpstr">
      <vt:lpstr>1 bevétel (kötelező,önként)</vt:lpstr>
      <vt:lpstr>2 kiadás (kötelező, önként)</vt:lpstr>
      <vt:lpstr>3 bevétel(szűkített)</vt:lpstr>
      <vt:lpstr>4 kiadás(szűkített)</vt:lpstr>
      <vt:lpstr>5 egyenleg</vt:lpstr>
      <vt:lpstr>7int.bevétel</vt:lpstr>
      <vt:lpstr>8int.kiadás</vt:lpstr>
      <vt:lpstr>9álláshely</vt:lpstr>
      <vt:lpstr>10 ök kiadás</vt:lpstr>
      <vt:lpstr>11melléklet</vt:lpstr>
      <vt:lpstr>12 Fejlesztés</vt:lpstr>
      <vt:lpstr> 14 Int.felúj</vt:lpstr>
      <vt:lpstr>16működési és felhalm </vt:lpstr>
      <vt:lpstr>17előirányzat felhasz. </vt:lpstr>
      <vt:lpstr>18többéves új</vt:lpstr>
      <vt:lpstr>19projektek </vt:lpstr>
      <vt:lpstr>21kiemelt</vt:lpstr>
      <vt:lpstr>23Környezetvéd.alap új</vt:lpstr>
      <vt:lpstr>' 14 Int.felúj'!Nyomtatási_cím</vt:lpstr>
      <vt:lpstr>'1 bevétel (kötelező,önként)'!Nyomtatási_cím</vt:lpstr>
      <vt:lpstr>'10 ök kiadás'!Nyomtatási_cím</vt:lpstr>
      <vt:lpstr>'11melléklet'!Nyomtatási_cím</vt:lpstr>
      <vt:lpstr>'12 Fejlesztés'!Nyomtatási_cím</vt:lpstr>
      <vt:lpstr>'19projektek '!Nyomtatási_cím</vt:lpstr>
      <vt:lpstr>'2 kiadás (kötelező, önként)'!Nyomtatási_cím</vt:lpstr>
      <vt:lpstr>'3 bevétel(szűkített)'!Nyomtatási_cím</vt:lpstr>
      <vt:lpstr>'7int.bevétel'!Nyomtatási_cím</vt:lpstr>
      <vt:lpstr>'8int.kiadás'!Nyomtatási_cím</vt:lpstr>
      <vt:lpstr>'1 bevétel (kötelező,önként)'!Nyomtatási_terület</vt:lpstr>
      <vt:lpstr>'10 ök kiadás'!Nyomtatási_terület</vt:lpstr>
      <vt:lpstr>'11melléklet'!Nyomtatási_terület</vt:lpstr>
      <vt:lpstr>'17előirányzat felhasz. '!Nyomtatási_terület</vt:lpstr>
      <vt:lpstr>'4 kiadás(szűkített)'!Nyomtatási_terület</vt:lpstr>
      <vt:lpstr>'7int.bevétel'!Nyomtatási_terület</vt:lpstr>
      <vt:lpstr>'8int.kiadás'!Nyomtatási_terület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Polgármesteri Hivatal</dc:creator>
  <cp:lastModifiedBy>Windows-felhasználó</cp:lastModifiedBy>
  <cp:lastPrinted>2020-02-21T10:14:20Z</cp:lastPrinted>
  <dcterms:created xsi:type="dcterms:W3CDTF">2003-05-23T09:53:33Z</dcterms:created>
  <dcterms:modified xsi:type="dcterms:W3CDTF">2020-02-21T10:41:04Z</dcterms:modified>
</cp:coreProperties>
</file>