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352" yWindow="588" windowWidth="4848" windowHeight="7416"/>
  </bookViews>
  <sheets>
    <sheet name="1.sz.tábla   (2)" sheetId="42" r:id="rId1"/>
    <sheet name="2.sz.tábla   (2)" sheetId="41" r:id="rId2"/>
    <sheet name="2.a tábla ÚJ " sheetId="44" r:id="rId3"/>
    <sheet name="2b. tábla (2)" sheetId="95" r:id="rId4"/>
    <sheet name="2c. tábla (2)" sheetId="96" r:id="rId5"/>
    <sheet name="3.sz. tábla  (2)" sheetId="45" r:id="rId6"/>
    <sheet name="4.sz.tábla " sheetId="52" r:id="rId7"/>
    <sheet name="4a. sz. tábla  (3)" sheetId="87" r:id="rId8"/>
    <sheet name="5.tábla (2)" sheetId="40" r:id="rId9"/>
    <sheet name="5b. sz. tábla  (2)" sheetId="49" r:id="rId10"/>
    <sheet name="6.sz.tábla  (3)" sheetId="70" r:id="rId11"/>
    <sheet name="7. sz. tábla 1" sheetId="50" r:id="rId12"/>
    <sheet name="8. sz. tábla  (3)" sheetId="97" r:id="rId13"/>
    <sheet name="8a. sz. tábla  (4)" sheetId="98" r:id="rId14"/>
    <sheet name="9. sz. tábla (2)" sheetId="62" r:id="rId15"/>
    <sheet name="10. tábla JÓ" sheetId="99" r:id="rId16"/>
    <sheet name="11.mell (3)" sheetId="100" r:id="rId17"/>
    <sheet name="12. sz. tábla" sheetId="101" r:id="rId18"/>
    <sheet name="13. sz. EU projektek (3)" sheetId="102" r:id="rId19"/>
    <sheet name="14. sz. stabilitási tv  (2)" sheetId="103" r:id="rId20"/>
    <sheet name="15.16. sz. tábla (2)" sheetId="104" r:id="rId21"/>
    <sheet name="17. sz. tábla " sheetId="21" r:id="rId22"/>
    <sheet name="Munka1" sheetId="67" r:id="rId23"/>
  </sheets>
  <externalReferences>
    <externalReference r:id="rId24"/>
  </externalReferences>
  <definedNames>
    <definedName name="_xlnm.Print_Area" localSheetId="0">'1.sz.tábla   (2)'!$A$1:$E$51</definedName>
    <definedName name="_xlnm.Print_Area" localSheetId="15">'10. tábla JÓ'!$A$1:$L$83</definedName>
    <definedName name="_xlnm.Print_Area" localSheetId="17">'12. sz. tábla'!$A$1:$E$30</definedName>
    <definedName name="_xlnm.Print_Area" localSheetId="18">'13. sz. EU projektek (3)'!$A$5:$F$43</definedName>
    <definedName name="_xlnm.Print_Area" localSheetId="19">'14. sz. stabilitási tv  (2)'!$A$1:$G$23</definedName>
    <definedName name="_xlnm.Print_Area" localSheetId="20">'15.16. sz. tábla (2)'!$A$1:$D$39</definedName>
    <definedName name="_xlnm.Print_Area" localSheetId="21">'17. sz. tábla '!$A$1:$N$49</definedName>
    <definedName name="_xlnm.Print_Area" localSheetId="2">'2.a tábla ÚJ '!$A$1:$AZ$62</definedName>
    <definedName name="_xlnm.Print_Area" localSheetId="1">'2.sz.tábla   (2)'!$A$1:$Q$92</definedName>
    <definedName name="_xlnm.Print_Area" localSheetId="3">'2b. tábla (2)'!$A$1:$M$89</definedName>
    <definedName name="_xlnm.Print_Area" localSheetId="4">'2c. tábla (2)'!$A$1:$P$130</definedName>
    <definedName name="_xlnm.Print_Area" localSheetId="5">'3.sz. tábla  (2)'!$A$1:$AD$22</definedName>
    <definedName name="_xlnm.Print_Area" localSheetId="6">'4.sz.tábla '!$A$1:$AY$17</definedName>
    <definedName name="_xlnm.Print_Area" localSheetId="7">'4a. sz. tábla  (3)'!$A$1:$F$77</definedName>
    <definedName name="_xlnm.Print_Area" localSheetId="8">'5.tábla (2)'!$A$1:$E$115</definedName>
    <definedName name="_xlnm.Print_Area" localSheetId="9">'5b. sz. tábla  (2)'!$A$2:$E$96</definedName>
    <definedName name="_xlnm.Print_Area" localSheetId="10">'6.sz.tábla  (3)'!$A$1:$E$140</definedName>
    <definedName name="_xlnm.Print_Area" localSheetId="11">'7. sz. tábla 1'!$A$1:$E$188</definedName>
    <definedName name="_xlnm.Print_Area" localSheetId="12">'8. sz. tábla  (3)'!$A$1:$J$60</definedName>
    <definedName name="_xlnm.Print_Area" localSheetId="13">'8a. sz. tábla  (4)'!$A$1:$H$60</definedName>
    <definedName name="_xlnm.Print_Area" localSheetId="14">'9. sz. tábla (2)'!$A$2:$J$91</definedName>
    <definedName name="onev" localSheetId="15">[1]kod!$BT$34:$BT$3186</definedName>
    <definedName name="onev">[1]kod!$BT$34:$BT$3186</definedName>
  </definedNames>
  <calcPr calcId="145621"/>
</workbook>
</file>

<file path=xl/calcChain.xml><?xml version="1.0" encoding="utf-8"?>
<calcChain xmlns="http://schemas.openxmlformats.org/spreadsheetml/2006/main">
  <c r="B32" i="104" l="1"/>
  <c r="B35" i="104" s="1"/>
  <c r="B38" i="104" s="1"/>
  <c r="B9" i="104"/>
  <c r="F25" i="103"/>
  <c r="E25" i="103"/>
  <c r="D25" i="103"/>
  <c r="C25" i="103"/>
  <c r="F14" i="103"/>
  <c r="F15" i="103" s="1"/>
  <c r="E14" i="103"/>
  <c r="E15" i="103" s="1"/>
  <c r="D14" i="103"/>
  <c r="D15" i="103" s="1"/>
  <c r="C14" i="103"/>
  <c r="C15" i="103" s="1"/>
  <c r="E42" i="102"/>
  <c r="D42" i="102"/>
  <c r="C42" i="102"/>
  <c r="B42" i="102"/>
  <c r="F41" i="102"/>
  <c r="F40" i="102"/>
  <c r="F39" i="102"/>
  <c r="F38" i="102"/>
  <c r="F37" i="102"/>
  <c r="F36" i="102"/>
  <c r="F42" i="102" s="1"/>
  <c r="E33" i="102"/>
  <c r="D33" i="102"/>
  <c r="C33" i="102"/>
  <c r="B33" i="102"/>
  <c r="F32" i="102"/>
  <c r="F31" i="102"/>
  <c r="F30" i="102"/>
  <c r="E22" i="102"/>
  <c r="D22" i="102"/>
  <c r="C22" i="102"/>
  <c r="B22" i="102"/>
  <c r="F21" i="102"/>
  <c r="F20" i="102"/>
  <c r="F19" i="102"/>
  <c r="F18" i="102"/>
  <c r="F17" i="102"/>
  <c r="F16" i="102"/>
  <c r="E13" i="102"/>
  <c r="D13" i="102"/>
  <c r="C13" i="102"/>
  <c r="B13" i="102"/>
  <c r="F12" i="102"/>
  <c r="F11" i="102"/>
  <c r="F10" i="102"/>
  <c r="F29" i="101"/>
  <c r="D29" i="101" s="1"/>
  <c r="F28" i="101"/>
  <c r="D28" i="101" s="1"/>
  <c r="D27" i="101"/>
  <c r="D26" i="101"/>
  <c r="D25" i="101"/>
  <c r="D24" i="101"/>
  <c r="D23" i="101"/>
  <c r="D22" i="101"/>
  <c r="D21" i="101"/>
  <c r="F20" i="101"/>
  <c r="E20" i="101"/>
  <c r="E13" i="101"/>
  <c r="D13" i="101"/>
  <c r="E11" i="101"/>
  <c r="D11" i="101"/>
  <c r="H21" i="100"/>
  <c r="G21" i="100"/>
  <c r="F21" i="100"/>
  <c r="E21" i="100"/>
  <c r="H19" i="100"/>
  <c r="G19" i="100"/>
  <c r="F19" i="100"/>
  <c r="E19" i="100"/>
  <c r="H17" i="100"/>
  <c r="H22" i="100" s="1"/>
  <c r="H39" i="100" s="1"/>
  <c r="G17" i="100"/>
  <c r="G22" i="100" s="1"/>
  <c r="G39" i="100" s="1"/>
  <c r="F17" i="100"/>
  <c r="F22" i="100" s="1"/>
  <c r="F39" i="100" s="1"/>
  <c r="E17" i="100"/>
  <c r="E22" i="100" s="1"/>
  <c r="E39" i="100" s="1"/>
  <c r="K82" i="99"/>
  <c r="L82" i="99" s="1"/>
  <c r="K81" i="99"/>
  <c r="L81" i="99" s="1"/>
  <c r="L80" i="99"/>
  <c r="K80" i="99"/>
  <c r="L79" i="99"/>
  <c r="M80" i="99" s="1"/>
  <c r="K79" i="99"/>
  <c r="L78" i="99"/>
  <c r="K78" i="99"/>
  <c r="L77" i="99"/>
  <c r="K77" i="99"/>
  <c r="L76" i="99"/>
  <c r="K76" i="99"/>
  <c r="L75" i="99"/>
  <c r="K75" i="99"/>
  <c r="K74" i="99"/>
  <c r="F74" i="99"/>
  <c r="K73" i="99"/>
  <c r="L73" i="99" s="1"/>
  <c r="K72" i="99"/>
  <c r="L72" i="99" s="1"/>
  <c r="K70" i="99"/>
  <c r="L70" i="99" s="1"/>
  <c r="K69" i="99"/>
  <c r="L69" i="99" s="1"/>
  <c r="L68" i="99"/>
  <c r="K67" i="99"/>
  <c r="L67" i="99" s="1"/>
  <c r="K66" i="99"/>
  <c r="L66" i="99" s="1"/>
  <c r="L65" i="99"/>
  <c r="K64" i="99"/>
  <c r="L64" i="99" s="1"/>
  <c r="K63" i="99"/>
  <c r="L63" i="99" s="1"/>
  <c r="K61" i="99"/>
  <c r="L61" i="99" s="1"/>
  <c r="K60" i="99"/>
  <c r="L60" i="99" s="1"/>
  <c r="K59" i="99"/>
  <c r="L59" i="99" s="1"/>
  <c r="K58" i="99"/>
  <c r="L58" i="99" s="1"/>
  <c r="K57" i="99"/>
  <c r="L57" i="99" s="1"/>
  <c r="K56" i="99"/>
  <c r="L56" i="99" s="1"/>
  <c r="K55" i="99"/>
  <c r="L55" i="99" s="1"/>
  <c r="K54" i="99"/>
  <c r="L54" i="99" s="1"/>
  <c r="K53" i="99"/>
  <c r="L53" i="99" s="1"/>
  <c r="K52" i="99"/>
  <c r="L52" i="99" s="1"/>
  <c r="K51" i="99"/>
  <c r="L51" i="99" s="1"/>
  <c r="K50" i="99"/>
  <c r="L50" i="99" s="1"/>
  <c r="K49" i="99"/>
  <c r="L49" i="99" s="1"/>
  <c r="K48" i="99"/>
  <c r="L48" i="99" s="1"/>
  <c r="K47" i="99"/>
  <c r="L47" i="99" s="1"/>
  <c r="K45" i="99"/>
  <c r="L45" i="99" s="1"/>
  <c r="K44" i="99"/>
  <c r="L44" i="99" s="1"/>
  <c r="L43" i="99"/>
  <c r="L42" i="99"/>
  <c r="K42" i="99"/>
  <c r="L41" i="99"/>
  <c r="K41" i="99"/>
  <c r="L40" i="99"/>
  <c r="K40" i="99"/>
  <c r="L39" i="99"/>
  <c r="K39" i="99"/>
  <c r="L38" i="99"/>
  <c r="K38" i="99"/>
  <c r="L37" i="99"/>
  <c r="K37" i="99"/>
  <c r="L36" i="99"/>
  <c r="K36" i="99"/>
  <c r="L35" i="99"/>
  <c r="K35" i="99"/>
  <c r="L34" i="99"/>
  <c r="K34" i="99"/>
  <c r="L33" i="99"/>
  <c r="K33" i="99"/>
  <c r="J32" i="99"/>
  <c r="I32" i="99"/>
  <c r="I83" i="99" s="1"/>
  <c r="H32" i="99"/>
  <c r="G32" i="99"/>
  <c r="F32" i="99"/>
  <c r="E32" i="99"/>
  <c r="D32" i="99"/>
  <c r="J30" i="99"/>
  <c r="H30" i="99"/>
  <c r="G30" i="99"/>
  <c r="F30" i="99"/>
  <c r="E30" i="99"/>
  <c r="D30" i="99"/>
  <c r="K29" i="99"/>
  <c r="K30" i="99" s="1"/>
  <c r="J28" i="99"/>
  <c r="H28" i="99"/>
  <c r="G28" i="99"/>
  <c r="F28" i="99"/>
  <c r="E28" i="99"/>
  <c r="D28" i="99"/>
  <c r="K27" i="99"/>
  <c r="L27" i="99" s="1"/>
  <c r="L28" i="99" s="1"/>
  <c r="J26" i="99"/>
  <c r="I26" i="99"/>
  <c r="H26" i="99"/>
  <c r="H14" i="99" s="1"/>
  <c r="G26" i="99"/>
  <c r="F26" i="99"/>
  <c r="E26" i="99"/>
  <c r="D26" i="99"/>
  <c r="D14" i="99" s="1"/>
  <c r="K25" i="99"/>
  <c r="L25" i="99" s="1"/>
  <c r="K24" i="99"/>
  <c r="L24" i="99" s="1"/>
  <c r="K23" i="99"/>
  <c r="L23" i="99" s="1"/>
  <c r="K22" i="99"/>
  <c r="L22" i="99" s="1"/>
  <c r="K21" i="99"/>
  <c r="K26" i="99" s="1"/>
  <c r="J20" i="99"/>
  <c r="I20" i="99"/>
  <c r="H20" i="99"/>
  <c r="G20" i="99"/>
  <c r="F20" i="99"/>
  <c r="E20" i="99"/>
  <c r="D20" i="99"/>
  <c r="K19" i="99"/>
  <c r="L19" i="99" s="1"/>
  <c r="K18" i="99"/>
  <c r="L18" i="99" s="1"/>
  <c r="K17" i="99"/>
  <c r="L17" i="99" s="1"/>
  <c r="K16" i="99"/>
  <c r="L16" i="99" s="1"/>
  <c r="K15" i="99"/>
  <c r="K20" i="99" s="1"/>
  <c r="F14" i="99"/>
  <c r="D83" i="99" l="1"/>
  <c r="F83" i="99"/>
  <c r="H83" i="99"/>
  <c r="J14" i="99"/>
  <c r="J83" i="99" s="1"/>
  <c r="L21" i="99"/>
  <c r="L26" i="99" s="1"/>
  <c r="E14" i="99"/>
  <c r="E83" i="99" s="1"/>
  <c r="G14" i="99"/>
  <c r="L74" i="99"/>
  <c r="L32" i="99" s="1"/>
  <c r="E30" i="101"/>
  <c r="D20" i="101"/>
  <c r="F13" i="102"/>
  <c r="F22" i="102"/>
  <c r="F33" i="102"/>
  <c r="D30" i="101"/>
  <c r="G83" i="99"/>
  <c r="K28" i="99"/>
  <c r="K14" i="99" s="1"/>
  <c r="L15" i="99"/>
  <c r="L20" i="99" s="1"/>
  <c r="L29" i="99"/>
  <c r="L30" i="99" s="1"/>
  <c r="K32" i="99"/>
  <c r="K83" i="99" l="1"/>
  <c r="L14" i="99"/>
  <c r="L83" i="99" s="1"/>
  <c r="E114" i="40" l="1"/>
  <c r="D8" i="62" l="1"/>
  <c r="D22" i="62"/>
  <c r="D19" i="62"/>
  <c r="B10" i="62"/>
  <c r="C8" i="62"/>
  <c r="B8" i="62"/>
  <c r="I19" i="62"/>
  <c r="I22" i="62"/>
  <c r="N37" i="21" l="1"/>
  <c r="M42" i="21" l="1"/>
  <c r="G42" i="21"/>
  <c r="G42" i="98"/>
  <c r="G23" i="98"/>
  <c r="G20" i="98"/>
  <c r="G12" i="98"/>
  <c r="C41" i="98"/>
  <c r="C24" i="98"/>
  <c r="C22" i="98"/>
  <c r="C20" i="98"/>
  <c r="Y13" i="52"/>
  <c r="G14" i="62" s="1"/>
  <c r="Y9" i="52"/>
  <c r="I42" i="97"/>
  <c r="I40" i="97" s="1"/>
  <c r="I56" i="97" s="1"/>
  <c r="I37" i="97"/>
  <c r="I23" i="97"/>
  <c r="I20" i="97"/>
  <c r="I12" i="97"/>
  <c r="D59" i="97"/>
  <c r="D22" i="97"/>
  <c r="E51" i="42"/>
  <c r="P79" i="41"/>
  <c r="P80" i="41"/>
  <c r="P81" i="41"/>
  <c r="P83" i="41"/>
  <c r="P84" i="41"/>
  <c r="P85" i="41"/>
  <c r="P86" i="41"/>
  <c r="P87" i="41"/>
  <c r="P88" i="41"/>
  <c r="D24" i="97" s="1"/>
  <c r="D21" i="97" s="1"/>
  <c r="D58" i="97" s="1"/>
  <c r="P70" i="41"/>
  <c r="P71" i="41"/>
  <c r="P59" i="41"/>
  <c r="P60" i="41"/>
  <c r="P61" i="41"/>
  <c r="P63" i="41"/>
  <c r="P64" i="41"/>
  <c r="P65" i="41"/>
  <c r="P58" i="41"/>
  <c r="P56" i="41" s="1"/>
  <c r="D31" i="97" s="1"/>
  <c r="P30" i="41"/>
  <c r="P31" i="41"/>
  <c r="P34" i="41"/>
  <c r="P35" i="41"/>
  <c r="P37" i="41"/>
  <c r="P38" i="41"/>
  <c r="P39" i="41"/>
  <c r="P42" i="41"/>
  <c r="P47" i="41"/>
  <c r="P48" i="41"/>
  <c r="P23" i="41"/>
  <c r="P24" i="41"/>
  <c r="P21" i="41"/>
  <c r="P22" i="41"/>
  <c r="P7" i="41"/>
  <c r="P8" i="41"/>
  <c r="P9" i="41"/>
  <c r="P10" i="41"/>
  <c r="P11" i="41"/>
  <c r="P12" i="41"/>
  <c r="P13" i="41"/>
  <c r="D187" i="50"/>
  <c r="D182" i="50"/>
  <c r="O46" i="21" s="1"/>
  <c r="D161" i="50"/>
  <c r="D129" i="50" s="1"/>
  <c r="D124" i="50"/>
  <c r="D112" i="50"/>
  <c r="G37" i="98" s="1"/>
  <c r="D105" i="50"/>
  <c r="D100" i="50"/>
  <c r="D108" i="50" s="1"/>
  <c r="D109" i="50" s="1"/>
  <c r="D36" i="50"/>
  <c r="D131" i="70"/>
  <c r="D128" i="70"/>
  <c r="D117" i="70"/>
  <c r="D102" i="70"/>
  <c r="D89" i="70"/>
  <c r="D81" i="70"/>
  <c r="D77" i="70"/>
  <c r="D71" i="70"/>
  <c r="D64" i="70"/>
  <c r="D49" i="70"/>
  <c r="D45" i="70"/>
  <c r="D35" i="70"/>
  <c r="D29" i="70"/>
  <c r="D21" i="70"/>
  <c r="D15" i="70"/>
  <c r="D7" i="70"/>
  <c r="D113" i="40"/>
  <c r="I15" i="62" s="1"/>
  <c r="D12" i="49"/>
  <c r="D96" i="49" s="1"/>
  <c r="D4" i="49"/>
  <c r="D105" i="40" s="1"/>
  <c r="I14" i="62" s="1"/>
  <c r="D30" i="40"/>
  <c r="D29" i="40"/>
  <c r="F75" i="87"/>
  <c r="D90" i="40"/>
  <c r="O35" i="21" s="1"/>
  <c r="D107" i="40"/>
  <c r="G15" i="98" s="1"/>
  <c r="E82" i="40"/>
  <c r="E83" i="40"/>
  <c r="O40" i="21" l="1"/>
  <c r="G30" i="98"/>
  <c r="I30" i="97"/>
  <c r="I35" i="97"/>
  <c r="G35" i="98"/>
  <c r="D176" i="50"/>
  <c r="O43" i="21" s="1"/>
  <c r="P62" i="41"/>
  <c r="D10" i="97" s="1"/>
  <c r="P82" i="41"/>
  <c r="D140" i="70"/>
  <c r="P6" i="41"/>
  <c r="P78" i="41"/>
  <c r="I19" i="97"/>
  <c r="I55" i="97" s="1"/>
  <c r="I15" i="97"/>
  <c r="G14" i="98"/>
  <c r="I13" i="97"/>
  <c r="I14" i="97"/>
  <c r="I11" i="97" s="1"/>
  <c r="G13" i="98"/>
  <c r="D177" i="50"/>
  <c r="D188" i="50" s="1"/>
  <c r="I34" i="97"/>
  <c r="I33" i="97" s="1"/>
  <c r="G34" i="98"/>
  <c r="D57" i="97"/>
  <c r="G33" i="98"/>
  <c r="I54" i="97"/>
  <c r="D100" i="40"/>
  <c r="O36" i="21" s="1"/>
  <c r="P77" i="41"/>
  <c r="D53" i="40"/>
  <c r="D44" i="40"/>
  <c r="D34" i="40"/>
  <c r="I8" i="62" s="1"/>
  <c r="D14" i="52"/>
  <c r="D9" i="52"/>
  <c r="D13" i="52" s="1"/>
  <c r="G8" i="62" s="1"/>
  <c r="H14" i="52"/>
  <c r="H13" i="52"/>
  <c r="G9" i="62" s="1"/>
  <c r="H9" i="52"/>
  <c r="L9" i="52"/>
  <c r="L13" i="52" s="1"/>
  <c r="G10" i="62" s="1"/>
  <c r="P16" i="52"/>
  <c r="G10" i="98" s="1"/>
  <c r="Y14" i="52"/>
  <c r="Y15" i="52" s="1"/>
  <c r="F13" i="98" s="1"/>
  <c r="F11" i="98" s="1"/>
  <c r="AP16" i="52"/>
  <c r="AP17" i="52" s="1"/>
  <c r="AK16" i="52"/>
  <c r="AK17" i="52" s="1"/>
  <c r="AG16" i="52"/>
  <c r="AG17" i="52" s="1"/>
  <c r="AC16" i="52"/>
  <c r="AC14" i="52"/>
  <c r="AC12" i="52"/>
  <c r="AX12" i="52" s="1"/>
  <c r="AC10" i="52"/>
  <c r="AX10" i="52" s="1"/>
  <c r="E74" i="87"/>
  <c r="E70" i="87"/>
  <c r="AC11" i="52" s="1"/>
  <c r="AX11" i="52" s="1"/>
  <c r="E63" i="87"/>
  <c r="F55" i="87"/>
  <c r="E54" i="87"/>
  <c r="D28" i="40"/>
  <c r="D21" i="40"/>
  <c r="D15" i="40"/>
  <c r="D27" i="40" s="1"/>
  <c r="O33" i="21" s="1"/>
  <c r="D9" i="40"/>
  <c r="L14" i="52" s="1"/>
  <c r="D15" i="52" l="1"/>
  <c r="F7" i="98" s="1"/>
  <c r="G32" i="98"/>
  <c r="I32" i="97"/>
  <c r="H15" i="52"/>
  <c r="F8" i="98" s="1"/>
  <c r="H16" i="52"/>
  <c r="G8" i="98" s="1"/>
  <c r="I9" i="62"/>
  <c r="Y16" i="52"/>
  <c r="P14" i="52"/>
  <c r="P15" i="52" s="1"/>
  <c r="F10" i="98" s="1"/>
  <c r="L16" i="52"/>
  <c r="G9" i="98" s="1"/>
  <c r="I10" i="62"/>
  <c r="D16" i="52"/>
  <c r="O34" i="21"/>
  <c r="D115" i="40"/>
  <c r="Y17" i="52"/>
  <c r="D31" i="40"/>
  <c r="H17" i="52"/>
  <c r="I8" i="97" s="1"/>
  <c r="L15" i="52"/>
  <c r="D62" i="41"/>
  <c r="C10" i="98" s="1"/>
  <c r="O11" i="21" s="1"/>
  <c r="D56" i="41"/>
  <c r="C31" i="98" s="1"/>
  <c r="D46" i="41"/>
  <c r="P46" i="41" s="1"/>
  <c r="D40" i="41"/>
  <c r="D36" i="41"/>
  <c r="P36" i="41" s="1"/>
  <c r="D33" i="41"/>
  <c r="P33" i="41" s="1"/>
  <c r="D29" i="41"/>
  <c r="P29" i="41" s="1"/>
  <c r="D92" i="41"/>
  <c r="D91" i="41"/>
  <c r="D82" i="41"/>
  <c r="D77" i="41" s="1"/>
  <c r="D74" i="41"/>
  <c r="U21" i="45"/>
  <c r="U16" i="45"/>
  <c r="H16" i="45"/>
  <c r="L16" i="45" s="1"/>
  <c r="L62" i="41"/>
  <c r="L56" i="41"/>
  <c r="AP12" i="44"/>
  <c r="AP21" i="44"/>
  <c r="AP42" i="44"/>
  <c r="AP40" i="44"/>
  <c r="AP34" i="44"/>
  <c r="AP46" i="44"/>
  <c r="AP45" i="44" s="1"/>
  <c r="AP50" i="44"/>
  <c r="H17" i="45" s="1"/>
  <c r="L17" i="45" s="1"/>
  <c r="AT60" i="44"/>
  <c r="AP59" i="44"/>
  <c r="AL59" i="44"/>
  <c r="AL50" i="44"/>
  <c r="AL46" i="44"/>
  <c r="AL45" i="44" s="1"/>
  <c r="AL42" i="44"/>
  <c r="AL44" i="44" s="1"/>
  <c r="AL40" i="44"/>
  <c r="AL34" i="44"/>
  <c r="AL21" i="44"/>
  <c r="AL15" i="44"/>
  <c r="AT15" i="44" s="1"/>
  <c r="AL12" i="44"/>
  <c r="AG50" i="44"/>
  <c r="H15" i="45" s="1"/>
  <c r="L15" i="45" s="1"/>
  <c r="AG46" i="44"/>
  <c r="AG45" i="44" s="1"/>
  <c r="AG34" i="44"/>
  <c r="AG44" i="44" s="1"/>
  <c r="Q15" i="45" s="1"/>
  <c r="AG21" i="44"/>
  <c r="AG12" i="44"/>
  <c r="AT22" i="44"/>
  <c r="AT14" i="44"/>
  <c r="L19" i="41" s="1"/>
  <c r="P19" i="41" s="1"/>
  <c r="AT16" i="44"/>
  <c r="L25" i="41" s="1"/>
  <c r="AT17" i="44"/>
  <c r="AT18" i="44"/>
  <c r="AT19" i="44"/>
  <c r="AT20" i="44"/>
  <c r="AY12" i="44"/>
  <c r="O13" i="21" s="1"/>
  <c r="AY17" i="44"/>
  <c r="O14" i="21" s="1"/>
  <c r="AY21" i="44"/>
  <c r="O15" i="21" s="1"/>
  <c r="AY42" i="44"/>
  <c r="AY40" i="44"/>
  <c r="AY46" i="44"/>
  <c r="AY50" i="44"/>
  <c r="H19" i="45" s="1"/>
  <c r="L19" i="45" s="1"/>
  <c r="AY59" i="44"/>
  <c r="H91" i="41" s="1"/>
  <c r="H76" i="41"/>
  <c r="H75" i="41"/>
  <c r="H62" i="41"/>
  <c r="H56" i="41"/>
  <c r="H52" i="41"/>
  <c r="H50" i="41"/>
  <c r="H45" i="41"/>
  <c r="H44" i="41"/>
  <c r="H43" i="41"/>
  <c r="H40" i="41"/>
  <c r="H28" i="41" s="1"/>
  <c r="B8" i="98" s="1"/>
  <c r="H18" i="41"/>
  <c r="D37" i="42"/>
  <c r="D30" i="42" s="1"/>
  <c r="Q16" i="45" l="1"/>
  <c r="AC16" i="45" s="1"/>
  <c r="AL53" i="44"/>
  <c r="L20" i="41"/>
  <c r="B30" i="98"/>
  <c r="O25" i="21" s="1"/>
  <c r="P25" i="41"/>
  <c r="P20" i="41" s="1"/>
  <c r="D30" i="97" s="1"/>
  <c r="AG53" i="44"/>
  <c r="Y21" i="45"/>
  <c r="Y22" i="45" s="1"/>
  <c r="O28" i="21"/>
  <c r="P40" i="41"/>
  <c r="H5" i="41"/>
  <c r="B10" i="98"/>
  <c r="H74" i="41"/>
  <c r="H73" i="41" s="1"/>
  <c r="AY45" i="44"/>
  <c r="U15" i="45"/>
  <c r="AC15" i="45" s="1"/>
  <c r="U17" i="45"/>
  <c r="U19" i="45"/>
  <c r="O29" i="21"/>
  <c r="D41" i="41"/>
  <c r="AX14" i="52"/>
  <c r="P17" i="52"/>
  <c r="I10" i="97" s="1"/>
  <c r="L17" i="52"/>
  <c r="I9" i="97" s="1"/>
  <c r="F9" i="98"/>
  <c r="D89" i="41"/>
  <c r="G7" i="98"/>
  <c r="D17" i="52"/>
  <c r="I7" i="97" s="1"/>
  <c r="D32" i="41"/>
  <c r="D73" i="41"/>
  <c r="AP44" i="44"/>
  <c r="AY44" i="44"/>
  <c r="H89" i="41"/>
  <c r="H41" i="41"/>
  <c r="J62" i="95"/>
  <c r="L62" i="95"/>
  <c r="D28" i="41" l="1"/>
  <c r="P32" i="41"/>
  <c r="H72" i="41"/>
  <c r="AP53" i="44"/>
  <c r="Q17" i="45"/>
  <c r="AC17" i="45" s="1"/>
  <c r="C9" i="98"/>
  <c r="O10" i="21" s="1"/>
  <c r="H90" i="41"/>
  <c r="AY53" i="44"/>
  <c r="Q19" i="45"/>
  <c r="D34" i="42"/>
  <c r="D33" i="42"/>
  <c r="D32" i="42"/>
  <c r="D26" i="42"/>
  <c r="D24" i="42"/>
  <c r="D20" i="42"/>
  <c r="D19" i="42"/>
  <c r="D14" i="42"/>
  <c r="D9" i="42"/>
  <c r="D8" i="42"/>
  <c r="D5" i="42"/>
  <c r="P28" i="41" l="1"/>
  <c r="C8" i="98"/>
  <c r="O9" i="21" s="1"/>
  <c r="AC19" i="45"/>
  <c r="K42" i="21"/>
  <c r="L42" i="21"/>
  <c r="J42" i="21"/>
  <c r="I42" i="21"/>
  <c r="D42" i="21"/>
  <c r="N18" i="21"/>
  <c r="D8" i="97" l="1"/>
  <c r="D6" i="42"/>
  <c r="E45" i="87"/>
  <c r="AC7" i="52" s="1"/>
  <c r="E41" i="87"/>
  <c r="E31" i="87"/>
  <c r="AC6" i="52" s="1"/>
  <c r="E24" i="87"/>
  <c r="AC5" i="52" s="1"/>
  <c r="E15" i="87"/>
  <c r="AC4" i="52" s="1"/>
  <c r="E5" i="87"/>
  <c r="AC3" i="52" s="1"/>
  <c r="AX3" i="52" s="1"/>
  <c r="AC9" i="52" l="1"/>
  <c r="AC13" i="52" s="1"/>
  <c r="E52" i="87"/>
  <c r="E77" i="87" s="1"/>
  <c r="G23" i="62" l="1"/>
  <c r="AC15" i="52"/>
  <c r="AC17" i="52" s="1"/>
  <c r="O42" i="21"/>
  <c r="O44" i="21" s="1"/>
  <c r="F31" i="98"/>
  <c r="F38" i="98" s="1"/>
  <c r="I31" i="97"/>
  <c r="I38" i="97" s="1"/>
  <c r="D25" i="42"/>
  <c r="D23" i="42" s="1"/>
  <c r="E23" i="42" s="1"/>
  <c r="AX8" i="52"/>
  <c r="AX7" i="52"/>
  <c r="AX6" i="52"/>
  <c r="AX5" i="52"/>
  <c r="AX4" i="52"/>
  <c r="L10" i="45"/>
  <c r="M10" i="45" s="1"/>
  <c r="D14" i="45"/>
  <c r="D18" i="45" s="1"/>
  <c r="D20" i="45" s="1"/>
  <c r="L8" i="45"/>
  <c r="AC58" i="44"/>
  <c r="AT58" i="44" s="1"/>
  <c r="L92" i="41" s="1"/>
  <c r="P92" i="41" s="1"/>
  <c r="AC57" i="44"/>
  <c r="AT57" i="44" s="1"/>
  <c r="AC56" i="44"/>
  <c r="AT56" i="44" s="1"/>
  <c r="AC55" i="44"/>
  <c r="AT55" i="44" s="1"/>
  <c r="AC52" i="44"/>
  <c r="AT52" i="44" s="1"/>
  <c r="AC51" i="44"/>
  <c r="AC49" i="44"/>
  <c r="AC48" i="44"/>
  <c r="AT48" i="44" s="1"/>
  <c r="L76" i="41" s="1"/>
  <c r="AC47" i="44"/>
  <c r="AT47" i="44" s="1"/>
  <c r="AC43" i="44"/>
  <c r="AC41" i="44"/>
  <c r="AC39" i="44"/>
  <c r="AT39" i="44" s="1"/>
  <c r="AC38" i="44"/>
  <c r="AT38" i="44" s="1"/>
  <c r="AC37" i="44"/>
  <c r="AT37" i="44" s="1"/>
  <c r="AC36" i="44"/>
  <c r="AT36" i="44" s="1"/>
  <c r="AC35" i="44"/>
  <c r="AT35" i="44" s="1"/>
  <c r="AC33" i="44"/>
  <c r="AT33" i="44" s="1"/>
  <c r="L55" i="41" s="1"/>
  <c r="P55" i="41" s="1"/>
  <c r="AC30" i="44"/>
  <c r="AT30" i="44" s="1"/>
  <c r="L52" i="41" s="1"/>
  <c r="P52" i="41" s="1"/>
  <c r="AC29" i="44"/>
  <c r="AT29" i="44" s="1"/>
  <c r="L51" i="41" s="1"/>
  <c r="P51" i="41" s="1"/>
  <c r="AC28" i="44"/>
  <c r="AT28" i="44" s="1"/>
  <c r="L50" i="41" s="1"/>
  <c r="P50" i="41" s="1"/>
  <c r="AC27" i="44"/>
  <c r="AT27" i="44" s="1"/>
  <c r="L49" i="41" s="1"/>
  <c r="P49" i="41" s="1"/>
  <c r="AC26" i="44"/>
  <c r="AT26" i="44" s="1"/>
  <c r="AC25" i="44"/>
  <c r="AT25" i="44" s="1"/>
  <c r="L45" i="41" s="1"/>
  <c r="P45" i="41" s="1"/>
  <c r="AC24" i="44"/>
  <c r="AT24" i="44" s="1"/>
  <c r="L44" i="41" s="1"/>
  <c r="P44" i="41" s="1"/>
  <c r="AC23" i="44"/>
  <c r="AT23" i="44" s="1"/>
  <c r="AC13" i="44"/>
  <c r="U59" i="44"/>
  <c r="U50" i="44"/>
  <c r="U46" i="44"/>
  <c r="U12" i="45" s="1"/>
  <c r="U42" i="44"/>
  <c r="U40" i="44"/>
  <c r="U34" i="44"/>
  <c r="U21" i="44"/>
  <c r="U15" i="44"/>
  <c r="U12" i="44"/>
  <c r="P50" i="44"/>
  <c r="H11" i="45" s="1"/>
  <c r="L11" i="45" s="1"/>
  <c r="P46" i="44"/>
  <c r="U11" i="45" s="1"/>
  <c r="V11" i="45" s="1"/>
  <c r="P42" i="44"/>
  <c r="P40" i="44"/>
  <c r="P34" i="44"/>
  <c r="P21" i="44"/>
  <c r="P15" i="44"/>
  <c r="P12" i="44"/>
  <c r="L50" i="44"/>
  <c r="H10" i="45" s="1"/>
  <c r="L46" i="44"/>
  <c r="L42" i="44"/>
  <c r="L40" i="44"/>
  <c r="L34" i="44"/>
  <c r="L21" i="44"/>
  <c r="L15" i="44"/>
  <c r="L12" i="44"/>
  <c r="M12" i="44" s="1"/>
  <c r="H59" i="44"/>
  <c r="H50" i="44"/>
  <c r="H9" i="45" s="1"/>
  <c r="H46" i="44"/>
  <c r="U9" i="45" s="1"/>
  <c r="H42" i="44"/>
  <c r="H40" i="44"/>
  <c r="D42" i="44"/>
  <c r="D40" i="44"/>
  <c r="H34" i="44"/>
  <c r="H21" i="44"/>
  <c r="H15" i="44"/>
  <c r="H12" i="44"/>
  <c r="D59" i="44"/>
  <c r="D50" i="44"/>
  <c r="H8" i="45" s="1"/>
  <c r="D46" i="44"/>
  <c r="D34" i="44"/>
  <c r="D21" i="44"/>
  <c r="D15" i="44"/>
  <c r="D12" i="44"/>
  <c r="Y59" i="44"/>
  <c r="Y50" i="44"/>
  <c r="H13" i="45" s="1"/>
  <c r="L13" i="45" s="1"/>
  <c r="Y46" i="44"/>
  <c r="Y21" i="44"/>
  <c r="Y12" i="44"/>
  <c r="Y44" i="44" s="1"/>
  <c r="Q13" i="45" s="1"/>
  <c r="R13" i="45" s="1"/>
  <c r="T12" i="44"/>
  <c r="R79" i="96"/>
  <c r="R78" i="96"/>
  <c r="R74" i="96"/>
  <c r="D20" i="41"/>
  <c r="C30" i="98" s="1"/>
  <c r="O21" i="21" s="1"/>
  <c r="D6" i="41"/>
  <c r="L48" i="95"/>
  <c r="O89" i="96"/>
  <c r="O18" i="96"/>
  <c r="O74" i="96"/>
  <c r="P125" i="96"/>
  <c r="P126" i="96"/>
  <c r="P127" i="96"/>
  <c r="P128" i="96"/>
  <c r="P129" i="96"/>
  <c r="P123" i="96"/>
  <c r="O124" i="96"/>
  <c r="O65" i="96"/>
  <c r="O59" i="96"/>
  <c r="O46" i="96"/>
  <c r="O33" i="96"/>
  <c r="P19" i="96"/>
  <c r="P22" i="96"/>
  <c r="P24" i="96"/>
  <c r="P34" i="96"/>
  <c r="P47" i="96"/>
  <c r="P102" i="96"/>
  <c r="L73" i="95"/>
  <c r="M77" i="95"/>
  <c r="M82" i="95"/>
  <c r="L83" i="95"/>
  <c r="M87" i="95"/>
  <c r="J57" i="97"/>
  <c r="J58" i="97"/>
  <c r="J59" i="97"/>
  <c r="E53" i="97"/>
  <c r="J31" i="97"/>
  <c r="J32" i="97"/>
  <c r="J34" i="97"/>
  <c r="J35" i="97"/>
  <c r="J36" i="97"/>
  <c r="J37" i="97"/>
  <c r="J41" i="97"/>
  <c r="J42" i="97"/>
  <c r="J43" i="97"/>
  <c r="J44" i="97"/>
  <c r="J30" i="97"/>
  <c r="E31" i="97"/>
  <c r="E33" i="97"/>
  <c r="E34" i="97"/>
  <c r="E35" i="97"/>
  <c r="E36" i="97"/>
  <c r="E37" i="97"/>
  <c r="E39" i="97"/>
  <c r="E42" i="97"/>
  <c r="E43" i="97"/>
  <c r="E44" i="97"/>
  <c r="E30" i="97"/>
  <c r="J8" i="97"/>
  <c r="J9" i="97"/>
  <c r="J10" i="97"/>
  <c r="J12" i="97"/>
  <c r="J13" i="97"/>
  <c r="J14" i="97"/>
  <c r="J15" i="97"/>
  <c r="J18" i="97"/>
  <c r="J20" i="97"/>
  <c r="J21" i="97"/>
  <c r="J22" i="97"/>
  <c r="J23" i="97"/>
  <c r="J24" i="97"/>
  <c r="J7" i="97"/>
  <c r="E8" i="97"/>
  <c r="E10" i="97"/>
  <c r="E11" i="97"/>
  <c r="E12" i="97"/>
  <c r="E13" i="97"/>
  <c r="E14" i="97"/>
  <c r="E15" i="97"/>
  <c r="E16" i="97"/>
  <c r="E22" i="97"/>
  <c r="E23" i="97"/>
  <c r="E24" i="97"/>
  <c r="E185" i="50"/>
  <c r="E186" i="50"/>
  <c r="E184" i="50"/>
  <c r="E180" i="50"/>
  <c r="E181" i="50"/>
  <c r="E179" i="50"/>
  <c r="E163" i="50"/>
  <c r="E164" i="50"/>
  <c r="E165" i="50"/>
  <c r="E166" i="50"/>
  <c r="E167" i="50"/>
  <c r="E168" i="50"/>
  <c r="E169" i="50"/>
  <c r="E170" i="50"/>
  <c r="E171" i="50"/>
  <c r="E172" i="50"/>
  <c r="E173" i="50"/>
  <c r="E174" i="50"/>
  <c r="E175" i="50"/>
  <c r="E162" i="50"/>
  <c r="E113" i="50"/>
  <c r="E114" i="50"/>
  <c r="E115" i="50"/>
  <c r="E116" i="50"/>
  <c r="E117" i="50"/>
  <c r="E118" i="50"/>
  <c r="E119" i="50"/>
  <c r="E120" i="50"/>
  <c r="E121" i="50"/>
  <c r="E122" i="50"/>
  <c r="E123" i="50"/>
  <c r="E125" i="50"/>
  <c r="E126" i="50"/>
  <c r="E127" i="50"/>
  <c r="E128" i="50"/>
  <c r="E130" i="50"/>
  <c r="E131" i="50"/>
  <c r="E132" i="50"/>
  <c r="E133" i="50"/>
  <c r="E134" i="50"/>
  <c r="E135" i="50"/>
  <c r="E136" i="50"/>
  <c r="E137" i="50"/>
  <c r="E138" i="50"/>
  <c r="E139" i="50"/>
  <c r="E140" i="50"/>
  <c r="E141" i="50"/>
  <c r="E142" i="50"/>
  <c r="E143" i="50"/>
  <c r="E144" i="50"/>
  <c r="E145" i="50"/>
  <c r="E146" i="50"/>
  <c r="E147" i="50"/>
  <c r="E148" i="50"/>
  <c r="E149" i="50"/>
  <c r="E150" i="50"/>
  <c r="E151" i="50"/>
  <c r="E152" i="50"/>
  <c r="E153" i="50"/>
  <c r="E154" i="50"/>
  <c r="E155" i="50"/>
  <c r="E156" i="50"/>
  <c r="E157" i="50"/>
  <c r="E158" i="50"/>
  <c r="E159" i="50"/>
  <c r="E40" i="50"/>
  <c r="E41" i="50"/>
  <c r="E42" i="50"/>
  <c r="E43" i="50"/>
  <c r="E44" i="50"/>
  <c r="E45" i="50"/>
  <c r="E46" i="50"/>
  <c r="E47" i="50"/>
  <c r="E48" i="50"/>
  <c r="E49" i="50"/>
  <c r="E50" i="50"/>
  <c r="E51" i="50"/>
  <c r="E52" i="50"/>
  <c r="E53" i="50"/>
  <c r="E54" i="50"/>
  <c r="E55" i="50"/>
  <c r="E56" i="50"/>
  <c r="E57" i="50"/>
  <c r="E58" i="50"/>
  <c r="E59" i="50"/>
  <c r="E60" i="50"/>
  <c r="E61" i="50"/>
  <c r="E62" i="50"/>
  <c r="E63" i="50"/>
  <c r="E64" i="50"/>
  <c r="E65" i="50"/>
  <c r="E66" i="50"/>
  <c r="E67" i="50"/>
  <c r="E68" i="50"/>
  <c r="E69" i="50"/>
  <c r="E70" i="50"/>
  <c r="E71" i="50"/>
  <c r="E72" i="50"/>
  <c r="E73" i="50"/>
  <c r="E74" i="50"/>
  <c r="E75" i="50"/>
  <c r="E76" i="50"/>
  <c r="E77" i="50"/>
  <c r="E78" i="50"/>
  <c r="E79" i="50"/>
  <c r="E80" i="50"/>
  <c r="E81" i="50"/>
  <c r="E82" i="50"/>
  <c r="E83" i="50"/>
  <c r="E84" i="50"/>
  <c r="E85" i="50"/>
  <c r="E86" i="50"/>
  <c r="E87" i="50"/>
  <c r="E88" i="50"/>
  <c r="E89" i="50"/>
  <c r="E90" i="50"/>
  <c r="E91" i="50"/>
  <c r="E92" i="50"/>
  <c r="E93" i="50"/>
  <c r="E94" i="50"/>
  <c r="E95" i="50"/>
  <c r="E96" i="50"/>
  <c r="E97" i="50"/>
  <c r="E98" i="50"/>
  <c r="E99" i="50"/>
  <c r="E101" i="50"/>
  <c r="E102" i="50"/>
  <c r="E103" i="50"/>
  <c r="E104" i="50"/>
  <c r="E106" i="50"/>
  <c r="E107" i="50"/>
  <c r="E39" i="50"/>
  <c r="E4" i="50"/>
  <c r="E5" i="50"/>
  <c r="E6" i="50"/>
  <c r="E7" i="50"/>
  <c r="E8" i="50"/>
  <c r="E9" i="50"/>
  <c r="E10" i="50"/>
  <c r="E11" i="50"/>
  <c r="E12" i="50"/>
  <c r="E13" i="50"/>
  <c r="E14" i="50"/>
  <c r="E15" i="50"/>
  <c r="E16" i="50"/>
  <c r="E17" i="50"/>
  <c r="E18" i="50"/>
  <c r="E19" i="50"/>
  <c r="E20" i="50"/>
  <c r="E21" i="50"/>
  <c r="E22" i="50"/>
  <c r="E23" i="50"/>
  <c r="E24" i="50"/>
  <c r="E25" i="50"/>
  <c r="E26" i="50"/>
  <c r="E27" i="50"/>
  <c r="E28" i="50"/>
  <c r="E29" i="50"/>
  <c r="E30" i="50"/>
  <c r="E31" i="50"/>
  <c r="E32" i="50"/>
  <c r="E33" i="50"/>
  <c r="E34" i="50"/>
  <c r="E35" i="50"/>
  <c r="E3" i="50"/>
  <c r="E96" i="70"/>
  <c r="E97" i="70"/>
  <c r="E98" i="70"/>
  <c r="E99" i="70"/>
  <c r="E100" i="70"/>
  <c r="E101" i="70"/>
  <c r="E103" i="70"/>
  <c r="E104" i="70"/>
  <c r="E105" i="70"/>
  <c r="E106" i="70"/>
  <c r="E107" i="70"/>
  <c r="E108" i="70"/>
  <c r="E109" i="70"/>
  <c r="E110" i="70"/>
  <c r="E111" i="70"/>
  <c r="E112" i="70"/>
  <c r="E113" i="70"/>
  <c r="E114" i="70"/>
  <c r="E115" i="70"/>
  <c r="E116" i="70"/>
  <c r="E118" i="70"/>
  <c r="E119" i="70"/>
  <c r="E121" i="70"/>
  <c r="E122" i="70"/>
  <c r="E124" i="70"/>
  <c r="E125" i="70"/>
  <c r="E126" i="70"/>
  <c r="E127" i="70"/>
  <c r="E129" i="70"/>
  <c r="E130" i="70"/>
  <c r="E132" i="70"/>
  <c r="E133" i="70"/>
  <c r="E134" i="70"/>
  <c r="E135" i="70"/>
  <c r="E136" i="70"/>
  <c r="E137" i="70"/>
  <c r="E138" i="70"/>
  <c r="E139" i="70"/>
  <c r="E95" i="70"/>
  <c r="E67" i="70"/>
  <c r="E68" i="70"/>
  <c r="E69" i="70"/>
  <c r="E70" i="70"/>
  <c r="E72" i="70"/>
  <c r="E73" i="70"/>
  <c r="E74" i="70"/>
  <c r="E75" i="70"/>
  <c r="E76" i="70"/>
  <c r="E78" i="70"/>
  <c r="E79" i="70"/>
  <c r="E80" i="70"/>
  <c r="E82" i="70"/>
  <c r="E83" i="70"/>
  <c r="E84" i="70"/>
  <c r="E85" i="70"/>
  <c r="E86" i="70"/>
  <c r="E87" i="70"/>
  <c r="E88" i="70"/>
  <c r="E90" i="70"/>
  <c r="E91" i="70"/>
  <c r="E92" i="70"/>
  <c r="E66" i="70"/>
  <c r="E53" i="70"/>
  <c r="E54" i="70"/>
  <c r="E55" i="70"/>
  <c r="E56" i="70"/>
  <c r="E57" i="70"/>
  <c r="E58" i="70"/>
  <c r="E59" i="70"/>
  <c r="E60" i="70"/>
  <c r="E61" i="70"/>
  <c r="E62" i="70"/>
  <c r="E63" i="70"/>
  <c r="E52" i="70"/>
  <c r="E46" i="70"/>
  <c r="E47" i="70"/>
  <c r="E48" i="70"/>
  <c r="E8" i="70"/>
  <c r="E9" i="70"/>
  <c r="E10" i="70"/>
  <c r="E11" i="70"/>
  <c r="E12" i="70"/>
  <c r="E13" i="70"/>
  <c r="E14" i="70"/>
  <c r="E16" i="70"/>
  <c r="E17" i="70"/>
  <c r="E18" i="70"/>
  <c r="E19" i="70"/>
  <c r="E20" i="70"/>
  <c r="E22" i="70"/>
  <c r="E23" i="70"/>
  <c r="E24" i="70"/>
  <c r="E25" i="70"/>
  <c r="E26" i="70"/>
  <c r="E27" i="70"/>
  <c r="E28" i="70"/>
  <c r="E30" i="70"/>
  <c r="E31" i="70"/>
  <c r="E32" i="70"/>
  <c r="E33" i="70"/>
  <c r="E34" i="70"/>
  <c r="E36" i="70"/>
  <c r="E37" i="70"/>
  <c r="E38" i="70"/>
  <c r="E39" i="70"/>
  <c r="E40" i="70"/>
  <c r="E41" i="70"/>
  <c r="E42" i="70"/>
  <c r="E43" i="70"/>
  <c r="E44" i="70"/>
  <c r="E6" i="70"/>
  <c r="E56" i="49"/>
  <c r="E57" i="49"/>
  <c r="E58" i="49"/>
  <c r="E59" i="49"/>
  <c r="E60" i="49"/>
  <c r="E61" i="49"/>
  <c r="E62" i="49"/>
  <c r="E63" i="49"/>
  <c r="E64" i="49"/>
  <c r="E65" i="49"/>
  <c r="E66" i="49"/>
  <c r="E67" i="49"/>
  <c r="E68" i="49"/>
  <c r="E69" i="49"/>
  <c r="E70" i="49"/>
  <c r="E71" i="49"/>
  <c r="E72" i="49"/>
  <c r="E73" i="49"/>
  <c r="E74" i="49"/>
  <c r="E75" i="49"/>
  <c r="E76" i="49"/>
  <c r="E77" i="49"/>
  <c r="E78" i="49"/>
  <c r="E79" i="49"/>
  <c r="E80" i="49"/>
  <c r="E81" i="49"/>
  <c r="E82" i="49"/>
  <c r="E83" i="49"/>
  <c r="E84" i="49"/>
  <c r="E85" i="49"/>
  <c r="E86" i="49"/>
  <c r="E87" i="49"/>
  <c r="E88" i="49"/>
  <c r="E89" i="49"/>
  <c r="E90" i="49"/>
  <c r="E91" i="49"/>
  <c r="E92" i="49"/>
  <c r="E93" i="49"/>
  <c r="E94" i="49"/>
  <c r="E95" i="49"/>
  <c r="E55" i="49"/>
  <c r="E6" i="49"/>
  <c r="E7" i="49"/>
  <c r="E8" i="49"/>
  <c r="E9" i="49"/>
  <c r="E10" i="49"/>
  <c r="E11" i="49"/>
  <c r="E13" i="49"/>
  <c r="E14" i="49"/>
  <c r="E15" i="49"/>
  <c r="E16" i="49"/>
  <c r="E17" i="49"/>
  <c r="E18" i="49"/>
  <c r="E19" i="49"/>
  <c r="E20" i="49"/>
  <c r="E21" i="49"/>
  <c r="E22" i="49"/>
  <c r="E23" i="49"/>
  <c r="E24" i="49"/>
  <c r="E25" i="49"/>
  <c r="E26" i="49"/>
  <c r="E27" i="49"/>
  <c r="E28" i="49"/>
  <c r="E29" i="49"/>
  <c r="E30" i="49"/>
  <c r="E31" i="49"/>
  <c r="E32" i="49"/>
  <c r="E33" i="49"/>
  <c r="E34" i="49"/>
  <c r="E35" i="49"/>
  <c r="E36" i="49"/>
  <c r="E37" i="49"/>
  <c r="E38" i="49"/>
  <c r="E39" i="49"/>
  <c r="E40" i="49"/>
  <c r="E41" i="49"/>
  <c r="E42" i="49"/>
  <c r="E43" i="49"/>
  <c r="E44" i="49"/>
  <c r="E45" i="49"/>
  <c r="E46" i="49"/>
  <c r="E47" i="49"/>
  <c r="E48" i="49"/>
  <c r="E49" i="49"/>
  <c r="E50" i="49"/>
  <c r="E51" i="49"/>
  <c r="E5" i="49"/>
  <c r="E93" i="40"/>
  <c r="E94" i="40"/>
  <c r="E95" i="40"/>
  <c r="E96" i="40"/>
  <c r="E97" i="40"/>
  <c r="E98" i="40"/>
  <c r="E99" i="40"/>
  <c r="E101" i="40"/>
  <c r="E102" i="40"/>
  <c r="E103" i="40"/>
  <c r="E104" i="40"/>
  <c r="E105" i="40"/>
  <c r="E106" i="40"/>
  <c r="E108" i="40"/>
  <c r="E109" i="40"/>
  <c r="E110" i="40"/>
  <c r="E111" i="40"/>
  <c r="E112" i="40"/>
  <c r="E113" i="40"/>
  <c r="E91" i="40"/>
  <c r="E80" i="40"/>
  <c r="E81" i="40"/>
  <c r="E84" i="40"/>
  <c r="E85" i="40"/>
  <c r="E86" i="40"/>
  <c r="E87" i="40"/>
  <c r="E88" i="40"/>
  <c r="E79" i="40"/>
  <c r="E11" i="40"/>
  <c r="E12" i="40"/>
  <c r="E13" i="40"/>
  <c r="E14" i="40"/>
  <c r="E16" i="40"/>
  <c r="E17" i="40"/>
  <c r="E18" i="40"/>
  <c r="E19" i="40"/>
  <c r="E20" i="40"/>
  <c r="E22" i="40"/>
  <c r="E23" i="40"/>
  <c r="E24" i="40"/>
  <c r="E25" i="40"/>
  <c r="E26" i="40"/>
  <c r="E29" i="40"/>
  <c r="E30" i="40"/>
  <c r="E10" i="40"/>
  <c r="E7" i="40"/>
  <c r="E8" i="40"/>
  <c r="E6" i="40"/>
  <c r="E36" i="40"/>
  <c r="E37" i="40"/>
  <c r="E38" i="40"/>
  <c r="E39" i="40"/>
  <c r="E40" i="40"/>
  <c r="E41" i="40"/>
  <c r="E42" i="40"/>
  <c r="E43" i="40"/>
  <c r="E45" i="40"/>
  <c r="E46" i="40"/>
  <c r="E47" i="40"/>
  <c r="E48" i="40"/>
  <c r="E49" i="40"/>
  <c r="E50" i="40"/>
  <c r="E51" i="40"/>
  <c r="E52" i="40"/>
  <c r="E54" i="40"/>
  <c r="E55" i="40"/>
  <c r="E56" i="40"/>
  <c r="E57" i="40"/>
  <c r="E58" i="40"/>
  <c r="E59" i="40"/>
  <c r="E60" i="40"/>
  <c r="E61" i="40"/>
  <c r="E62" i="40"/>
  <c r="E63" i="40"/>
  <c r="E64" i="40"/>
  <c r="E65" i="40"/>
  <c r="E66" i="40"/>
  <c r="E67" i="40"/>
  <c r="E68" i="40"/>
  <c r="E69" i="40"/>
  <c r="E70" i="40"/>
  <c r="E71" i="40"/>
  <c r="E72" i="40"/>
  <c r="E73" i="40"/>
  <c r="E74" i="40"/>
  <c r="E75" i="40"/>
  <c r="E76" i="40"/>
  <c r="E77" i="40"/>
  <c r="E35" i="40"/>
  <c r="F7" i="87"/>
  <c r="F8" i="87"/>
  <c r="F9" i="87"/>
  <c r="F10" i="87"/>
  <c r="F11" i="87"/>
  <c r="F12" i="87"/>
  <c r="F13" i="87"/>
  <c r="F16" i="87"/>
  <c r="F17" i="87"/>
  <c r="F18" i="87"/>
  <c r="F19" i="87"/>
  <c r="F20" i="87"/>
  <c r="F21" i="87"/>
  <c r="F22" i="87"/>
  <c r="F25" i="87"/>
  <c r="F26" i="87"/>
  <c r="F27" i="87"/>
  <c r="F28" i="87"/>
  <c r="F29" i="87"/>
  <c r="F32" i="87"/>
  <c r="F33" i="87"/>
  <c r="F34" i="87"/>
  <c r="F35" i="87"/>
  <c r="F36" i="87"/>
  <c r="F37" i="87"/>
  <c r="F38" i="87"/>
  <c r="F39" i="87"/>
  <c r="F42" i="87"/>
  <c r="F43" i="87"/>
  <c r="F46" i="87"/>
  <c r="F47" i="87"/>
  <c r="F48" i="87"/>
  <c r="F49" i="87"/>
  <c r="F50" i="87"/>
  <c r="F51" i="87"/>
  <c r="F56" i="87"/>
  <c r="F57" i="87"/>
  <c r="F58" i="87"/>
  <c r="F59" i="87"/>
  <c r="F60" i="87"/>
  <c r="F61" i="87"/>
  <c r="F64" i="87"/>
  <c r="F65" i="87"/>
  <c r="F66" i="87"/>
  <c r="F67" i="87"/>
  <c r="F68" i="87"/>
  <c r="F71" i="87"/>
  <c r="F72" i="87"/>
  <c r="F73" i="87"/>
  <c r="F76" i="87"/>
  <c r="F6" i="87"/>
  <c r="AU4" i="52"/>
  <c r="AU5" i="52"/>
  <c r="AU6" i="52"/>
  <c r="AU7" i="52"/>
  <c r="AU8" i="52"/>
  <c r="AU10" i="52"/>
  <c r="AU11" i="52"/>
  <c r="AU12" i="52"/>
  <c r="AU14" i="52"/>
  <c r="AU3" i="52"/>
  <c r="AQ4" i="52"/>
  <c r="AQ5" i="52"/>
  <c r="AQ6" i="52"/>
  <c r="AQ7" i="52"/>
  <c r="AQ8" i="52"/>
  <c r="AQ10" i="52"/>
  <c r="AQ11" i="52"/>
  <c r="AQ12" i="52"/>
  <c r="AQ14" i="52"/>
  <c r="AQ16" i="52"/>
  <c r="AQ3" i="52"/>
  <c r="AL4" i="52"/>
  <c r="AL5" i="52"/>
  <c r="AL6" i="52"/>
  <c r="AL7" i="52"/>
  <c r="AL8" i="52"/>
  <c r="AL10" i="52"/>
  <c r="AL11" i="52"/>
  <c r="AL12" i="52"/>
  <c r="AL14" i="52"/>
  <c r="AL16" i="52"/>
  <c r="AL3" i="52"/>
  <c r="AH4" i="52"/>
  <c r="AH5" i="52"/>
  <c r="AH6" i="52"/>
  <c r="AH7" i="52"/>
  <c r="AH8" i="52"/>
  <c r="AH10" i="52"/>
  <c r="AH11" i="52"/>
  <c r="AH12" i="52"/>
  <c r="AH14" i="52"/>
  <c r="AH16" i="52"/>
  <c r="AH3" i="52"/>
  <c r="AD5" i="52"/>
  <c r="AD6" i="52"/>
  <c r="AD7" i="52"/>
  <c r="AD8" i="52"/>
  <c r="AD10" i="52"/>
  <c r="AD11" i="52"/>
  <c r="AD12" i="52"/>
  <c r="AD14" i="52"/>
  <c r="AD16" i="52"/>
  <c r="AD4" i="52"/>
  <c r="AD3" i="52"/>
  <c r="Z5" i="52"/>
  <c r="Z6" i="52"/>
  <c r="Z7" i="52"/>
  <c r="Z8" i="52"/>
  <c r="Z10" i="52"/>
  <c r="Z11" i="52"/>
  <c r="Z12" i="52"/>
  <c r="Z14" i="52"/>
  <c r="Z16" i="52"/>
  <c r="Z4" i="52"/>
  <c r="Z3" i="52"/>
  <c r="Q4" i="52"/>
  <c r="Q6" i="52"/>
  <c r="Q7" i="52"/>
  <c r="Q8" i="52"/>
  <c r="Q10" i="52"/>
  <c r="Q11" i="52"/>
  <c r="Q12" i="52"/>
  <c r="Q14" i="52"/>
  <c r="Q16" i="52"/>
  <c r="Q5" i="52"/>
  <c r="Q3" i="52"/>
  <c r="M5" i="52"/>
  <c r="M6" i="52"/>
  <c r="M7" i="52"/>
  <c r="M8" i="52"/>
  <c r="M10" i="52"/>
  <c r="M11" i="52"/>
  <c r="M12" i="52"/>
  <c r="M14" i="52"/>
  <c r="M16" i="52"/>
  <c r="M4" i="52"/>
  <c r="M3" i="52"/>
  <c r="I5" i="52"/>
  <c r="I6" i="52"/>
  <c r="I7" i="52"/>
  <c r="I8" i="52"/>
  <c r="I10" i="52"/>
  <c r="I11" i="52"/>
  <c r="I12" i="52"/>
  <c r="I14" i="52"/>
  <c r="I16" i="52"/>
  <c r="I4" i="52"/>
  <c r="I3" i="52"/>
  <c r="E5" i="52"/>
  <c r="E6" i="52"/>
  <c r="E7" i="52"/>
  <c r="E8" i="52"/>
  <c r="E10" i="52"/>
  <c r="E11" i="52"/>
  <c r="E12" i="52"/>
  <c r="E14" i="52"/>
  <c r="E16" i="52"/>
  <c r="E4" i="52"/>
  <c r="E3" i="52"/>
  <c r="Z10" i="45"/>
  <c r="Z11" i="45"/>
  <c r="Z12" i="45"/>
  <c r="Z13" i="45"/>
  <c r="Z15" i="45"/>
  <c r="Z16" i="45"/>
  <c r="Z17" i="45"/>
  <c r="Z19" i="45"/>
  <c r="Z21" i="45"/>
  <c r="Z9" i="45"/>
  <c r="Z8" i="45"/>
  <c r="V12" i="45"/>
  <c r="V15" i="45"/>
  <c r="V16" i="45"/>
  <c r="V17" i="45"/>
  <c r="V19" i="45"/>
  <c r="V21" i="45"/>
  <c r="V9" i="45"/>
  <c r="R15" i="45"/>
  <c r="R16" i="45"/>
  <c r="R17" i="45"/>
  <c r="R19" i="45"/>
  <c r="M21" i="45"/>
  <c r="I10" i="45"/>
  <c r="I11" i="45"/>
  <c r="I13" i="45"/>
  <c r="I15" i="45"/>
  <c r="I16" i="45"/>
  <c r="I17" i="45"/>
  <c r="I19" i="45"/>
  <c r="I8" i="45"/>
  <c r="E10" i="45"/>
  <c r="E11" i="45"/>
  <c r="E12" i="45"/>
  <c r="E13" i="45"/>
  <c r="E15" i="45"/>
  <c r="E16" i="45"/>
  <c r="E17" i="45"/>
  <c r="E19" i="45"/>
  <c r="E9" i="45"/>
  <c r="E8" i="45"/>
  <c r="AH14" i="44"/>
  <c r="AH16" i="44"/>
  <c r="AH17" i="44"/>
  <c r="AH18" i="44"/>
  <c r="AH19" i="44"/>
  <c r="AH20" i="44"/>
  <c r="AH22" i="44"/>
  <c r="AH23" i="44"/>
  <c r="AH24" i="44"/>
  <c r="AH25" i="44"/>
  <c r="AH26" i="44"/>
  <c r="AH27" i="44"/>
  <c r="AH28" i="44"/>
  <c r="AH29" i="44"/>
  <c r="AH30" i="44"/>
  <c r="AH31" i="44"/>
  <c r="AH32" i="44"/>
  <c r="AH33" i="44"/>
  <c r="AH35" i="44"/>
  <c r="AH36" i="44"/>
  <c r="AH37" i="44"/>
  <c r="AH38" i="44"/>
  <c r="AH39" i="44"/>
  <c r="AH41" i="44"/>
  <c r="AH43" i="44"/>
  <c r="AH47" i="44"/>
  <c r="AH48" i="44"/>
  <c r="AH49" i="44"/>
  <c r="AH51" i="44"/>
  <c r="AH52" i="44"/>
  <c r="AH54" i="44"/>
  <c r="AH55" i="44"/>
  <c r="AH56" i="44"/>
  <c r="AH57" i="44"/>
  <c r="AH58" i="44"/>
  <c r="AH60" i="44"/>
  <c r="AH61" i="44"/>
  <c r="AH62" i="44"/>
  <c r="AH13" i="44"/>
  <c r="AD14" i="44"/>
  <c r="AD15" i="44"/>
  <c r="AD16" i="44"/>
  <c r="AD17" i="44"/>
  <c r="AD18" i="44"/>
  <c r="AD19" i="44"/>
  <c r="AD20" i="44"/>
  <c r="AD22" i="44"/>
  <c r="AD31" i="44"/>
  <c r="AD32" i="44"/>
  <c r="AD54" i="44"/>
  <c r="AD60" i="44"/>
  <c r="AD61" i="44"/>
  <c r="AD62" i="44"/>
  <c r="Z14" i="44"/>
  <c r="Z16" i="44"/>
  <c r="Z17" i="44"/>
  <c r="Z18" i="44"/>
  <c r="Z19" i="44"/>
  <c r="Z20" i="44"/>
  <c r="Z22" i="44"/>
  <c r="Z23" i="44"/>
  <c r="Z24" i="44"/>
  <c r="Z25" i="44"/>
  <c r="Z26" i="44"/>
  <c r="Z27" i="44"/>
  <c r="Z28" i="44"/>
  <c r="Z29" i="44"/>
  <c r="Z30" i="44"/>
  <c r="Z31" i="44"/>
  <c r="Z32" i="44"/>
  <c r="Z33" i="44"/>
  <c r="Z35" i="44"/>
  <c r="Z36" i="44"/>
  <c r="Z37" i="44"/>
  <c r="Z38" i="44"/>
  <c r="Z39" i="44"/>
  <c r="Z41" i="44"/>
  <c r="Z43" i="44"/>
  <c r="Z47" i="44"/>
  <c r="Z48" i="44"/>
  <c r="Z49" i="44"/>
  <c r="Z51" i="44"/>
  <c r="Z52" i="44"/>
  <c r="Z54" i="44"/>
  <c r="Z55" i="44"/>
  <c r="Z56" i="44"/>
  <c r="Z57" i="44"/>
  <c r="Z58" i="44"/>
  <c r="Z60" i="44"/>
  <c r="Z61" i="44"/>
  <c r="Z62" i="44"/>
  <c r="Z13" i="44"/>
  <c r="V14" i="44"/>
  <c r="V16" i="44"/>
  <c r="V17" i="44"/>
  <c r="V18" i="44"/>
  <c r="V19" i="44"/>
  <c r="V20" i="44"/>
  <c r="V22" i="44"/>
  <c r="V23" i="44"/>
  <c r="V24" i="44"/>
  <c r="V25" i="44"/>
  <c r="V26" i="44"/>
  <c r="V27" i="44"/>
  <c r="V28" i="44"/>
  <c r="V29" i="44"/>
  <c r="V30" i="44"/>
  <c r="V31" i="44"/>
  <c r="V32" i="44"/>
  <c r="V33" i="44"/>
  <c r="V35" i="44"/>
  <c r="V36" i="44"/>
  <c r="V37" i="44"/>
  <c r="V38" i="44"/>
  <c r="V39" i="44"/>
  <c r="V41" i="44"/>
  <c r="V43" i="44"/>
  <c r="V47" i="44"/>
  <c r="V48" i="44"/>
  <c r="V49" i="44"/>
  <c r="V51" i="44"/>
  <c r="V52" i="44"/>
  <c r="V54" i="44"/>
  <c r="V55" i="44"/>
  <c r="V56" i="44"/>
  <c r="V57" i="44"/>
  <c r="V58" i="44"/>
  <c r="V60" i="44"/>
  <c r="V61" i="44"/>
  <c r="V62" i="44"/>
  <c r="V13" i="44"/>
  <c r="AZ14" i="44"/>
  <c r="AZ16" i="44"/>
  <c r="AZ18" i="44"/>
  <c r="AZ19" i="44"/>
  <c r="AZ20" i="44"/>
  <c r="AZ22" i="44"/>
  <c r="AZ23" i="44"/>
  <c r="AZ24" i="44"/>
  <c r="AZ25" i="44"/>
  <c r="AZ26" i="44"/>
  <c r="AZ27" i="44"/>
  <c r="AZ28" i="44"/>
  <c r="AZ29" i="44"/>
  <c r="AZ30" i="44"/>
  <c r="AZ31" i="44"/>
  <c r="AZ32" i="44"/>
  <c r="AZ33" i="44"/>
  <c r="AZ35" i="44"/>
  <c r="AZ36" i="44"/>
  <c r="AZ37" i="44"/>
  <c r="AZ38" i="44"/>
  <c r="AZ39" i="44"/>
  <c r="AZ41" i="44"/>
  <c r="AZ43" i="44"/>
  <c r="AZ47" i="44"/>
  <c r="AZ48" i="44"/>
  <c r="AZ49" i="44"/>
  <c r="AZ51" i="44"/>
  <c r="AZ52" i="44"/>
  <c r="AZ54" i="44"/>
  <c r="AZ55" i="44"/>
  <c r="AZ56" i="44"/>
  <c r="AZ57" i="44"/>
  <c r="AZ58" i="44"/>
  <c r="AZ60" i="44"/>
  <c r="AZ61" i="44"/>
  <c r="AZ62" i="44"/>
  <c r="AZ13" i="44"/>
  <c r="AU31" i="44"/>
  <c r="AU32" i="44"/>
  <c r="AQ14" i="44"/>
  <c r="AQ16" i="44"/>
  <c r="AQ17" i="44"/>
  <c r="AQ18" i="44"/>
  <c r="AQ19" i="44"/>
  <c r="AQ20" i="44"/>
  <c r="AQ22" i="44"/>
  <c r="AQ23" i="44"/>
  <c r="AQ24" i="44"/>
  <c r="AQ25" i="44"/>
  <c r="AQ26" i="44"/>
  <c r="AQ27" i="44"/>
  <c r="AQ28" i="44"/>
  <c r="AQ29" i="44"/>
  <c r="AQ30" i="44"/>
  <c r="AQ31" i="44"/>
  <c r="AQ32" i="44"/>
  <c r="AQ33" i="44"/>
  <c r="AQ35" i="44"/>
  <c r="AQ36" i="44"/>
  <c r="AQ37" i="44"/>
  <c r="AQ38" i="44"/>
  <c r="AQ39" i="44"/>
  <c r="AQ41" i="44"/>
  <c r="AQ43" i="44"/>
  <c r="AQ47" i="44"/>
  <c r="AQ48" i="44"/>
  <c r="AQ49" i="44"/>
  <c r="AQ51" i="44"/>
  <c r="AQ52" i="44"/>
  <c r="AQ54" i="44"/>
  <c r="AQ55" i="44"/>
  <c r="AQ56" i="44"/>
  <c r="AQ57" i="44"/>
  <c r="AQ58" i="44"/>
  <c r="AQ60" i="44"/>
  <c r="AQ61" i="44"/>
  <c r="AQ62" i="44"/>
  <c r="AQ13" i="44"/>
  <c r="AM14" i="44"/>
  <c r="AM16" i="44"/>
  <c r="AM17" i="44"/>
  <c r="AM18" i="44"/>
  <c r="AM19" i="44"/>
  <c r="AM20" i="44"/>
  <c r="AM22" i="44"/>
  <c r="AM23" i="44"/>
  <c r="AM24" i="44"/>
  <c r="AM25" i="44"/>
  <c r="AM26" i="44"/>
  <c r="AM27" i="44"/>
  <c r="AM28" i="44"/>
  <c r="AM29" i="44"/>
  <c r="AM30" i="44"/>
  <c r="AM31" i="44"/>
  <c r="AM32" i="44"/>
  <c r="AM33" i="44"/>
  <c r="AM35" i="44"/>
  <c r="AM36" i="44"/>
  <c r="AM37" i="44"/>
  <c r="AM38" i="44"/>
  <c r="AM39" i="44"/>
  <c r="AM41" i="44"/>
  <c r="AM43" i="44"/>
  <c r="AM42" i="44" s="1"/>
  <c r="AM47" i="44"/>
  <c r="AM48" i="44"/>
  <c r="AM49" i="44"/>
  <c r="AM51" i="44"/>
  <c r="AM52" i="44"/>
  <c r="AM54" i="44"/>
  <c r="AM55" i="44"/>
  <c r="AM56" i="44"/>
  <c r="AM57" i="44"/>
  <c r="AM58" i="44"/>
  <c r="AM60" i="44"/>
  <c r="AM61" i="44"/>
  <c r="AM62" i="44"/>
  <c r="AM13" i="44"/>
  <c r="Q14" i="44"/>
  <c r="Q16" i="44"/>
  <c r="Q17" i="44"/>
  <c r="Q18" i="44"/>
  <c r="Q19" i="44"/>
  <c r="Q20" i="44"/>
  <c r="Q22" i="44"/>
  <c r="Q23" i="44"/>
  <c r="Q24" i="44"/>
  <c r="Q25" i="44"/>
  <c r="Q26" i="44"/>
  <c r="Q27" i="44"/>
  <c r="Q28" i="44"/>
  <c r="Q29" i="44"/>
  <c r="Q30" i="44"/>
  <c r="Q31" i="44"/>
  <c r="Q32" i="44"/>
  <c r="Q33" i="44"/>
  <c r="Q35" i="44"/>
  <c r="Q36" i="44"/>
  <c r="Q37" i="44"/>
  <c r="Q38" i="44"/>
  <c r="Q39" i="44"/>
  <c r="Q41" i="44"/>
  <c r="Q43" i="44"/>
  <c r="Q47" i="44"/>
  <c r="Q48" i="44"/>
  <c r="Q49" i="44"/>
  <c r="Q51" i="44"/>
  <c r="Q52" i="44"/>
  <c r="Q54" i="44"/>
  <c r="Q55" i="44"/>
  <c r="Q56" i="44"/>
  <c r="Q57" i="44"/>
  <c r="Q58" i="44"/>
  <c r="Q60" i="44"/>
  <c r="Q61" i="44"/>
  <c r="Q62" i="44"/>
  <c r="Q13" i="44"/>
  <c r="M14" i="44"/>
  <c r="M16" i="44"/>
  <c r="M17" i="44"/>
  <c r="M18" i="44"/>
  <c r="M19" i="44"/>
  <c r="M20" i="44"/>
  <c r="M22" i="44"/>
  <c r="M23" i="44"/>
  <c r="M24" i="44"/>
  <c r="M25" i="44"/>
  <c r="M26" i="44"/>
  <c r="M27" i="44"/>
  <c r="M28" i="44"/>
  <c r="M29" i="44"/>
  <c r="M30" i="44"/>
  <c r="M31" i="44"/>
  <c r="M32" i="44"/>
  <c r="M33" i="44"/>
  <c r="M35" i="44"/>
  <c r="M36" i="44"/>
  <c r="M37" i="44"/>
  <c r="M38" i="44"/>
  <c r="M39" i="44"/>
  <c r="M41" i="44"/>
  <c r="M43" i="44"/>
  <c r="M47" i="44"/>
  <c r="M48" i="44"/>
  <c r="M49" i="44"/>
  <c r="M51" i="44"/>
  <c r="M52" i="44"/>
  <c r="M54" i="44"/>
  <c r="M55" i="44"/>
  <c r="M56" i="44"/>
  <c r="M57" i="44"/>
  <c r="M58" i="44"/>
  <c r="M60" i="44"/>
  <c r="M61" i="44"/>
  <c r="M62" i="44"/>
  <c r="M13" i="44"/>
  <c r="I14" i="44"/>
  <c r="I16" i="44"/>
  <c r="I17" i="44"/>
  <c r="I18" i="44"/>
  <c r="I19" i="44"/>
  <c r="I20" i="44"/>
  <c r="I22" i="44"/>
  <c r="I23" i="44"/>
  <c r="I24" i="44"/>
  <c r="I25" i="44"/>
  <c r="I26" i="44"/>
  <c r="I27" i="44"/>
  <c r="I28" i="44"/>
  <c r="I29" i="44"/>
  <c r="I30" i="44"/>
  <c r="I31" i="44"/>
  <c r="I32" i="44"/>
  <c r="I33" i="44"/>
  <c r="I35" i="44"/>
  <c r="I36" i="44"/>
  <c r="I37" i="44"/>
  <c r="I38" i="44"/>
  <c r="I39" i="44"/>
  <c r="I41" i="44"/>
  <c r="I43" i="44"/>
  <c r="I47" i="44"/>
  <c r="I48" i="44"/>
  <c r="I49" i="44"/>
  <c r="I51" i="44"/>
  <c r="I52" i="44"/>
  <c r="I54" i="44"/>
  <c r="I55" i="44"/>
  <c r="I56" i="44"/>
  <c r="I57" i="44"/>
  <c r="I58" i="44"/>
  <c r="I60" i="44"/>
  <c r="I61" i="44"/>
  <c r="I62" i="44"/>
  <c r="I13" i="44"/>
  <c r="E14" i="44"/>
  <c r="E16" i="44"/>
  <c r="E17" i="44"/>
  <c r="E18" i="44"/>
  <c r="E19" i="44"/>
  <c r="E20" i="44"/>
  <c r="E22" i="44"/>
  <c r="E23" i="44"/>
  <c r="E24" i="44"/>
  <c r="E25" i="44"/>
  <c r="E26" i="44"/>
  <c r="E27" i="44"/>
  <c r="E28" i="44"/>
  <c r="E29" i="44"/>
  <c r="E30" i="44"/>
  <c r="E31" i="44"/>
  <c r="E32" i="44"/>
  <c r="E33" i="44"/>
  <c r="E35" i="44"/>
  <c r="E36" i="44"/>
  <c r="E37" i="44"/>
  <c r="E38" i="44"/>
  <c r="E39" i="44"/>
  <c r="E41" i="44"/>
  <c r="E43" i="44"/>
  <c r="E47" i="44"/>
  <c r="E48" i="44"/>
  <c r="E49" i="44"/>
  <c r="E51" i="44"/>
  <c r="E52" i="44"/>
  <c r="E54" i="44"/>
  <c r="E55" i="44"/>
  <c r="E56" i="44"/>
  <c r="E57" i="44"/>
  <c r="E58" i="44"/>
  <c r="E60" i="44"/>
  <c r="E61" i="44"/>
  <c r="E62" i="44"/>
  <c r="E13" i="44"/>
  <c r="M70" i="41"/>
  <c r="M71" i="41"/>
  <c r="M76" i="41"/>
  <c r="M79" i="41"/>
  <c r="M80" i="41"/>
  <c r="M81" i="41"/>
  <c r="M83" i="41"/>
  <c r="M84" i="41"/>
  <c r="M85" i="41"/>
  <c r="M86" i="41"/>
  <c r="M87" i="41"/>
  <c r="M88" i="41"/>
  <c r="M92" i="41"/>
  <c r="M69" i="41"/>
  <c r="M68" i="41"/>
  <c r="I70" i="41"/>
  <c r="I71" i="41"/>
  <c r="I75" i="41"/>
  <c r="I76" i="41"/>
  <c r="I79" i="41"/>
  <c r="I80" i="41"/>
  <c r="I81" i="41"/>
  <c r="I83" i="41"/>
  <c r="I84" i="41"/>
  <c r="I85" i="41"/>
  <c r="I86" i="41"/>
  <c r="I87" i="41"/>
  <c r="I88" i="41"/>
  <c r="I91" i="41"/>
  <c r="I92" i="41"/>
  <c r="I69" i="41"/>
  <c r="I68" i="41"/>
  <c r="E70" i="41"/>
  <c r="E71" i="41"/>
  <c r="E75" i="41"/>
  <c r="E76" i="41"/>
  <c r="E79" i="41"/>
  <c r="E80" i="41"/>
  <c r="E81" i="41"/>
  <c r="E83" i="41"/>
  <c r="E84" i="41"/>
  <c r="E85" i="41"/>
  <c r="E86" i="41"/>
  <c r="E87" i="41"/>
  <c r="E88" i="41"/>
  <c r="E91" i="41"/>
  <c r="E92" i="41"/>
  <c r="D69" i="41"/>
  <c r="Q53" i="41"/>
  <c r="Q54" i="41"/>
  <c r="Q57" i="41"/>
  <c r="M44" i="41"/>
  <c r="M45" i="41"/>
  <c r="M46" i="41"/>
  <c r="M47" i="41"/>
  <c r="M48" i="41"/>
  <c r="M49" i="41"/>
  <c r="M50" i="41"/>
  <c r="M51" i="41"/>
  <c r="M52" i="41"/>
  <c r="M53" i="41"/>
  <c r="M54" i="41"/>
  <c r="M55" i="41"/>
  <c r="M57" i="41"/>
  <c r="M58" i="41"/>
  <c r="M59" i="41"/>
  <c r="M60" i="41"/>
  <c r="M61" i="41"/>
  <c r="M63" i="41"/>
  <c r="M64" i="41"/>
  <c r="M65" i="41"/>
  <c r="M42" i="41"/>
  <c r="I30" i="41"/>
  <c r="I31" i="41"/>
  <c r="I32" i="41"/>
  <c r="I33" i="41"/>
  <c r="I34" i="41"/>
  <c r="I35" i="41"/>
  <c r="I36" i="41"/>
  <c r="I37" i="41"/>
  <c r="I38" i="41"/>
  <c r="I39" i="41"/>
  <c r="I40" i="41"/>
  <c r="I42" i="41"/>
  <c r="I43" i="41"/>
  <c r="I44" i="41"/>
  <c r="I45" i="41"/>
  <c r="I46" i="41"/>
  <c r="I47" i="41"/>
  <c r="I48" i="41"/>
  <c r="I49" i="41"/>
  <c r="I50" i="41"/>
  <c r="I51" i="41"/>
  <c r="I52" i="41"/>
  <c r="I53" i="41"/>
  <c r="I54" i="41"/>
  <c r="I55" i="41"/>
  <c r="I57" i="41"/>
  <c r="I58" i="41"/>
  <c r="I59" i="41"/>
  <c r="I60" i="41"/>
  <c r="I61" i="41"/>
  <c r="I63" i="41"/>
  <c r="I64" i="41"/>
  <c r="I65" i="41"/>
  <c r="I29" i="41"/>
  <c r="E30" i="41"/>
  <c r="E31" i="41"/>
  <c r="E34" i="41"/>
  <c r="E35" i="41"/>
  <c r="E37" i="41"/>
  <c r="E38" i="41"/>
  <c r="E39" i="41"/>
  <c r="E40" i="41"/>
  <c r="E42" i="41"/>
  <c r="E43" i="41"/>
  <c r="E44" i="41"/>
  <c r="E45" i="41"/>
  <c r="E47" i="41"/>
  <c r="E48" i="41"/>
  <c r="E49" i="41"/>
  <c r="E50" i="41"/>
  <c r="E51" i="41"/>
  <c r="E52" i="41"/>
  <c r="E53" i="41"/>
  <c r="E54" i="41"/>
  <c r="E55" i="41"/>
  <c r="E57" i="41"/>
  <c r="E58" i="41"/>
  <c r="E59" i="41"/>
  <c r="E60" i="41"/>
  <c r="E61" i="41"/>
  <c r="E63" i="41"/>
  <c r="E64" i="41"/>
  <c r="E65" i="41"/>
  <c r="Q14" i="41"/>
  <c r="M7" i="41"/>
  <c r="M8" i="41"/>
  <c r="M9" i="41"/>
  <c r="M10" i="41"/>
  <c r="M11" i="41"/>
  <c r="M12" i="41"/>
  <c r="M13" i="41"/>
  <c r="M14" i="41"/>
  <c r="M15" i="41"/>
  <c r="M16" i="41"/>
  <c r="M17" i="41"/>
  <c r="M19" i="41"/>
  <c r="M21" i="41"/>
  <c r="M22" i="41"/>
  <c r="M23" i="41"/>
  <c r="M24" i="41"/>
  <c r="M25" i="41"/>
  <c r="M6" i="41"/>
  <c r="I22" i="41"/>
  <c r="I23" i="41"/>
  <c r="I24" i="41"/>
  <c r="I25" i="41"/>
  <c r="I21" i="41"/>
  <c r="I7" i="41"/>
  <c r="I8" i="41"/>
  <c r="I9" i="41"/>
  <c r="I10" i="41"/>
  <c r="I11" i="41"/>
  <c r="I12" i="41"/>
  <c r="I13" i="41"/>
  <c r="I14" i="41"/>
  <c r="I15" i="41"/>
  <c r="I16" i="41"/>
  <c r="I17" i="41"/>
  <c r="I18" i="41"/>
  <c r="I19" i="41"/>
  <c r="I6" i="41"/>
  <c r="E7" i="41"/>
  <c r="E8" i="41"/>
  <c r="E9" i="41"/>
  <c r="E10" i="41"/>
  <c r="E11" i="41"/>
  <c r="E12" i="41"/>
  <c r="E13" i="41"/>
  <c r="E14" i="41"/>
  <c r="E15" i="41"/>
  <c r="E16" i="41"/>
  <c r="E17" i="41"/>
  <c r="E18" i="41"/>
  <c r="E19" i="41"/>
  <c r="E21" i="41"/>
  <c r="E22" i="41"/>
  <c r="E23" i="41"/>
  <c r="E24" i="41"/>
  <c r="E25" i="41"/>
  <c r="C37" i="42"/>
  <c r="C35" i="42"/>
  <c r="C29" i="42"/>
  <c r="C28" i="42" s="1"/>
  <c r="C23" i="42"/>
  <c r="C18" i="42"/>
  <c r="C31" i="42" s="1"/>
  <c r="C36" i="42" s="1"/>
  <c r="C14" i="42"/>
  <c r="C15" i="42" s="1"/>
  <c r="C11" i="42"/>
  <c r="C16" i="42" s="1"/>
  <c r="D51" i="62"/>
  <c r="D39" i="62"/>
  <c r="D10" i="62"/>
  <c r="C68" i="62"/>
  <c r="C131" i="70"/>
  <c r="E131" i="70" s="1"/>
  <c r="C128" i="70"/>
  <c r="C123" i="70"/>
  <c r="E123" i="70" s="1"/>
  <c r="C120" i="70"/>
  <c r="E120" i="70" s="1"/>
  <c r="C117" i="70"/>
  <c r="E117" i="70" s="1"/>
  <c r="C102" i="70"/>
  <c r="E102" i="70" s="1"/>
  <c r="C89" i="70"/>
  <c r="E89" i="70" s="1"/>
  <c r="C81" i="70"/>
  <c r="E81" i="70" s="1"/>
  <c r="C77" i="70"/>
  <c r="E77" i="70" s="1"/>
  <c r="C71" i="70"/>
  <c r="E71" i="70" s="1"/>
  <c r="C64" i="70"/>
  <c r="E64" i="70" s="1"/>
  <c r="C49" i="70"/>
  <c r="E49" i="70" s="1"/>
  <c r="C45" i="70"/>
  <c r="E45" i="70" s="1"/>
  <c r="C35" i="70"/>
  <c r="E35" i="70" s="1"/>
  <c r="C29" i="70"/>
  <c r="E29" i="70" s="1"/>
  <c r="C21" i="70"/>
  <c r="E21" i="70" s="1"/>
  <c r="C15" i="70"/>
  <c r="E15" i="70" s="1"/>
  <c r="C7" i="70"/>
  <c r="E7" i="70" s="1"/>
  <c r="B58" i="98"/>
  <c r="H42" i="98"/>
  <c r="D42" i="98"/>
  <c r="D59" i="98" s="1"/>
  <c r="C42" i="98"/>
  <c r="C59" i="98" s="1"/>
  <c r="B42" i="98"/>
  <c r="B59" i="98" s="1"/>
  <c r="B57" i="98" s="1"/>
  <c r="H40" i="98"/>
  <c r="H56" i="98" s="1"/>
  <c r="G40" i="98"/>
  <c r="G56" i="98" s="1"/>
  <c r="F40" i="98"/>
  <c r="F56" i="98" s="1"/>
  <c r="C40" i="98"/>
  <c r="C56" i="98" s="1"/>
  <c r="B38" i="98"/>
  <c r="H37" i="98"/>
  <c r="H36" i="98"/>
  <c r="H35" i="98"/>
  <c r="H34" i="98"/>
  <c r="I33" i="98"/>
  <c r="G38" i="98"/>
  <c r="H32" i="98"/>
  <c r="H31" i="98"/>
  <c r="D31" i="98"/>
  <c r="H30" i="98"/>
  <c r="D30" i="98"/>
  <c r="D24" i="98"/>
  <c r="H23" i="98"/>
  <c r="H22" i="98"/>
  <c r="D22" i="98"/>
  <c r="H21" i="98"/>
  <c r="C21" i="98"/>
  <c r="C58" i="98" s="1"/>
  <c r="H20" i="98"/>
  <c r="G19" i="98"/>
  <c r="G55" i="98" s="1"/>
  <c r="F19" i="98"/>
  <c r="C19" i="98"/>
  <c r="C55" i="98" s="1"/>
  <c r="C54" i="98" s="1"/>
  <c r="H15" i="98"/>
  <c r="H14" i="98"/>
  <c r="I13" i="98"/>
  <c r="H13" i="98"/>
  <c r="D13" i="98"/>
  <c r="H12" i="98"/>
  <c r="D12" i="98"/>
  <c r="I11" i="98"/>
  <c r="G11" i="98"/>
  <c r="D11" i="98"/>
  <c r="H10" i="98"/>
  <c r="D10" i="98"/>
  <c r="I9" i="98"/>
  <c r="H9" i="98"/>
  <c r="H8" i="98"/>
  <c r="D8" i="98"/>
  <c r="H7" i="98"/>
  <c r="C59" i="97"/>
  <c r="E59" i="97" s="1"/>
  <c r="B58" i="97"/>
  <c r="B42" i="97"/>
  <c r="B59" i="97"/>
  <c r="H40" i="97"/>
  <c r="J40" i="97" s="1"/>
  <c r="G40" i="97"/>
  <c r="G56" i="97" s="1"/>
  <c r="C40" i="97"/>
  <c r="B40" i="97"/>
  <c r="B56" i="97" s="1"/>
  <c r="C38" i="97"/>
  <c r="B38" i="97"/>
  <c r="G34" i="97"/>
  <c r="G33" i="97" s="1"/>
  <c r="G38" i="97" s="1"/>
  <c r="G39" i="97"/>
  <c r="H33" i="97"/>
  <c r="J33" i="97" s="1"/>
  <c r="C21" i="97"/>
  <c r="B21" i="97"/>
  <c r="H19" i="97"/>
  <c r="J19" i="97" s="1"/>
  <c r="G19" i="97"/>
  <c r="C19" i="97"/>
  <c r="B19" i="97"/>
  <c r="B55" i="97" s="1"/>
  <c r="C17" i="97"/>
  <c r="G16" i="97"/>
  <c r="G15" i="97"/>
  <c r="G14" i="97"/>
  <c r="H11" i="97"/>
  <c r="B10" i="97"/>
  <c r="B17" i="97" s="1"/>
  <c r="B50" i="97" s="1"/>
  <c r="G9" i="97"/>
  <c r="F17" i="98"/>
  <c r="G51" i="98"/>
  <c r="F45" i="98"/>
  <c r="H33" i="98"/>
  <c r="H38" i="98" s="1"/>
  <c r="H45" i="98" s="1"/>
  <c r="C50" i="97"/>
  <c r="C56" i="97"/>
  <c r="G51" i="97"/>
  <c r="H38" i="97"/>
  <c r="H56" i="97"/>
  <c r="J56" i="97" s="1"/>
  <c r="C12" i="49"/>
  <c r="E12" i="49" s="1"/>
  <c r="C92" i="40"/>
  <c r="E92" i="40" s="1"/>
  <c r="H51" i="98"/>
  <c r="N42" i="41"/>
  <c r="O42" i="41"/>
  <c r="Q42" i="41" s="1"/>
  <c r="O21" i="41"/>
  <c r="Q21" i="41" s="1"/>
  <c r="D35" i="42"/>
  <c r="D28" i="42"/>
  <c r="AT16" i="52" s="1"/>
  <c r="E46" i="42"/>
  <c r="C107" i="40"/>
  <c r="E107" i="40" s="1"/>
  <c r="C46" i="41"/>
  <c r="C36" i="41"/>
  <c r="E36" i="41" s="1"/>
  <c r="C33" i="41"/>
  <c r="E33" i="41" s="1"/>
  <c r="C29" i="41"/>
  <c r="E29" i="41" s="1"/>
  <c r="C6" i="41"/>
  <c r="O13" i="41"/>
  <c r="Q13" i="41" s="1"/>
  <c r="C105" i="50"/>
  <c r="E105" i="50" s="1"/>
  <c r="C100" i="50"/>
  <c r="AX59" i="44"/>
  <c r="AZ59" i="44"/>
  <c r="M73" i="96"/>
  <c r="M88" i="96"/>
  <c r="M89" i="96" s="1"/>
  <c r="M124" i="96"/>
  <c r="M74" i="96"/>
  <c r="M65" i="96"/>
  <c r="M59" i="96"/>
  <c r="M46" i="96"/>
  <c r="M18" i="96"/>
  <c r="M98" i="96"/>
  <c r="M101" i="96"/>
  <c r="M93" i="96"/>
  <c r="J73" i="95"/>
  <c r="D5" i="87"/>
  <c r="F5" i="87" s="1"/>
  <c r="AB51" i="44"/>
  <c r="AD51" i="44" s="1"/>
  <c r="AB55" i="44"/>
  <c r="AD55" i="44" s="1"/>
  <c r="AB56" i="44"/>
  <c r="AB57" i="44"/>
  <c r="AD57" i="44" s="1"/>
  <c r="AB58" i="44"/>
  <c r="AD58" i="44" s="1"/>
  <c r="AB47" i="44"/>
  <c r="G59" i="44"/>
  <c r="I59" i="44" s="1"/>
  <c r="C59" i="44"/>
  <c r="AF59" i="44"/>
  <c r="AH59" i="44" s="1"/>
  <c r="I4" i="96"/>
  <c r="E5" i="96"/>
  <c r="I5" i="96"/>
  <c r="K5" i="96"/>
  <c r="N5" i="96" s="1"/>
  <c r="P5" i="96" s="1"/>
  <c r="I6" i="96"/>
  <c r="E7" i="96"/>
  <c r="I7" i="96"/>
  <c r="K7" i="96" s="1"/>
  <c r="N7" i="96"/>
  <c r="P7" i="96" s="1"/>
  <c r="K8" i="96"/>
  <c r="N8" i="96"/>
  <c r="P8" i="96" s="1"/>
  <c r="E9" i="96"/>
  <c r="I9" i="96"/>
  <c r="K9" i="96" s="1"/>
  <c r="N9" i="96" s="1"/>
  <c r="P9" i="96" s="1"/>
  <c r="E10" i="96"/>
  <c r="I10" i="96"/>
  <c r="K10" i="96" s="1"/>
  <c r="N10" i="96" s="1"/>
  <c r="P10" i="96" s="1"/>
  <c r="E11" i="96"/>
  <c r="I11" i="96"/>
  <c r="K11" i="96" s="1"/>
  <c r="N11" i="96"/>
  <c r="P11" i="96" s="1"/>
  <c r="E12" i="96"/>
  <c r="I12" i="96"/>
  <c r="K12" i="96" s="1"/>
  <c r="N12" i="96" s="1"/>
  <c r="P12" i="96" s="1"/>
  <c r="E13" i="96"/>
  <c r="I13" i="96"/>
  <c r="K13" i="96" s="1"/>
  <c r="N13" i="96" s="1"/>
  <c r="P13" i="96" s="1"/>
  <c r="I14" i="96"/>
  <c r="K14" i="96"/>
  <c r="N14" i="96" s="1"/>
  <c r="P14" i="96" s="1"/>
  <c r="E15" i="96"/>
  <c r="I15" i="96"/>
  <c r="K15" i="96" s="1"/>
  <c r="N15" i="96"/>
  <c r="P15" i="96" s="1"/>
  <c r="I16" i="96"/>
  <c r="K16" i="96" s="1"/>
  <c r="N16" i="96" s="1"/>
  <c r="P16" i="96" s="1"/>
  <c r="H17" i="96"/>
  <c r="I17" i="96" s="1"/>
  <c r="K17" i="96" s="1"/>
  <c r="N17" i="96" s="1"/>
  <c r="P17" i="96" s="1"/>
  <c r="G18" i="96"/>
  <c r="J18" i="96"/>
  <c r="I20" i="96"/>
  <c r="E21" i="96"/>
  <c r="I21" i="96"/>
  <c r="K21" i="96" s="1"/>
  <c r="N21" i="96" s="1"/>
  <c r="P21" i="96" s="1"/>
  <c r="I22" i="96"/>
  <c r="K22" i="96" s="1"/>
  <c r="M22" i="96" s="1"/>
  <c r="M33" i="96" s="1"/>
  <c r="M130" i="96" s="1"/>
  <c r="E23" i="96"/>
  <c r="I23" i="96"/>
  <c r="K23" i="96"/>
  <c r="N23" i="96" s="1"/>
  <c r="P23" i="96" s="1"/>
  <c r="K24" i="96"/>
  <c r="M24" i="96" s="1"/>
  <c r="E25" i="96"/>
  <c r="I25" i="96"/>
  <c r="K25" i="96" s="1"/>
  <c r="N25" i="96" s="1"/>
  <c r="P25" i="96" s="1"/>
  <c r="E26" i="96"/>
  <c r="I26" i="96"/>
  <c r="K26" i="96"/>
  <c r="N26" i="96" s="1"/>
  <c r="P26" i="96" s="1"/>
  <c r="E27" i="96"/>
  <c r="I27" i="96"/>
  <c r="E28" i="96"/>
  <c r="I28" i="96"/>
  <c r="K28" i="96" s="1"/>
  <c r="N28" i="96" s="1"/>
  <c r="P28" i="96" s="1"/>
  <c r="G29" i="96"/>
  <c r="I29" i="96" s="1"/>
  <c r="K29" i="96" s="1"/>
  <c r="N29" i="96" s="1"/>
  <c r="P29" i="96" s="1"/>
  <c r="E30" i="96"/>
  <c r="I30" i="96"/>
  <c r="K30" i="96"/>
  <c r="N30" i="96" s="1"/>
  <c r="P30" i="96" s="1"/>
  <c r="I31" i="96"/>
  <c r="K31" i="96" s="1"/>
  <c r="N31" i="96"/>
  <c r="P31" i="96" s="1"/>
  <c r="H32" i="96"/>
  <c r="I32" i="96" s="1"/>
  <c r="K32" i="96" s="1"/>
  <c r="N32" i="96" s="1"/>
  <c r="P32" i="96" s="1"/>
  <c r="J33" i="96"/>
  <c r="I35" i="96"/>
  <c r="E36" i="96"/>
  <c r="I36" i="96"/>
  <c r="K36" i="96"/>
  <c r="N36" i="96" s="1"/>
  <c r="P36" i="96" s="1"/>
  <c r="I37" i="96"/>
  <c r="K37" i="96" s="1"/>
  <c r="N37" i="96" s="1"/>
  <c r="P37" i="96" s="1"/>
  <c r="E38" i="96"/>
  <c r="I38" i="96"/>
  <c r="K38" i="96" s="1"/>
  <c r="N38" i="96"/>
  <c r="P38" i="96" s="1"/>
  <c r="K39" i="96"/>
  <c r="N39" i="96" s="1"/>
  <c r="P39" i="96" s="1"/>
  <c r="E40" i="96"/>
  <c r="I40" i="96"/>
  <c r="K40" i="96"/>
  <c r="N40" i="96" s="1"/>
  <c r="P40" i="96" s="1"/>
  <c r="G41" i="96"/>
  <c r="G42" i="96"/>
  <c r="I42" i="96" s="1"/>
  <c r="K42" i="96" s="1"/>
  <c r="N42" i="96" s="1"/>
  <c r="P42" i="96" s="1"/>
  <c r="E43" i="96"/>
  <c r="I43" i="96"/>
  <c r="K43" i="96" s="1"/>
  <c r="N43" i="96" s="1"/>
  <c r="P43" i="96" s="1"/>
  <c r="I44" i="96"/>
  <c r="K44" i="96" s="1"/>
  <c r="N44" i="96" s="1"/>
  <c r="P44" i="96" s="1"/>
  <c r="H45" i="96"/>
  <c r="J46" i="96"/>
  <c r="I48" i="96"/>
  <c r="K48" i="96"/>
  <c r="N48" i="96" s="1"/>
  <c r="P48" i="96" s="1"/>
  <c r="E49" i="96"/>
  <c r="I49" i="96"/>
  <c r="K49" i="96" s="1"/>
  <c r="N49" i="96" s="1"/>
  <c r="P49" i="96" s="1"/>
  <c r="I50" i="96"/>
  <c r="K50" i="96"/>
  <c r="N50" i="96" s="1"/>
  <c r="P50" i="96" s="1"/>
  <c r="E51" i="96"/>
  <c r="I51" i="96"/>
  <c r="K51" i="96" s="1"/>
  <c r="N51" i="96" s="1"/>
  <c r="P51" i="96" s="1"/>
  <c r="K52" i="96"/>
  <c r="N52" i="96" s="1"/>
  <c r="P52" i="96" s="1"/>
  <c r="E53" i="96"/>
  <c r="I53" i="96"/>
  <c r="K53" i="96" s="1"/>
  <c r="N53" i="96" s="1"/>
  <c r="P53" i="96" s="1"/>
  <c r="G54" i="96"/>
  <c r="G55" i="96"/>
  <c r="I55" i="96" s="1"/>
  <c r="K55" i="96" s="1"/>
  <c r="N55" i="96"/>
  <c r="P55" i="96" s="1"/>
  <c r="E56" i="96"/>
  <c r="I56" i="96"/>
  <c r="K56" i="96" s="1"/>
  <c r="N56" i="96" s="1"/>
  <c r="P56" i="96" s="1"/>
  <c r="I57" i="96"/>
  <c r="K57" i="96" s="1"/>
  <c r="N57" i="96" s="1"/>
  <c r="P57" i="96" s="1"/>
  <c r="H58" i="96"/>
  <c r="I58" i="96" s="1"/>
  <c r="K58" i="96" s="1"/>
  <c r="N58" i="96" s="1"/>
  <c r="P58" i="96" s="1"/>
  <c r="J59" i="96"/>
  <c r="I61" i="96"/>
  <c r="K61" i="96" s="1"/>
  <c r="N61" i="96" s="1"/>
  <c r="P61" i="96" s="1"/>
  <c r="E62" i="96"/>
  <c r="I62" i="96"/>
  <c r="K62" i="96" s="1"/>
  <c r="N62" i="96" s="1"/>
  <c r="P62" i="96" s="1"/>
  <c r="I63" i="96"/>
  <c r="K63" i="96" s="1"/>
  <c r="H64" i="96"/>
  <c r="G65" i="96"/>
  <c r="J65" i="96"/>
  <c r="K66" i="96"/>
  <c r="N66" i="96" s="1"/>
  <c r="P66" i="96" s="1"/>
  <c r="K67" i="96"/>
  <c r="N67" i="96" s="1"/>
  <c r="P67" i="96" s="1"/>
  <c r="I68" i="96"/>
  <c r="K68" i="96" s="1"/>
  <c r="N68" i="96" s="1"/>
  <c r="P68" i="96" s="1"/>
  <c r="E69" i="96"/>
  <c r="I69" i="96"/>
  <c r="K69" i="96" s="1"/>
  <c r="N69" i="96" s="1"/>
  <c r="P69" i="96" s="1"/>
  <c r="I70" i="96"/>
  <c r="K70" i="96" s="1"/>
  <c r="N70" i="96" s="1"/>
  <c r="P70" i="96" s="1"/>
  <c r="I71" i="96"/>
  <c r="K71" i="96" s="1"/>
  <c r="N71" i="96" s="1"/>
  <c r="P71" i="96" s="1"/>
  <c r="H72" i="96"/>
  <c r="I72" i="96" s="1"/>
  <c r="K72" i="96" s="1"/>
  <c r="N72" i="96"/>
  <c r="P72" i="96" s="1"/>
  <c r="I73" i="96"/>
  <c r="K73" i="96" s="1"/>
  <c r="N73" i="96" s="1"/>
  <c r="P73" i="96" s="1"/>
  <c r="G74" i="96"/>
  <c r="J74" i="96"/>
  <c r="K75" i="96"/>
  <c r="N75" i="96" s="1"/>
  <c r="P75" i="96" s="1"/>
  <c r="K76" i="96"/>
  <c r="N76" i="96" s="1"/>
  <c r="P76" i="96" s="1"/>
  <c r="K77" i="96"/>
  <c r="N77" i="96"/>
  <c r="P77" i="96" s="1"/>
  <c r="E78" i="96"/>
  <c r="I78" i="96"/>
  <c r="K78" i="96" s="1"/>
  <c r="N78" i="96" s="1"/>
  <c r="P78" i="96" s="1"/>
  <c r="E79" i="96"/>
  <c r="I79" i="96"/>
  <c r="K79" i="96" s="1"/>
  <c r="N79" i="96" s="1"/>
  <c r="P79" i="96" s="1"/>
  <c r="I80" i="96"/>
  <c r="G81" i="96"/>
  <c r="G82" i="96"/>
  <c r="I82" i="96" s="1"/>
  <c r="K82" i="96"/>
  <c r="N82" i="96" s="1"/>
  <c r="P82" i="96" s="1"/>
  <c r="M83" i="96"/>
  <c r="G84" i="96"/>
  <c r="G85" i="96"/>
  <c r="I85" i="96"/>
  <c r="K85" i="96" s="1"/>
  <c r="N85" i="96" s="1"/>
  <c r="P85" i="96" s="1"/>
  <c r="G86" i="96"/>
  <c r="I86" i="96" s="1"/>
  <c r="K86" i="96" s="1"/>
  <c r="N86" i="96"/>
  <c r="P86" i="96" s="1"/>
  <c r="H87" i="96"/>
  <c r="I87" i="96" s="1"/>
  <c r="K87" i="96" s="1"/>
  <c r="N87" i="96" s="1"/>
  <c r="P87" i="96" s="1"/>
  <c r="I88" i="96"/>
  <c r="H89" i="96"/>
  <c r="J89" i="96"/>
  <c r="K90" i="96"/>
  <c r="N90" i="96"/>
  <c r="P90" i="96" s="1"/>
  <c r="G91" i="96"/>
  <c r="I91" i="96" s="1"/>
  <c r="H92" i="96"/>
  <c r="J93" i="96"/>
  <c r="K94" i="96"/>
  <c r="N94" i="96" s="1"/>
  <c r="P94" i="96" s="1"/>
  <c r="G95" i="96"/>
  <c r="I95" i="96" s="1"/>
  <c r="I96" i="96"/>
  <c r="H97" i="96"/>
  <c r="H98" i="96"/>
  <c r="J98" i="96"/>
  <c r="K99" i="96"/>
  <c r="N99" i="96" s="1"/>
  <c r="P99" i="96" s="1"/>
  <c r="H100" i="96"/>
  <c r="K104" i="96"/>
  <c r="N104" i="96" s="1"/>
  <c r="P104" i="96" s="1"/>
  <c r="G105" i="96"/>
  <c r="G124" i="96" s="1"/>
  <c r="I106" i="96"/>
  <c r="K106" i="96" s="1"/>
  <c r="N106" i="96"/>
  <c r="P106" i="96" s="1"/>
  <c r="I107" i="96"/>
  <c r="I108" i="96"/>
  <c r="K108" i="96" s="1"/>
  <c r="N108" i="96" s="1"/>
  <c r="P108" i="96" s="1"/>
  <c r="I109" i="96"/>
  <c r="K109" i="96"/>
  <c r="N109" i="96" s="1"/>
  <c r="P109" i="96" s="1"/>
  <c r="I110" i="96"/>
  <c r="K110" i="96" s="1"/>
  <c r="N110" i="96" s="1"/>
  <c r="P110" i="96" s="1"/>
  <c r="I111" i="96"/>
  <c r="K111" i="96" s="1"/>
  <c r="N111" i="96" s="1"/>
  <c r="P111" i="96" s="1"/>
  <c r="I112" i="96"/>
  <c r="K112" i="96" s="1"/>
  <c r="N112" i="96" s="1"/>
  <c r="P112" i="96" s="1"/>
  <c r="I113" i="96"/>
  <c r="K113" i="96" s="1"/>
  <c r="N113" i="96" s="1"/>
  <c r="P113" i="96" s="1"/>
  <c r="I114" i="96"/>
  <c r="I115" i="96"/>
  <c r="K115" i="96" s="1"/>
  <c r="N115" i="96" s="1"/>
  <c r="P115" i="96" s="1"/>
  <c r="K116" i="96"/>
  <c r="N116" i="96" s="1"/>
  <c r="P116" i="96" s="1"/>
  <c r="K117" i="96"/>
  <c r="I118" i="96"/>
  <c r="K118" i="96" s="1"/>
  <c r="N118" i="96" s="1"/>
  <c r="P118" i="96" s="1"/>
  <c r="K119" i="96"/>
  <c r="N120" i="96"/>
  <c r="P120" i="96" s="1"/>
  <c r="I121" i="96"/>
  <c r="K121" i="96"/>
  <c r="N121" i="96" s="1"/>
  <c r="P121" i="96" s="1"/>
  <c r="N122" i="96"/>
  <c r="P122" i="96" s="1"/>
  <c r="H124" i="96"/>
  <c r="J124" i="96"/>
  <c r="H7" i="95"/>
  <c r="H6" i="95" s="1"/>
  <c r="H5" i="95" s="1"/>
  <c r="E8" i="95"/>
  <c r="G9" i="95"/>
  <c r="I9" i="95" s="1"/>
  <c r="K9" i="95" s="1"/>
  <c r="M9" i="95" s="1"/>
  <c r="E10" i="95"/>
  <c r="G10" i="95" s="1"/>
  <c r="I10" i="95" s="1"/>
  <c r="K10" i="95" s="1"/>
  <c r="M10" i="95" s="1"/>
  <c r="G11" i="95"/>
  <c r="I11" i="95" s="1"/>
  <c r="K11" i="95" s="1"/>
  <c r="M11" i="95" s="1"/>
  <c r="G12" i="95"/>
  <c r="I12" i="95" s="1"/>
  <c r="K12" i="95" s="1"/>
  <c r="M12" i="95" s="1"/>
  <c r="G13" i="95"/>
  <c r="I13" i="95" s="1"/>
  <c r="K13" i="95" s="1"/>
  <c r="M13" i="95" s="1"/>
  <c r="G14" i="95"/>
  <c r="I14" i="95" s="1"/>
  <c r="K14" i="95" s="1"/>
  <c r="M14" i="95" s="1"/>
  <c r="G15" i="95"/>
  <c r="I15" i="95" s="1"/>
  <c r="K15" i="95" s="1"/>
  <c r="M15" i="95" s="1"/>
  <c r="G16" i="95"/>
  <c r="I16" i="95" s="1"/>
  <c r="K16" i="95" s="1"/>
  <c r="M16" i="95" s="1"/>
  <c r="G17" i="95"/>
  <c r="I17" i="95" s="1"/>
  <c r="K17" i="95" s="1"/>
  <c r="M17" i="95" s="1"/>
  <c r="G18" i="95"/>
  <c r="I18" i="95" s="1"/>
  <c r="K18" i="95" s="1"/>
  <c r="M18" i="95" s="1"/>
  <c r="E20" i="95"/>
  <c r="I21" i="95"/>
  <c r="K21" i="95" s="1"/>
  <c r="M21" i="95" s="1"/>
  <c r="E22" i="95"/>
  <c r="G22" i="95"/>
  <c r="I22" i="95" s="1"/>
  <c r="K22" i="95" s="1"/>
  <c r="M22" i="95" s="1"/>
  <c r="I23" i="95"/>
  <c r="K23" i="95" s="1"/>
  <c r="M23" i="95" s="1"/>
  <c r="I24" i="95"/>
  <c r="K24" i="95" s="1"/>
  <c r="M24" i="95" s="1"/>
  <c r="E25" i="95"/>
  <c r="F25" i="95"/>
  <c r="H25" i="95"/>
  <c r="G26" i="95"/>
  <c r="G27" i="95"/>
  <c r="I27" i="95" s="1"/>
  <c r="K27" i="95" s="1"/>
  <c r="M27" i="95" s="1"/>
  <c r="G28" i="95"/>
  <c r="I28" i="95"/>
  <c r="K28" i="95" s="1"/>
  <c r="M28" i="95" s="1"/>
  <c r="K29" i="95"/>
  <c r="M29" i="95" s="1"/>
  <c r="F30" i="95"/>
  <c r="H30" i="95"/>
  <c r="J30" i="95"/>
  <c r="C31" i="95"/>
  <c r="G31" i="95"/>
  <c r="I31" i="95" s="1"/>
  <c r="C32" i="95"/>
  <c r="G32" i="95"/>
  <c r="I32" i="95" s="1"/>
  <c r="K32" i="95"/>
  <c r="M32" i="95" s="1"/>
  <c r="C33" i="95"/>
  <c r="G33" i="95"/>
  <c r="I33" i="95" s="1"/>
  <c r="K33" i="95" s="1"/>
  <c r="M33" i="95" s="1"/>
  <c r="C34" i="95"/>
  <c r="G34" i="95"/>
  <c r="I34" i="95" s="1"/>
  <c r="K34" i="95" s="1"/>
  <c r="M34" i="95" s="1"/>
  <c r="C35" i="95"/>
  <c r="G35" i="95"/>
  <c r="I35" i="95" s="1"/>
  <c r="K35" i="95" s="1"/>
  <c r="M35" i="95" s="1"/>
  <c r="C36" i="95"/>
  <c r="G36" i="95"/>
  <c r="I36" i="95" s="1"/>
  <c r="K36" i="95" s="1"/>
  <c r="M36" i="95" s="1"/>
  <c r="C37" i="95"/>
  <c r="G37" i="95"/>
  <c r="I37" i="95" s="1"/>
  <c r="K37" i="95" s="1"/>
  <c r="M37" i="95" s="1"/>
  <c r="C38" i="95"/>
  <c r="G38" i="95"/>
  <c r="I38" i="95" s="1"/>
  <c r="K38" i="95" s="1"/>
  <c r="M38" i="95" s="1"/>
  <c r="C39" i="95"/>
  <c r="G39" i="95"/>
  <c r="G40" i="95"/>
  <c r="I40" i="95" s="1"/>
  <c r="K40" i="95" s="1"/>
  <c r="M40" i="95" s="1"/>
  <c r="E41" i="95"/>
  <c r="E30" i="95" s="1"/>
  <c r="G42" i="95"/>
  <c r="I42" i="95" s="1"/>
  <c r="K42" i="95" s="1"/>
  <c r="M42" i="95" s="1"/>
  <c r="G43" i="95"/>
  <c r="I43" i="95"/>
  <c r="K43" i="95" s="1"/>
  <c r="M43" i="95" s="1"/>
  <c r="E45" i="95"/>
  <c r="G45" i="95"/>
  <c r="K45" i="95"/>
  <c r="M45" i="95" s="1"/>
  <c r="K46" i="95"/>
  <c r="M46" i="95" s="1"/>
  <c r="K47" i="95"/>
  <c r="M47" i="95" s="1"/>
  <c r="F48" i="95"/>
  <c r="H48" i="95"/>
  <c r="C49" i="95"/>
  <c r="G49" i="95"/>
  <c r="C50" i="95"/>
  <c r="G50" i="95"/>
  <c r="E51" i="95"/>
  <c r="G51" i="95" s="1"/>
  <c r="I51" i="95"/>
  <c r="K51" i="95" s="1"/>
  <c r="M51" i="95" s="1"/>
  <c r="E52" i="95"/>
  <c r="G52" i="95" s="1"/>
  <c r="I52" i="95" s="1"/>
  <c r="K52" i="95" s="1"/>
  <c r="M52" i="95" s="1"/>
  <c r="E53" i="95"/>
  <c r="G53" i="95" s="1"/>
  <c r="I53" i="95" s="1"/>
  <c r="K53" i="95" s="1"/>
  <c r="M53" i="95" s="1"/>
  <c r="J54" i="95"/>
  <c r="J48" i="95"/>
  <c r="E55" i="95"/>
  <c r="G55" i="95" s="1"/>
  <c r="I55" i="95" s="1"/>
  <c r="K55" i="95" s="1"/>
  <c r="M55" i="95" s="1"/>
  <c r="E56" i="95"/>
  <c r="G56" i="95" s="1"/>
  <c r="I56" i="95" s="1"/>
  <c r="K56" i="95" s="1"/>
  <c r="M56" i="95" s="1"/>
  <c r="E57" i="95"/>
  <c r="G57" i="95" s="1"/>
  <c r="I57" i="95"/>
  <c r="K57" i="95" s="1"/>
  <c r="M57" i="95" s="1"/>
  <c r="E59" i="95"/>
  <c r="G60" i="95"/>
  <c r="I60" i="95" s="1"/>
  <c r="K60" i="95" s="1"/>
  <c r="M60" i="95" s="1"/>
  <c r="G61" i="95"/>
  <c r="I61" i="95" s="1"/>
  <c r="K61" i="95"/>
  <c r="M61" i="95" s="1"/>
  <c r="E62" i="95"/>
  <c r="F62" i="95"/>
  <c r="H62" i="95"/>
  <c r="G63" i="95"/>
  <c r="I63" i="95" s="1"/>
  <c r="K63" i="95" s="1"/>
  <c r="M63" i="95" s="1"/>
  <c r="G64" i="95"/>
  <c r="G65" i="95"/>
  <c r="I65" i="95" s="1"/>
  <c r="K65" i="95"/>
  <c r="M65" i="95" s="1"/>
  <c r="G66" i="95"/>
  <c r="I66" i="95" s="1"/>
  <c r="K66" i="95" s="1"/>
  <c r="M66" i="95" s="1"/>
  <c r="G67" i="95"/>
  <c r="I67" i="95" s="1"/>
  <c r="K67" i="95" s="1"/>
  <c r="M67" i="95" s="1"/>
  <c r="K68" i="95"/>
  <c r="M68" i="95" s="1"/>
  <c r="F69" i="95"/>
  <c r="H69" i="95"/>
  <c r="E70" i="95"/>
  <c r="E69" i="95" s="1"/>
  <c r="G71" i="95"/>
  <c r="I71" i="95" s="1"/>
  <c r="K71" i="95" s="1"/>
  <c r="M71" i="95" s="1"/>
  <c r="K72" i="95"/>
  <c r="M72" i="95" s="1"/>
  <c r="H73" i="95"/>
  <c r="F74" i="95"/>
  <c r="G74" i="95" s="1"/>
  <c r="I75" i="95"/>
  <c r="K75" i="95" s="1"/>
  <c r="M75" i="95" s="1"/>
  <c r="I76" i="95"/>
  <c r="K76" i="95"/>
  <c r="M76" i="95" s="1"/>
  <c r="K78" i="95"/>
  <c r="M78" i="95" s="1"/>
  <c r="G79" i="95"/>
  <c r="I79" i="95" s="1"/>
  <c r="K79" i="95" s="1"/>
  <c r="M79" i="95" s="1"/>
  <c r="K80" i="95"/>
  <c r="M80" i="95" s="1"/>
  <c r="K81" i="95"/>
  <c r="M81" i="95" s="1"/>
  <c r="E83" i="95"/>
  <c r="F83" i="95"/>
  <c r="H83" i="95"/>
  <c r="J83" i="95"/>
  <c r="G84" i="95"/>
  <c r="I84" i="95"/>
  <c r="K84" i="95" s="1"/>
  <c r="M84" i="95" s="1"/>
  <c r="I85" i="95"/>
  <c r="K85" i="95" s="1"/>
  <c r="M85" i="95" s="1"/>
  <c r="K86" i="95"/>
  <c r="M86" i="95" s="1"/>
  <c r="K88" i="95"/>
  <c r="M88" i="95" s="1"/>
  <c r="C112" i="50"/>
  <c r="E112" i="50" s="1"/>
  <c r="C53" i="40"/>
  <c r="E53" i="40" s="1"/>
  <c r="AS55" i="44"/>
  <c r="AU55" i="44"/>
  <c r="AB24" i="44"/>
  <c r="AB13" i="44"/>
  <c r="AD13" i="44" s="1"/>
  <c r="O92" i="41"/>
  <c r="O91" i="41"/>
  <c r="O88" i="41"/>
  <c r="Q88" i="41" s="1"/>
  <c r="O87" i="41"/>
  <c r="Q87" i="41" s="1"/>
  <c r="O86" i="41"/>
  <c r="Q86" i="41" s="1"/>
  <c r="O85" i="41"/>
  <c r="Q85" i="41" s="1"/>
  <c r="O84" i="41"/>
  <c r="Q84" i="41" s="1"/>
  <c r="O83" i="41"/>
  <c r="Q83" i="41" s="1"/>
  <c r="O81" i="41"/>
  <c r="Q81" i="41" s="1"/>
  <c r="O80" i="41"/>
  <c r="O79" i="41"/>
  <c r="Q79" i="41" s="1"/>
  <c r="O76" i="41"/>
  <c r="O75" i="41"/>
  <c r="O71" i="41"/>
  <c r="Q71" i="41" s="1"/>
  <c r="O69" i="41"/>
  <c r="O70" i="41"/>
  <c r="Q70" i="41" s="1"/>
  <c r="K82" i="41"/>
  <c r="M82" i="41" s="1"/>
  <c r="K78" i="41"/>
  <c r="K74" i="41"/>
  <c r="G82" i="41"/>
  <c r="I82" i="41" s="1"/>
  <c r="G78" i="41"/>
  <c r="I78" i="41" s="1"/>
  <c r="G74" i="41"/>
  <c r="I74" i="41" s="1"/>
  <c r="C82" i="41"/>
  <c r="E82" i="41" s="1"/>
  <c r="C78" i="41"/>
  <c r="E78" i="41" s="1"/>
  <c r="C74" i="41"/>
  <c r="E74" i="41" s="1"/>
  <c r="O65" i="41"/>
  <c r="Q65" i="41" s="1"/>
  <c r="O64" i="41"/>
  <c r="Q64" i="41" s="1"/>
  <c r="O63" i="41"/>
  <c r="Q63" i="41" s="1"/>
  <c r="O61" i="41"/>
  <c r="Q61" i="41" s="1"/>
  <c r="O60" i="41"/>
  <c r="Q60" i="41" s="1"/>
  <c r="O59" i="41"/>
  <c r="Q59" i="41" s="1"/>
  <c r="O58" i="41"/>
  <c r="Q58" i="41" s="1"/>
  <c r="O55" i="41"/>
  <c r="O52" i="41"/>
  <c r="Q52" i="41" s="1"/>
  <c r="O51" i="41"/>
  <c r="O50" i="41"/>
  <c r="Q50" i="41" s="1"/>
  <c r="O49" i="41"/>
  <c r="O48" i="41"/>
  <c r="Q48" i="41" s="1"/>
  <c r="O47" i="41"/>
  <c r="Q47" i="41" s="1"/>
  <c r="O46" i="41"/>
  <c r="Q46" i="41" s="1"/>
  <c r="O45" i="41"/>
  <c r="O44" i="41"/>
  <c r="Q44" i="41" s="1"/>
  <c r="O43" i="41"/>
  <c r="O40" i="41"/>
  <c r="Q40" i="41" s="1"/>
  <c r="O39" i="41"/>
  <c r="Q39" i="41" s="1"/>
  <c r="O38" i="41"/>
  <c r="Q38" i="41" s="1"/>
  <c r="O37" i="41"/>
  <c r="Q37" i="41" s="1"/>
  <c r="O36" i="41"/>
  <c r="Q36" i="41" s="1"/>
  <c r="O35" i="41"/>
  <c r="Q35" i="41" s="1"/>
  <c r="O34" i="41"/>
  <c r="Q34" i="41" s="1"/>
  <c r="O33" i="41"/>
  <c r="Q33" i="41" s="1"/>
  <c r="O31" i="41"/>
  <c r="Q31" i="41" s="1"/>
  <c r="O30" i="41"/>
  <c r="Q30" i="41" s="1"/>
  <c r="O29" i="41"/>
  <c r="Q29" i="41" s="1"/>
  <c r="G62" i="41"/>
  <c r="I62" i="41" s="1"/>
  <c r="K62" i="41"/>
  <c r="K56" i="41"/>
  <c r="M56" i="41" s="1"/>
  <c r="K41" i="41"/>
  <c r="G28" i="41"/>
  <c r="I28" i="41" s="1"/>
  <c r="G41" i="41"/>
  <c r="I41" i="41" s="1"/>
  <c r="G56" i="41"/>
  <c r="I56" i="41" s="1"/>
  <c r="C62" i="41"/>
  <c r="E62" i="41" s="1"/>
  <c r="C56" i="41"/>
  <c r="E56" i="41" s="1"/>
  <c r="O12" i="41"/>
  <c r="Q12" i="41" s="1"/>
  <c r="O11" i="41"/>
  <c r="Q11" i="41" s="1"/>
  <c r="O10" i="41"/>
  <c r="Q10" i="41" s="1"/>
  <c r="O9" i="41"/>
  <c r="Q9" i="41" s="1"/>
  <c r="O8" i="41"/>
  <c r="O7" i="41"/>
  <c r="Q7" i="41" s="1"/>
  <c r="O15" i="41"/>
  <c r="Q15" i="41" s="1"/>
  <c r="O16" i="41"/>
  <c r="Q16" i="41" s="1"/>
  <c r="O17" i="41"/>
  <c r="Q17" i="41" s="1"/>
  <c r="O18" i="41"/>
  <c r="O19" i="41"/>
  <c r="Q19" i="41" s="1"/>
  <c r="O22" i="41"/>
  <c r="Q22" i="41" s="1"/>
  <c r="O23" i="41"/>
  <c r="O24" i="41"/>
  <c r="Q24" i="41" s="1"/>
  <c r="O25" i="41"/>
  <c r="Q25" i="41" s="1"/>
  <c r="K20" i="41"/>
  <c r="M20" i="41" s="1"/>
  <c r="G20" i="41"/>
  <c r="I20" i="41" s="1"/>
  <c r="C20" i="41"/>
  <c r="E20" i="41" s="1"/>
  <c r="K5" i="41"/>
  <c r="G5" i="41"/>
  <c r="C68" i="41"/>
  <c r="E6" i="42"/>
  <c r="E8" i="42"/>
  <c r="E9" i="42"/>
  <c r="E12" i="42"/>
  <c r="E14" i="42"/>
  <c r="E17" i="42"/>
  <c r="E19" i="42"/>
  <c r="E20" i="42"/>
  <c r="E22" i="42"/>
  <c r="E24" i="42"/>
  <c r="E25" i="42"/>
  <c r="E26" i="42"/>
  <c r="E27" i="42"/>
  <c r="E29" i="42"/>
  <c r="E30" i="42"/>
  <c r="E32" i="42"/>
  <c r="E33" i="42"/>
  <c r="E34" i="42"/>
  <c r="E38" i="42"/>
  <c r="E39" i="42"/>
  <c r="E40" i="42"/>
  <c r="E41" i="42"/>
  <c r="E42" i="42"/>
  <c r="E43" i="42"/>
  <c r="E44" i="42"/>
  <c r="E45" i="42"/>
  <c r="E47" i="42"/>
  <c r="E48" i="42"/>
  <c r="E49" i="42"/>
  <c r="E50" i="42"/>
  <c r="E5" i="42"/>
  <c r="D60" i="62"/>
  <c r="D30" i="62"/>
  <c r="D48" i="62"/>
  <c r="E48" i="62" s="1"/>
  <c r="E40" i="62"/>
  <c r="E39" i="62"/>
  <c r="D37" i="62"/>
  <c r="G18" i="62"/>
  <c r="G20" i="62" s="1"/>
  <c r="C18" i="62"/>
  <c r="B22" i="62"/>
  <c r="P44" i="21"/>
  <c r="C187" i="50"/>
  <c r="E187" i="50" s="1"/>
  <c r="C182" i="50"/>
  <c r="E182" i="50" s="1"/>
  <c r="C161" i="50"/>
  <c r="E161" i="50" s="1"/>
  <c r="C129" i="50"/>
  <c r="E129" i="50" s="1"/>
  <c r="C124" i="50"/>
  <c r="E124" i="50" s="1"/>
  <c r="C36" i="50"/>
  <c r="E36" i="50" s="1"/>
  <c r="F36" i="50" s="1"/>
  <c r="C4" i="49"/>
  <c r="E4" i="49" s="1"/>
  <c r="C44" i="40"/>
  <c r="C100" i="40"/>
  <c r="E100" i="40" s="1"/>
  <c r="C90" i="40"/>
  <c r="E90" i="40" s="1"/>
  <c r="C34" i="40"/>
  <c r="E34" i="40" s="1"/>
  <c r="C28" i="40"/>
  <c r="E28" i="40" s="1"/>
  <c r="C21" i="40"/>
  <c r="E21" i="40" s="1"/>
  <c r="C15" i="40"/>
  <c r="E15" i="40" s="1"/>
  <c r="C9" i="40"/>
  <c r="E9" i="40" s="1"/>
  <c r="O46" i="44"/>
  <c r="N46" i="44"/>
  <c r="P14" i="45"/>
  <c r="B26" i="21"/>
  <c r="K44" i="21"/>
  <c r="B20" i="21"/>
  <c r="B27" i="21" s="1"/>
  <c r="D54" i="87"/>
  <c r="F54" i="87" s="1"/>
  <c r="D45" i="87"/>
  <c r="F45" i="87" s="1"/>
  <c r="D41" i="87"/>
  <c r="F41" i="87" s="1"/>
  <c r="D31" i="87"/>
  <c r="F31" i="87" s="1"/>
  <c r="D24" i="87"/>
  <c r="F24" i="87" s="1"/>
  <c r="D15" i="87"/>
  <c r="F15" i="87" s="1"/>
  <c r="AW16" i="52"/>
  <c r="AW14" i="52"/>
  <c r="AY14" i="52" s="1"/>
  <c r="AW10" i="52"/>
  <c r="AY10" i="52" s="1"/>
  <c r="AW8" i="52"/>
  <c r="AW7" i="52"/>
  <c r="AY7" i="52" s="1"/>
  <c r="AW6" i="52"/>
  <c r="AY6" i="52" s="1"/>
  <c r="AW5" i="52"/>
  <c r="AY5" i="52" s="1"/>
  <c r="AW4" i="52"/>
  <c r="AY4" i="52" s="1"/>
  <c r="AW3" i="52"/>
  <c r="AY3" i="52" s="1"/>
  <c r="AS9" i="52"/>
  <c r="AU9" i="52" s="1"/>
  <c r="AJ9" i="52"/>
  <c r="AF9" i="52"/>
  <c r="AH9" i="52" s="1"/>
  <c r="AB9" i="52"/>
  <c r="AB13" i="52" s="1"/>
  <c r="X9" i="52"/>
  <c r="Z9" i="52" s="1"/>
  <c r="O9" i="52"/>
  <c r="K9" i="52"/>
  <c r="M9" i="52" s="1"/>
  <c r="G9" i="52"/>
  <c r="C9" i="52"/>
  <c r="E9" i="52"/>
  <c r="X14" i="45"/>
  <c r="Z14" i="45" s="1"/>
  <c r="G14" i="45"/>
  <c r="C14" i="45"/>
  <c r="T14" i="45"/>
  <c r="K10" i="45"/>
  <c r="K11" i="45"/>
  <c r="AB11" i="45" s="1"/>
  <c r="K12" i="45"/>
  <c r="K13" i="45"/>
  <c r="M13" i="45" s="1"/>
  <c r="K15" i="45"/>
  <c r="K19" i="45"/>
  <c r="M19" i="45" s="1"/>
  <c r="K17" i="45"/>
  <c r="K16" i="45"/>
  <c r="M16" i="45" s="1"/>
  <c r="K9" i="45"/>
  <c r="K8" i="45"/>
  <c r="AB8" i="45" s="1"/>
  <c r="AX67" i="44"/>
  <c r="AX66" i="44"/>
  <c r="AX50" i="44"/>
  <c r="AZ50" i="44"/>
  <c r="AX46" i="44"/>
  <c r="AZ46" i="44" s="1"/>
  <c r="AX42" i="44"/>
  <c r="AZ42" i="44" s="1"/>
  <c r="AX40" i="44"/>
  <c r="AZ40" i="44" s="1"/>
  <c r="AX34" i="44"/>
  <c r="AZ34" i="44"/>
  <c r="AX21" i="44"/>
  <c r="AZ21" i="44" s="1"/>
  <c r="AX17" i="44"/>
  <c r="AZ17" i="44" s="1"/>
  <c r="AX15" i="44"/>
  <c r="AZ15" i="44" s="1"/>
  <c r="AX12" i="44"/>
  <c r="AZ12" i="44" s="1"/>
  <c r="AS62" i="44"/>
  <c r="AU62" i="44" s="1"/>
  <c r="AS61" i="44"/>
  <c r="AU61" i="44"/>
  <c r="AS60" i="44"/>
  <c r="AU60" i="44" s="1"/>
  <c r="AS58" i="44"/>
  <c r="AS54" i="44"/>
  <c r="AU54" i="44" s="1"/>
  <c r="AS22" i="44"/>
  <c r="AU22" i="44" s="1"/>
  <c r="AS20" i="44"/>
  <c r="AU20" i="44" s="1"/>
  <c r="AS19" i="44"/>
  <c r="AU19" i="44"/>
  <c r="AS18" i="44"/>
  <c r="AU18" i="44" s="1"/>
  <c r="AS17" i="44"/>
  <c r="AU17" i="44" s="1"/>
  <c r="AS16" i="44"/>
  <c r="AU16" i="44" s="1"/>
  <c r="AS14" i="44"/>
  <c r="AU14" i="44" s="1"/>
  <c r="X50" i="44"/>
  <c r="X46" i="44"/>
  <c r="Z46" i="44" s="1"/>
  <c r="X42" i="44"/>
  <c r="Z42" i="44" s="1"/>
  <c r="X40" i="44"/>
  <c r="Z40" i="44" s="1"/>
  <c r="X34" i="44"/>
  <c r="X21" i="44"/>
  <c r="Z21" i="44" s="1"/>
  <c r="X15" i="44"/>
  <c r="Z15" i="44" s="1"/>
  <c r="X12" i="44"/>
  <c r="Z12" i="44" s="1"/>
  <c r="X59" i="44"/>
  <c r="Z59" i="44" s="1"/>
  <c r="T59" i="44"/>
  <c r="V59" i="44" s="1"/>
  <c r="T50" i="44"/>
  <c r="T46" i="44"/>
  <c r="V46" i="44" s="1"/>
  <c r="T42" i="44"/>
  <c r="V42" i="44" s="1"/>
  <c r="T40" i="44"/>
  <c r="V40" i="44" s="1"/>
  <c r="T34" i="44"/>
  <c r="V34" i="44" s="1"/>
  <c r="T21" i="44"/>
  <c r="V21" i="44" s="1"/>
  <c r="T15" i="44"/>
  <c r="V15" i="44" s="1"/>
  <c r="V12" i="44"/>
  <c r="O50" i="44"/>
  <c r="Q50" i="44"/>
  <c r="O15" i="44"/>
  <c r="O12" i="44"/>
  <c r="K50" i="44"/>
  <c r="K46" i="44"/>
  <c r="K15" i="44"/>
  <c r="M15" i="44" s="1"/>
  <c r="K12" i="44"/>
  <c r="O59" i="44"/>
  <c r="Q59" i="44" s="1"/>
  <c r="K59" i="44"/>
  <c r="M59" i="44" s="1"/>
  <c r="G50" i="44"/>
  <c r="G46" i="44"/>
  <c r="I46" i="44"/>
  <c r="O34" i="44"/>
  <c r="K34" i="44"/>
  <c r="M34" i="44" s="1"/>
  <c r="O42" i="44"/>
  <c r="Q42" i="44" s="1"/>
  <c r="K42" i="44"/>
  <c r="G42" i="44"/>
  <c r="I42" i="44" s="1"/>
  <c r="O21" i="44"/>
  <c r="K21" i="44"/>
  <c r="O40" i="44"/>
  <c r="K40" i="44"/>
  <c r="G40" i="44"/>
  <c r="I40" i="44" s="1"/>
  <c r="G34" i="44"/>
  <c r="G21" i="44"/>
  <c r="G15" i="44"/>
  <c r="G12" i="44"/>
  <c r="I12" i="44" s="1"/>
  <c r="C50" i="44"/>
  <c r="C46" i="44"/>
  <c r="C42" i="44"/>
  <c r="C40" i="44"/>
  <c r="E40" i="44" s="1"/>
  <c r="C34" i="44"/>
  <c r="E34" i="44" s="1"/>
  <c r="C21" i="44"/>
  <c r="C15" i="44"/>
  <c r="E15" i="44" s="1"/>
  <c r="C12" i="44"/>
  <c r="AB52" i="44"/>
  <c r="AS51" i="44"/>
  <c r="AB49" i="44"/>
  <c r="AB48" i="44"/>
  <c r="AB43" i="44"/>
  <c r="AB41" i="44"/>
  <c r="AS41" i="44"/>
  <c r="AS40" i="44" s="1"/>
  <c r="AB39" i="44"/>
  <c r="AS39" i="44"/>
  <c r="AU39" i="44" s="1"/>
  <c r="AB38" i="44"/>
  <c r="AB37" i="44"/>
  <c r="AB36" i="44"/>
  <c r="AB35" i="44"/>
  <c r="AS35" i="44"/>
  <c r="AU35" i="44" s="1"/>
  <c r="AB33" i="44"/>
  <c r="AB30" i="44"/>
  <c r="AD30" i="44" s="1"/>
  <c r="AB29" i="44"/>
  <c r="AB28" i="44"/>
  <c r="AB27" i="44"/>
  <c r="AB26" i="44"/>
  <c r="AB25" i="44"/>
  <c r="AB23" i="44"/>
  <c r="AD23" i="44" s="1"/>
  <c r="AF42" i="44"/>
  <c r="AF40" i="44"/>
  <c r="AH40" i="44" s="1"/>
  <c r="AF34" i="44"/>
  <c r="AH34" i="44" s="1"/>
  <c r="AF15" i="44"/>
  <c r="AH15" i="44" s="1"/>
  <c r="AF50" i="44"/>
  <c r="AF46" i="44"/>
  <c r="AH46" i="44" s="1"/>
  <c r="AF21" i="44"/>
  <c r="AH21" i="44" s="1"/>
  <c r="AF12" i="44"/>
  <c r="AH12" i="44" s="1"/>
  <c r="AO9" i="52"/>
  <c r="D63" i="87"/>
  <c r="F63" i="87" s="1"/>
  <c r="AW12" i="52"/>
  <c r="AY12" i="52" s="1"/>
  <c r="AO59" i="44"/>
  <c r="AQ59" i="44" s="1"/>
  <c r="AO15" i="44"/>
  <c r="AO12" i="44"/>
  <c r="AQ12" i="44" s="1"/>
  <c r="AO50" i="44"/>
  <c r="AO46" i="44"/>
  <c r="AQ46" i="44" s="1"/>
  <c r="AO42" i="44"/>
  <c r="AO40" i="44"/>
  <c r="AQ40" i="44" s="1"/>
  <c r="AO34" i="44"/>
  <c r="AQ34" i="44" s="1"/>
  <c r="AO21" i="44"/>
  <c r="AQ21" i="44" s="1"/>
  <c r="D74" i="87"/>
  <c r="D70" i="87"/>
  <c r="F70" i="87" s="1"/>
  <c r="AW11" i="52"/>
  <c r="AY11" i="52" s="1"/>
  <c r="AK59" i="44"/>
  <c r="AM59" i="44" s="1"/>
  <c r="AK50" i="44"/>
  <c r="AM50" i="44" s="1"/>
  <c r="AK46" i="44"/>
  <c r="AM46" i="44" s="1"/>
  <c r="AK42" i="44"/>
  <c r="AK40" i="44"/>
  <c r="AM40" i="44"/>
  <c r="AK34" i="44"/>
  <c r="AM34" i="44"/>
  <c r="AK21" i="44"/>
  <c r="AM21" i="44"/>
  <c r="AK15" i="44"/>
  <c r="AM15" i="44"/>
  <c r="AK12" i="44"/>
  <c r="AM12" i="44"/>
  <c r="E35" i="42"/>
  <c r="E28" i="42"/>
  <c r="B30" i="62"/>
  <c r="B19" i="62"/>
  <c r="C19" i="62"/>
  <c r="C87" i="62"/>
  <c r="E87" i="62" s="1"/>
  <c r="C79" i="62"/>
  <c r="E79" i="62" s="1"/>
  <c r="C30" i="62"/>
  <c r="E68" i="62"/>
  <c r="J9" i="62"/>
  <c r="N29" i="21"/>
  <c r="N9" i="21"/>
  <c r="N8" i="21"/>
  <c r="F42" i="21"/>
  <c r="F44" i="21" s="1"/>
  <c r="E42" i="21"/>
  <c r="E44" i="21" s="1"/>
  <c r="B42" i="21"/>
  <c r="B44" i="21" s="1"/>
  <c r="C42" i="21"/>
  <c r="C44" i="21"/>
  <c r="F57" i="50"/>
  <c r="B9" i="52"/>
  <c r="B13" i="52" s="1"/>
  <c r="B15" i="52" s="1"/>
  <c r="B17" i="52" s="1"/>
  <c r="B187" i="50"/>
  <c r="B182" i="50"/>
  <c r="B171" i="50"/>
  <c r="B161" i="50"/>
  <c r="B159" i="50"/>
  <c r="B124" i="50"/>
  <c r="B112" i="50"/>
  <c r="B105" i="50"/>
  <c r="B100" i="50"/>
  <c r="B63" i="50"/>
  <c r="B40" i="50"/>
  <c r="B24" i="50"/>
  <c r="B36" i="50" s="1"/>
  <c r="B131" i="70"/>
  <c r="B128" i="70"/>
  <c r="B123" i="70"/>
  <c r="B120" i="70"/>
  <c r="B117" i="70"/>
  <c r="B102" i="70"/>
  <c r="B89" i="70"/>
  <c r="B81" i="70"/>
  <c r="B77" i="70"/>
  <c r="B67" i="70"/>
  <c r="B64" i="70"/>
  <c r="B49" i="70"/>
  <c r="B45" i="70"/>
  <c r="B33" i="70"/>
  <c r="B25" i="70"/>
  <c r="B21" i="70"/>
  <c r="B15" i="70"/>
  <c r="B7" i="70"/>
  <c r="B79" i="49"/>
  <c r="B76" i="49"/>
  <c r="B72" i="49"/>
  <c r="B68" i="49"/>
  <c r="B62" i="49"/>
  <c r="B61" i="49"/>
  <c r="B58" i="49"/>
  <c r="B49" i="49"/>
  <c r="B44" i="49"/>
  <c r="B43" i="49"/>
  <c r="B35" i="49"/>
  <c r="B31" i="49"/>
  <c r="B30" i="49"/>
  <c r="B29" i="49"/>
  <c r="B25" i="49"/>
  <c r="B17" i="49"/>
  <c r="B16" i="49"/>
  <c r="B14" i="49"/>
  <c r="B4" i="49"/>
  <c r="B107" i="40"/>
  <c r="B100" i="40"/>
  <c r="B90" i="40"/>
  <c r="B62" i="40"/>
  <c r="B58" i="40"/>
  <c r="B56" i="40"/>
  <c r="B44" i="40"/>
  <c r="B34" i="40"/>
  <c r="B28" i="40"/>
  <c r="B21" i="40"/>
  <c r="B15" i="40"/>
  <c r="B9" i="40"/>
  <c r="C74" i="87"/>
  <c r="C70" i="87"/>
  <c r="C63" i="87"/>
  <c r="C54" i="87"/>
  <c r="C45" i="87"/>
  <c r="C41" i="87"/>
  <c r="C31" i="87"/>
  <c r="C24" i="87"/>
  <c r="C15" i="87"/>
  <c r="C5" i="87"/>
  <c r="AV16" i="52"/>
  <c r="AV12" i="52"/>
  <c r="AV11" i="52"/>
  <c r="AV8" i="52"/>
  <c r="AV7" i="52"/>
  <c r="AR9" i="52"/>
  <c r="AR13" i="52" s="1"/>
  <c r="AR15" i="52" s="1"/>
  <c r="AR17" i="52" s="1"/>
  <c r="AN9" i="52"/>
  <c r="AN13" i="52" s="1"/>
  <c r="AN15" i="52" s="1"/>
  <c r="AN17" i="52" s="1"/>
  <c r="AI9" i="52"/>
  <c r="AI13" i="52" s="1"/>
  <c r="AI15" i="52" s="1"/>
  <c r="AI17" i="52" s="1"/>
  <c r="AE9" i="52"/>
  <c r="AE13" i="52" s="1"/>
  <c r="AE15" i="52" s="1"/>
  <c r="AE17" i="52" s="1"/>
  <c r="AA14" i="52"/>
  <c r="AV14" i="52" s="1"/>
  <c r="AA10" i="52"/>
  <c r="AV10" i="52" s="1"/>
  <c r="AA6" i="52"/>
  <c r="AV6" i="52" s="1"/>
  <c r="AA5" i="52"/>
  <c r="AV5" i="52" s="1"/>
  <c r="AA4" i="52"/>
  <c r="AV4" i="52" s="1"/>
  <c r="AA3" i="52"/>
  <c r="W9" i="52"/>
  <c r="W13" i="52" s="1"/>
  <c r="W15" i="52" s="1"/>
  <c r="W17" i="52" s="1"/>
  <c r="N9" i="52"/>
  <c r="N13" i="52" s="1"/>
  <c r="N15" i="52" s="1"/>
  <c r="N17" i="52" s="1"/>
  <c r="J9" i="52"/>
  <c r="J13" i="52" s="1"/>
  <c r="J15" i="52" s="1"/>
  <c r="J17" i="52" s="1"/>
  <c r="F9" i="52"/>
  <c r="F13" i="52" s="1"/>
  <c r="F15" i="52" s="1"/>
  <c r="F17" i="52" s="1"/>
  <c r="W14" i="45"/>
  <c r="W18" i="45" s="1"/>
  <c r="W20" i="45" s="1"/>
  <c r="W22" i="45" s="1"/>
  <c r="S14" i="45"/>
  <c r="S18" i="45" s="1"/>
  <c r="S20" i="45" s="1"/>
  <c r="S22" i="45" s="1"/>
  <c r="O21" i="45"/>
  <c r="O14" i="45"/>
  <c r="O18" i="45" s="1"/>
  <c r="O20" i="45" s="1"/>
  <c r="O22" i="45" s="1"/>
  <c r="F19" i="45"/>
  <c r="J19" i="45" s="1"/>
  <c r="AA19" i="45" s="1"/>
  <c r="F17" i="45"/>
  <c r="J17" i="45" s="1"/>
  <c r="AA17" i="45" s="1"/>
  <c r="F16" i="45"/>
  <c r="J16" i="45" s="1"/>
  <c r="AA16" i="45" s="1"/>
  <c r="F15" i="45"/>
  <c r="J15" i="45"/>
  <c r="AA15" i="45" s="1"/>
  <c r="F13" i="45"/>
  <c r="F12" i="45"/>
  <c r="J12" i="45" s="1"/>
  <c r="AA12" i="45" s="1"/>
  <c r="F11" i="45"/>
  <c r="J11" i="45" s="1"/>
  <c r="AA11" i="45" s="1"/>
  <c r="F10" i="45"/>
  <c r="J10" i="45" s="1"/>
  <c r="AA10" i="45" s="1"/>
  <c r="F9" i="45"/>
  <c r="J9" i="45" s="1"/>
  <c r="AA9" i="45" s="1"/>
  <c r="F8" i="45"/>
  <c r="J8" i="45" s="1"/>
  <c r="AA8" i="45" s="1"/>
  <c r="B14" i="45"/>
  <c r="B18" i="45" s="1"/>
  <c r="B20" i="45" s="1"/>
  <c r="B21" i="45" s="1"/>
  <c r="AW67" i="44"/>
  <c r="AW66" i="44"/>
  <c r="AW59" i="44"/>
  <c r="AW52" i="44"/>
  <c r="AW50" i="44" s="1"/>
  <c r="AW46" i="44"/>
  <c r="AW42" i="44"/>
  <c r="AW40" i="44"/>
  <c r="AW34" i="44"/>
  <c r="AW21" i="44"/>
  <c r="AW17" i="44"/>
  <c r="AW15" i="44"/>
  <c r="AW12" i="44"/>
  <c r="AR62" i="44"/>
  <c r="AV62" i="44" s="1"/>
  <c r="AR61" i="44"/>
  <c r="AR60" i="44"/>
  <c r="AV60" i="44" s="1"/>
  <c r="AR54" i="44"/>
  <c r="AR20" i="44"/>
  <c r="AR19" i="44"/>
  <c r="AR18" i="44"/>
  <c r="AV18" i="44" s="1"/>
  <c r="AR17" i="44"/>
  <c r="AV17" i="44" s="1"/>
  <c r="AN59" i="44"/>
  <c r="AN50" i="44"/>
  <c r="AN46" i="44"/>
  <c r="AN42" i="44"/>
  <c r="AN40" i="44"/>
  <c r="AN34" i="44"/>
  <c r="AN21" i="44"/>
  <c r="AN15" i="44"/>
  <c r="AN12" i="44"/>
  <c r="AJ59" i="44"/>
  <c r="AJ50" i="44"/>
  <c r="AJ46" i="44"/>
  <c r="AJ42" i="44"/>
  <c r="AJ40" i="44"/>
  <c r="AJ34" i="44"/>
  <c r="AJ21" i="44"/>
  <c r="AJ15" i="44"/>
  <c r="AJ12" i="44"/>
  <c r="AE59" i="44"/>
  <c r="AE52" i="44"/>
  <c r="AE50" i="44" s="1"/>
  <c r="AE46" i="44"/>
  <c r="AE42" i="44"/>
  <c r="AE40" i="44"/>
  <c r="AE34" i="44"/>
  <c r="AE21" i="44"/>
  <c r="AE15" i="44"/>
  <c r="AE12" i="44"/>
  <c r="AA58" i="44"/>
  <c r="AR58" i="44" s="1"/>
  <c r="AV58" i="44" s="1"/>
  <c r="AA57" i="44"/>
  <c r="AA56" i="44"/>
  <c r="AR56" i="44"/>
  <c r="AA55" i="44"/>
  <c r="AR55" i="44" s="1"/>
  <c r="AV55" i="44" s="1"/>
  <c r="AA51" i="44"/>
  <c r="AR51" i="44" s="1"/>
  <c r="AA49" i="44"/>
  <c r="AR49" i="44" s="1"/>
  <c r="AA48" i="44"/>
  <c r="AA47" i="44"/>
  <c r="AR47" i="44" s="1"/>
  <c r="AA43" i="44"/>
  <c r="AA42" i="44" s="1"/>
  <c r="AA41" i="44"/>
  <c r="AA39" i="44"/>
  <c r="AR39" i="44" s="1"/>
  <c r="AA38" i="44"/>
  <c r="AR38" i="44" s="1"/>
  <c r="AA37" i="44"/>
  <c r="AR37" i="44" s="1"/>
  <c r="AA36" i="44"/>
  <c r="AR36" i="44" s="1"/>
  <c r="AA35" i="44"/>
  <c r="AR35" i="44" s="1"/>
  <c r="AA33" i="44"/>
  <c r="AR33" i="44" s="1"/>
  <c r="AV33" i="44"/>
  <c r="AA30" i="44"/>
  <c r="AR30" i="44" s="1"/>
  <c r="AV30" i="44" s="1"/>
  <c r="AA29" i="44"/>
  <c r="AV29" i="44"/>
  <c r="AA28" i="44"/>
  <c r="AR28" i="44" s="1"/>
  <c r="AV28" i="44" s="1"/>
  <c r="AA27" i="44"/>
  <c r="AR27" i="44" s="1"/>
  <c r="AV27" i="44" s="1"/>
  <c r="AA26" i="44"/>
  <c r="AR26" i="44" s="1"/>
  <c r="AV26" i="44" s="1"/>
  <c r="AA25" i="44"/>
  <c r="AR25" i="44" s="1"/>
  <c r="AV25" i="44" s="1"/>
  <c r="AA24" i="44"/>
  <c r="AR24" i="44" s="1"/>
  <c r="AV24" i="44" s="1"/>
  <c r="AA23" i="44"/>
  <c r="AR23" i="44" s="1"/>
  <c r="AV23" i="44" s="1"/>
  <c r="AA22" i="44"/>
  <c r="AR22" i="44" s="1"/>
  <c r="AV22" i="44" s="1"/>
  <c r="AA16" i="44"/>
  <c r="AA15" i="44" s="1"/>
  <c r="AA14" i="44"/>
  <c r="AR14" i="44" s="1"/>
  <c r="AA13" i="44"/>
  <c r="AR13" i="44" s="1"/>
  <c r="AR12" i="44" s="1"/>
  <c r="W59" i="44"/>
  <c r="W50" i="44"/>
  <c r="W46" i="44"/>
  <c r="W42" i="44"/>
  <c r="W40" i="44"/>
  <c r="W34" i="44"/>
  <c r="W21" i="44"/>
  <c r="W15" i="44"/>
  <c r="W12" i="44"/>
  <c r="S59" i="44"/>
  <c r="S50" i="44"/>
  <c r="S46" i="44"/>
  <c r="S42" i="44"/>
  <c r="S40" i="44"/>
  <c r="S34" i="44"/>
  <c r="S21" i="44"/>
  <c r="S15" i="44"/>
  <c r="S12" i="44"/>
  <c r="N59" i="44"/>
  <c r="N52" i="44"/>
  <c r="N42" i="44"/>
  <c r="N40" i="44"/>
  <c r="N34" i="44"/>
  <c r="N21" i="44"/>
  <c r="N15" i="44"/>
  <c r="N12" i="44"/>
  <c r="J59" i="44"/>
  <c r="J52" i="44"/>
  <c r="J50" i="44" s="1"/>
  <c r="J46" i="44"/>
  <c r="J42" i="44"/>
  <c r="J40" i="44"/>
  <c r="J34" i="44"/>
  <c r="J21" i="44"/>
  <c r="J15" i="44"/>
  <c r="J12" i="44"/>
  <c r="F59" i="44"/>
  <c r="F52" i="44"/>
  <c r="F50" i="44" s="1"/>
  <c r="F46" i="44"/>
  <c r="F42" i="44"/>
  <c r="F40" i="44"/>
  <c r="F34" i="44"/>
  <c r="F21" i="44"/>
  <c r="F15" i="44"/>
  <c r="F12" i="44"/>
  <c r="B59" i="44"/>
  <c r="B52" i="44"/>
  <c r="B50" i="44" s="1"/>
  <c r="B45" i="44" s="1"/>
  <c r="B46" i="44"/>
  <c r="B42" i="44"/>
  <c r="B40" i="44"/>
  <c r="B34" i="44"/>
  <c r="B21" i="44"/>
  <c r="B15" i="44"/>
  <c r="B12" i="44"/>
  <c r="N92" i="41"/>
  <c r="N91" i="41"/>
  <c r="N88" i="41"/>
  <c r="N87" i="41"/>
  <c r="N86" i="41"/>
  <c r="N85" i="41"/>
  <c r="N84" i="41"/>
  <c r="N82" i="41" s="1"/>
  <c r="N77" i="41" s="1"/>
  <c r="N89" i="41" s="1"/>
  <c r="N83" i="41"/>
  <c r="N81" i="41"/>
  <c r="N80" i="41"/>
  <c r="N79" i="41"/>
  <c r="N78" i="41" s="1"/>
  <c r="N76" i="41"/>
  <c r="N75" i="41"/>
  <c r="N71" i="41"/>
  <c r="N70" i="41"/>
  <c r="N68" i="41" s="1"/>
  <c r="N69" i="41"/>
  <c r="N65" i="41"/>
  <c r="N64" i="41"/>
  <c r="N63" i="41"/>
  <c r="N62" i="41" s="1"/>
  <c r="N61" i="41"/>
  <c r="N60" i="41"/>
  <c r="N59" i="41"/>
  <c r="N58" i="41"/>
  <c r="N56" i="41" s="1"/>
  <c r="N55" i="41"/>
  <c r="N52" i="41"/>
  <c r="N51" i="41"/>
  <c r="N50" i="41"/>
  <c r="N49" i="41"/>
  <c r="N48" i="41"/>
  <c r="N47" i="41"/>
  <c r="N45" i="41"/>
  <c r="N44" i="41"/>
  <c r="N43" i="41"/>
  <c r="N40" i="41"/>
  <c r="N39" i="41"/>
  <c r="N38" i="41"/>
  <c r="N37" i="41"/>
  <c r="N35" i="41"/>
  <c r="N34" i="41"/>
  <c r="N31" i="41"/>
  <c r="N30" i="41"/>
  <c r="N25" i="41"/>
  <c r="N24" i="41"/>
  <c r="N23" i="41"/>
  <c r="N22" i="41"/>
  <c r="N21" i="41"/>
  <c r="N19" i="41"/>
  <c r="N18" i="41"/>
  <c r="N17" i="41"/>
  <c r="N16" i="41"/>
  <c r="N15" i="41"/>
  <c r="N12" i="41"/>
  <c r="N11" i="41"/>
  <c r="N10" i="41"/>
  <c r="N9" i="41"/>
  <c r="N8" i="41"/>
  <c r="N7" i="41"/>
  <c r="N6" i="41" s="1"/>
  <c r="N5" i="41" s="1"/>
  <c r="J82" i="41"/>
  <c r="J78" i="41"/>
  <c r="J77" i="41" s="1"/>
  <c r="J74" i="41"/>
  <c r="J68" i="41"/>
  <c r="J72" i="41" s="1"/>
  <c r="J62" i="41"/>
  <c r="J56" i="41"/>
  <c r="J41" i="41"/>
  <c r="J20" i="41"/>
  <c r="J6" i="41"/>
  <c r="J5" i="41"/>
  <c r="F82" i="41"/>
  <c r="F78" i="41"/>
  <c r="F77" i="41" s="1"/>
  <c r="F74" i="41"/>
  <c r="F68" i="41"/>
  <c r="F62" i="41"/>
  <c r="F56" i="41"/>
  <c r="F41" i="41"/>
  <c r="F28" i="41"/>
  <c r="F20" i="41"/>
  <c r="F6" i="41"/>
  <c r="F5" i="41" s="1"/>
  <c r="B82" i="41"/>
  <c r="B78" i="41"/>
  <c r="B74" i="41"/>
  <c r="B68" i="41"/>
  <c r="B62" i="41"/>
  <c r="B56" i="41"/>
  <c r="B46" i="41"/>
  <c r="N46" i="41" s="1"/>
  <c r="B36" i="41"/>
  <c r="N36" i="41" s="1"/>
  <c r="B33" i="41"/>
  <c r="B29" i="41"/>
  <c r="N29" i="41" s="1"/>
  <c r="B20" i="41"/>
  <c r="B6" i="41"/>
  <c r="B5" i="41" s="1"/>
  <c r="B37" i="42"/>
  <c r="B30" i="42" s="1"/>
  <c r="B28" i="42" s="1"/>
  <c r="B31" i="42" s="1"/>
  <c r="B36" i="42" s="1"/>
  <c r="B35" i="42"/>
  <c r="B24" i="42"/>
  <c r="B23" i="42" s="1"/>
  <c r="B19" i="42"/>
  <c r="B18" i="42" s="1"/>
  <c r="B15" i="42"/>
  <c r="B9" i="42"/>
  <c r="B11" i="42" s="1"/>
  <c r="E60" i="62"/>
  <c r="E51" i="62"/>
  <c r="E22" i="62"/>
  <c r="E10" i="62"/>
  <c r="G44" i="21"/>
  <c r="D44" i="21"/>
  <c r="N33" i="21"/>
  <c r="I59" i="62"/>
  <c r="I62" i="62" s="1"/>
  <c r="J58" i="62"/>
  <c r="C20" i="21"/>
  <c r="D20" i="21"/>
  <c r="E20" i="21"/>
  <c r="F20" i="21"/>
  <c r="G20" i="21"/>
  <c r="H20" i="21"/>
  <c r="I20" i="21"/>
  <c r="J20" i="21"/>
  <c r="K20" i="21"/>
  <c r="L20" i="21"/>
  <c r="M20" i="21"/>
  <c r="N19" i="21"/>
  <c r="J71" i="62"/>
  <c r="J72" i="62"/>
  <c r="J73" i="62"/>
  <c r="J74" i="62"/>
  <c r="N48" i="21"/>
  <c r="E52" i="62"/>
  <c r="E53" i="62"/>
  <c r="E38" i="62"/>
  <c r="E41" i="62"/>
  <c r="E86" i="62"/>
  <c r="E69" i="62"/>
  <c r="E70" i="62"/>
  <c r="E78" i="62" s="1"/>
  <c r="E80" i="62" s="1"/>
  <c r="J69" i="62"/>
  <c r="J70" i="62"/>
  <c r="J68" i="62"/>
  <c r="J83" i="62"/>
  <c r="J89" i="62" s="1"/>
  <c r="J84" i="62"/>
  <c r="J85" i="62"/>
  <c r="J86" i="62"/>
  <c r="J87" i="62"/>
  <c r="J82" i="62"/>
  <c r="J52" i="62"/>
  <c r="J53" i="62"/>
  <c r="J54" i="62"/>
  <c r="J55" i="62"/>
  <c r="J56" i="62"/>
  <c r="J57" i="62"/>
  <c r="J51" i="62"/>
  <c r="J59" i="62" s="1"/>
  <c r="J62" i="62" s="1"/>
  <c r="J38" i="62"/>
  <c r="J39" i="62"/>
  <c r="J40" i="62"/>
  <c r="J41" i="62"/>
  <c r="J42" i="62"/>
  <c r="J43" i="62"/>
  <c r="J44" i="62"/>
  <c r="J45" i="62"/>
  <c r="J37" i="62"/>
  <c r="E24" i="62"/>
  <c r="E23" i="62"/>
  <c r="E29" i="62"/>
  <c r="E11" i="62"/>
  <c r="E9" i="62"/>
  <c r="J11" i="62"/>
  <c r="J12" i="62"/>
  <c r="J13" i="62"/>
  <c r="J14" i="62"/>
  <c r="J15" i="62"/>
  <c r="J16" i="62"/>
  <c r="J19" i="62"/>
  <c r="J24" i="62"/>
  <c r="J25" i="62"/>
  <c r="J26" i="62"/>
  <c r="J27" i="62"/>
  <c r="J22" i="62"/>
  <c r="J30" i="62"/>
  <c r="I47" i="62"/>
  <c r="I29" i="62"/>
  <c r="I31" i="62" s="1"/>
  <c r="H29" i="62"/>
  <c r="H31" i="62" s="1"/>
  <c r="J10" i="62"/>
  <c r="J8" i="62"/>
  <c r="I89" i="62"/>
  <c r="H89" i="62"/>
  <c r="G89" i="62"/>
  <c r="D86" i="62"/>
  <c r="D89" i="62"/>
  <c r="C86" i="62"/>
  <c r="C89" i="62" s="1"/>
  <c r="B86" i="62"/>
  <c r="B89" i="62" s="1"/>
  <c r="I78" i="62"/>
  <c r="I80" i="62" s="1"/>
  <c r="H78" i="62"/>
  <c r="H80" i="62"/>
  <c r="G78" i="62"/>
  <c r="G80" i="62" s="1"/>
  <c r="D78" i="62"/>
  <c r="D80" i="62" s="1"/>
  <c r="C78" i="62"/>
  <c r="C80" i="62" s="1"/>
  <c r="B78" i="62"/>
  <c r="B80" i="62"/>
  <c r="H59" i="62"/>
  <c r="H62" i="62" s="1"/>
  <c r="G59" i="62"/>
  <c r="G62" i="62" s="1"/>
  <c r="G63" i="62" s="1"/>
  <c r="D59" i="62"/>
  <c r="D62" i="62" s="1"/>
  <c r="C59" i="62"/>
  <c r="C62" i="62"/>
  <c r="C63" i="62" s="1"/>
  <c r="B59" i="62"/>
  <c r="B62" i="62" s="1"/>
  <c r="H47" i="62"/>
  <c r="H49" i="62" s="1"/>
  <c r="G47" i="62"/>
  <c r="G49" i="62" s="1"/>
  <c r="C47" i="62"/>
  <c r="C49" i="62"/>
  <c r="C29" i="62"/>
  <c r="C31" i="62" s="1"/>
  <c r="B29" i="62"/>
  <c r="H18" i="62"/>
  <c r="H20" i="62" s="1"/>
  <c r="C26" i="21"/>
  <c r="D26" i="21"/>
  <c r="E26" i="21"/>
  <c r="F26" i="21"/>
  <c r="F27" i="21" s="1"/>
  <c r="G26" i="21"/>
  <c r="H26" i="21"/>
  <c r="I26" i="21"/>
  <c r="J26" i="21"/>
  <c r="K26" i="21"/>
  <c r="L26" i="21"/>
  <c r="L27" i="21" s="1"/>
  <c r="L32" i="21" s="1"/>
  <c r="M26" i="21"/>
  <c r="I44" i="21"/>
  <c r="R6" i="52"/>
  <c r="AV50" i="44"/>
  <c r="AV45" i="44" s="1"/>
  <c r="AV15" i="44"/>
  <c r="AV12" i="44"/>
  <c r="T72" i="41"/>
  <c r="N21" i="21"/>
  <c r="N17" i="21"/>
  <c r="B39" i="21"/>
  <c r="B45" i="21" s="1"/>
  <c r="B47" i="21" s="1"/>
  <c r="C39" i="21"/>
  <c r="C45" i="21" s="1"/>
  <c r="C47" i="21" s="1"/>
  <c r="D39" i="21"/>
  <c r="D45" i="21" s="1"/>
  <c r="D47" i="21" s="1"/>
  <c r="E39" i="21"/>
  <c r="F39" i="21"/>
  <c r="G39" i="21"/>
  <c r="H39" i="21"/>
  <c r="H44" i="21"/>
  <c r="I39" i="21"/>
  <c r="J39" i="21"/>
  <c r="J44" i="21"/>
  <c r="K39" i="21"/>
  <c r="L39" i="21"/>
  <c r="L44" i="21"/>
  <c r="N10" i="21"/>
  <c r="N11" i="21"/>
  <c r="N12" i="21"/>
  <c r="N13" i="21"/>
  <c r="N14" i="21"/>
  <c r="N15" i="21"/>
  <c r="N16" i="21"/>
  <c r="N22" i="21"/>
  <c r="N23" i="21"/>
  <c r="N26" i="21" s="1"/>
  <c r="N24" i="21"/>
  <c r="N25" i="21"/>
  <c r="N28" i="21"/>
  <c r="N30" i="21"/>
  <c r="N31" i="21"/>
  <c r="N34" i="21"/>
  <c r="N36" i="21"/>
  <c r="N35" i="21"/>
  <c r="N38" i="21"/>
  <c r="M39" i="21"/>
  <c r="M44" i="21"/>
  <c r="N40" i="21"/>
  <c r="N41" i="21"/>
  <c r="N43" i="21"/>
  <c r="N46" i="21"/>
  <c r="AV3" i="52"/>
  <c r="D18" i="62"/>
  <c r="D20" i="62" s="1"/>
  <c r="B71" i="70"/>
  <c r="D29" i="62"/>
  <c r="B35" i="70"/>
  <c r="B29" i="70"/>
  <c r="AJ13" i="52"/>
  <c r="AL13" i="52" s="1"/>
  <c r="AL9" i="52"/>
  <c r="AD9" i="52"/>
  <c r="O13" i="52"/>
  <c r="Q9" i="52"/>
  <c r="G13" i="52"/>
  <c r="I9" i="52"/>
  <c r="AB10" i="45"/>
  <c r="AB17" i="45"/>
  <c r="AD17" i="45" s="1"/>
  <c r="M17" i="45"/>
  <c r="AB12" i="45"/>
  <c r="M8" i="45"/>
  <c r="AX64" i="44"/>
  <c r="AU58" i="44"/>
  <c r="AZ64" i="44" s="1"/>
  <c r="AA12" i="44"/>
  <c r="AR43" i="44"/>
  <c r="AB46" i="44"/>
  <c r="K45" i="44"/>
  <c r="AX68" i="44"/>
  <c r="AX69" i="44" s="1"/>
  <c r="B41" i="41"/>
  <c r="N41" i="41" s="1"/>
  <c r="B32" i="41"/>
  <c r="N33" i="41"/>
  <c r="J89" i="41"/>
  <c r="C45" i="44"/>
  <c r="G83" i="95"/>
  <c r="F73" i="95"/>
  <c r="AB40" i="44"/>
  <c r="H74" i="96"/>
  <c r="I49" i="62"/>
  <c r="H45" i="21"/>
  <c r="H47" i="21" s="1"/>
  <c r="AR16" i="44"/>
  <c r="E37" i="42"/>
  <c r="K96" i="96"/>
  <c r="AN45" i="44"/>
  <c r="AB13" i="45"/>
  <c r="G59" i="95"/>
  <c r="I59" i="95" s="1"/>
  <c r="K59" i="95" s="1"/>
  <c r="M59" i="95" s="1"/>
  <c r="E58" i="95"/>
  <c r="G58" i="95" s="1"/>
  <c r="I58" i="95" s="1"/>
  <c r="K58" i="95" s="1"/>
  <c r="M58" i="95" s="1"/>
  <c r="N117" i="96"/>
  <c r="P117" i="96" s="1"/>
  <c r="K27" i="21"/>
  <c r="K32" i="21" s="1"/>
  <c r="G27" i="21"/>
  <c r="G32" i="21" s="1"/>
  <c r="C27" i="21"/>
  <c r="C32" i="21" s="1"/>
  <c r="C96" i="49"/>
  <c r="E96" i="49" s="1"/>
  <c r="G41" i="95"/>
  <c r="I41" i="95" s="1"/>
  <c r="K41" i="95" s="1"/>
  <c r="M41" i="95" s="1"/>
  <c r="H33" i="96"/>
  <c r="K114" i="96"/>
  <c r="C20" i="62"/>
  <c r="N119" i="96"/>
  <c r="P119" i="96" s="1"/>
  <c r="K88" i="96"/>
  <c r="N88" i="96" s="1"/>
  <c r="P88" i="96" s="1"/>
  <c r="R88" i="96" s="1"/>
  <c r="K4" i="96"/>
  <c r="N4" i="96" s="1"/>
  <c r="P4" i="96" s="1"/>
  <c r="O62" i="41"/>
  <c r="Q62" i="41" s="1"/>
  <c r="F60" i="50"/>
  <c r="AZ67" i="44"/>
  <c r="I27" i="21"/>
  <c r="I32" i="21" s="1"/>
  <c r="E45" i="21"/>
  <c r="E47" i="21" s="1"/>
  <c r="G33" i="96"/>
  <c r="G93" i="96"/>
  <c r="H59" i="96"/>
  <c r="G46" i="96"/>
  <c r="AW64" i="44"/>
  <c r="AF13" i="52"/>
  <c r="AH13" i="52" s="1"/>
  <c r="O68" i="41"/>
  <c r="AS13" i="44"/>
  <c r="AB12" i="44"/>
  <c r="R9" i="52"/>
  <c r="R13" i="52"/>
  <c r="R15" i="52" s="1"/>
  <c r="R17" i="52" s="1"/>
  <c r="S6" i="52"/>
  <c r="S9" i="52" s="1"/>
  <c r="S13" i="52" s="1"/>
  <c r="S15" i="52" s="1"/>
  <c r="S17" i="52" s="1"/>
  <c r="AS26" i="44"/>
  <c r="AU26" i="44" s="1"/>
  <c r="G29" i="62"/>
  <c r="G31" i="62" s="1"/>
  <c r="J23" i="62"/>
  <c r="J29" i="62" s="1"/>
  <c r="J31" i="62" s="1"/>
  <c r="K27" i="96"/>
  <c r="N27" i="96" s="1"/>
  <c r="P27" i="96" s="1"/>
  <c r="AZ66" i="44"/>
  <c r="X13" i="52"/>
  <c r="X15" i="52" s="1"/>
  <c r="E37" i="62"/>
  <c r="B47" i="62"/>
  <c r="B49" i="62" s="1"/>
  <c r="AS24" i="44"/>
  <c r="AU24" i="44" s="1"/>
  <c r="BA50" i="44"/>
  <c r="J44" i="95"/>
  <c r="J89" i="95" s="1"/>
  <c r="I81" i="96"/>
  <c r="K81" i="96" s="1"/>
  <c r="N81" i="96" s="1"/>
  <c r="P81" i="96" s="1"/>
  <c r="I74" i="96"/>
  <c r="K74" i="96" s="1"/>
  <c r="N74" i="96" s="1"/>
  <c r="P74" i="96" s="1"/>
  <c r="I54" i="96"/>
  <c r="K54" i="96"/>
  <c r="N54" i="96" s="1"/>
  <c r="P54" i="96" s="1"/>
  <c r="E54" i="96"/>
  <c r="G59" i="96"/>
  <c r="J130" i="96"/>
  <c r="O56" i="41"/>
  <c r="Q56" i="41" s="1"/>
  <c r="O82" i="41"/>
  <c r="Q82" i="41" s="1"/>
  <c r="N44" i="44"/>
  <c r="E8" i="62"/>
  <c r="E18" i="62" s="1"/>
  <c r="E20" i="62" s="1"/>
  <c r="B18" i="62"/>
  <c r="B20" i="62" s="1"/>
  <c r="B31" i="62"/>
  <c r="N74" i="41"/>
  <c r="N73" i="41" s="1"/>
  <c r="N20" i="41"/>
  <c r="W44" i="44"/>
  <c r="D47" i="62"/>
  <c r="D49" i="62" s="1"/>
  <c r="E59" i="62"/>
  <c r="E62" i="62" s="1"/>
  <c r="AW68" i="44"/>
  <c r="AW69" i="44" s="1"/>
  <c r="AA9" i="52"/>
  <c r="AA13" i="52" s="1"/>
  <c r="AA15" i="52"/>
  <c r="AA17" i="52" s="1"/>
  <c r="B53" i="40"/>
  <c r="B142" i="70"/>
  <c r="B143" i="70" s="1"/>
  <c r="B141" i="70"/>
  <c r="N42" i="21"/>
  <c r="E19" i="62"/>
  <c r="O74" i="41"/>
  <c r="K13" i="52"/>
  <c r="C27" i="40"/>
  <c r="E27" i="40" s="1"/>
  <c r="C176" i="50"/>
  <c r="E176" i="50" s="1"/>
  <c r="K72" i="41"/>
  <c r="C77" i="41"/>
  <c r="E77" i="41" s="1"/>
  <c r="G77" i="41"/>
  <c r="I77" i="41" s="1"/>
  <c r="I74" i="95"/>
  <c r="I73" i="95" s="1"/>
  <c r="G73" i="95"/>
  <c r="I64" i="95"/>
  <c r="K64" i="95"/>
  <c r="M64" i="95" s="1"/>
  <c r="G62" i="95"/>
  <c r="G8" i="95"/>
  <c r="I8" i="95" s="1"/>
  <c r="E7" i="95"/>
  <c r="E6" i="95"/>
  <c r="E5" i="95" s="1"/>
  <c r="F44" i="95"/>
  <c r="F89" i="95" s="1"/>
  <c r="G25" i="95"/>
  <c r="I26" i="95"/>
  <c r="K26" i="95" s="1"/>
  <c r="M26" i="95" s="1"/>
  <c r="I97" i="96"/>
  <c r="K97" i="96" s="1"/>
  <c r="E54" i="95"/>
  <c r="G54" i="95" s="1"/>
  <c r="I54" i="95" s="1"/>
  <c r="K54" i="95" s="1"/>
  <c r="M54" i="95" s="1"/>
  <c r="K91" i="96"/>
  <c r="N91" i="96" s="1"/>
  <c r="P91" i="96" s="1"/>
  <c r="K80" i="96"/>
  <c r="N80" i="96" s="1"/>
  <c r="P80" i="96" s="1"/>
  <c r="I49" i="95"/>
  <c r="K49" i="95" s="1"/>
  <c r="M49" i="95" s="1"/>
  <c r="I45" i="96"/>
  <c r="K45" i="96"/>
  <c r="N45" i="96" s="1"/>
  <c r="P45" i="96" s="1"/>
  <c r="H46" i="96"/>
  <c r="K31" i="95"/>
  <c r="M31" i="95" s="1"/>
  <c r="G98" i="96"/>
  <c r="I92" i="96"/>
  <c r="H93" i="96"/>
  <c r="K35" i="96"/>
  <c r="N35" i="96" s="1"/>
  <c r="P35" i="96" s="1"/>
  <c r="K6" i="96"/>
  <c r="N6" i="96" s="1"/>
  <c r="P6" i="96" s="1"/>
  <c r="I18" i="96"/>
  <c r="K18" i="96" s="1"/>
  <c r="N18" i="96" s="1"/>
  <c r="P18" i="96" s="1"/>
  <c r="K107" i="96"/>
  <c r="N107" i="96"/>
  <c r="P107" i="96" s="1"/>
  <c r="I105" i="96"/>
  <c r="K105" i="96" s="1"/>
  <c r="K95" i="96"/>
  <c r="N95" i="96" s="1"/>
  <c r="P95" i="96" s="1"/>
  <c r="I64" i="96"/>
  <c r="H65" i="96"/>
  <c r="D52" i="87"/>
  <c r="F52" i="87" s="1"/>
  <c r="C13" i="52"/>
  <c r="E13" i="52" s="1"/>
  <c r="AW9" i="52"/>
  <c r="G18" i="45"/>
  <c r="G44" i="44"/>
  <c r="AB50" i="44"/>
  <c r="AS47" i="44"/>
  <c r="AU47" i="44" s="1"/>
  <c r="AB16" i="45"/>
  <c r="AD16" i="45" s="1"/>
  <c r="AK45" i="44"/>
  <c r="AJ15" i="52"/>
  <c r="AB15" i="52"/>
  <c r="AB17" i="52" s="1"/>
  <c r="AD17" i="52" s="1"/>
  <c r="AD13" i="52"/>
  <c r="O15" i="52"/>
  <c r="Q15" i="52" s="1"/>
  <c r="Q13" i="52"/>
  <c r="G15" i="52"/>
  <c r="I15" i="52" s="1"/>
  <c r="I13" i="52"/>
  <c r="BB44" i="44"/>
  <c r="AS12" i="44"/>
  <c r="BB21" i="44"/>
  <c r="J73" i="41"/>
  <c r="B22" i="45"/>
  <c r="N63" i="96"/>
  <c r="P63" i="96" s="1"/>
  <c r="E48" i="95"/>
  <c r="E44" i="95" s="1"/>
  <c r="N96" i="96"/>
  <c r="P96" i="96" s="1"/>
  <c r="I62" i="95"/>
  <c r="K62" i="95"/>
  <c r="M62" i="95" s="1"/>
  <c r="N114" i="96"/>
  <c r="P114" i="96" s="1"/>
  <c r="I59" i="96"/>
  <c r="K59" i="96" s="1"/>
  <c r="N59" i="96" s="1"/>
  <c r="P59" i="96" s="1"/>
  <c r="N105" i="96"/>
  <c r="P105" i="96" s="1"/>
  <c r="I124" i="96"/>
  <c r="K124" i="96" s="1"/>
  <c r="N124" i="96" s="1"/>
  <c r="C89" i="41"/>
  <c r="E89" i="41" s="1"/>
  <c r="C73" i="41"/>
  <c r="E73" i="41" s="1"/>
  <c r="K64" i="96"/>
  <c r="N64" i="96" s="1"/>
  <c r="P64" i="96" s="1"/>
  <c r="I65" i="96"/>
  <c r="K65" i="96"/>
  <c r="N65" i="96" s="1"/>
  <c r="P65" i="96" s="1"/>
  <c r="G7" i="95"/>
  <c r="C31" i="40"/>
  <c r="E31" i="40" s="1"/>
  <c r="T6" i="52"/>
  <c r="K73" i="95"/>
  <c r="M73" i="95" s="1"/>
  <c r="I98" i="96"/>
  <c r="K98" i="96" s="1"/>
  <c r="N98" i="96" s="1"/>
  <c r="P98" i="96" s="1"/>
  <c r="I25" i="95"/>
  <c r="K25" i="95" s="1"/>
  <c r="M25" i="95" s="1"/>
  <c r="G73" i="41"/>
  <c r="I73" i="41" s="1"/>
  <c r="AW13" i="52"/>
  <c r="C15" i="52"/>
  <c r="E15" i="52" s="1"/>
  <c r="AD15" i="52"/>
  <c r="O17" i="52"/>
  <c r="Q17" i="52" s="1"/>
  <c r="C17" i="52"/>
  <c r="E17" i="52" s="1"/>
  <c r="N97" i="96"/>
  <c r="P97" i="96" s="1"/>
  <c r="K8" i="95" l="1"/>
  <c r="M8" i="95" s="1"/>
  <c r="I7" i="95"/>
  <c r="K7" i="95" s="1"/>
  <c r="M7" i="95" s="1"/>
  <c r="G90" i="62"/>
  <c r="F73" i="41"/>
  <c r="F89" i="41"/>
  <c r="E89" i="95"/>
  <c r="G90" i="95" s="1"/>
  <c r="AL15" i="52"/>
  <c r="AJ17" i="52"/>
  <c r="AL17" i="52" s="1"/>
  <c r="J90" i="41"/>
  <c r="J78" i="62"/>
  <c r="J80" i="62" s="1"/>
  <c r="H27" i="21"/>
  <c r="H32" i="21" s="1"/>
  <c r="B44" i="44"/>
  <c r="AD37" i="44"/>
  <c r="AS37" i="44"/>
  <c r="AU37" i="44" s="1"/>
  <c r="AD52" i="44"/>
  <c r="AS52" i="44"/>
  <c r="AU52" i="44" s="1"/>
  <c r="AD56" i="44"/>
  <c r="AS56" i="44"/>
  <c r="AU56" i="44" s="1"/>
  <c r="E21" i="97"/>
  <c r="C58" i="97"/>
  <c r="B51" i="97"/>
  <c r="B45" i="97"/>
  <c r="B57" i="97"/>
  <c r="M62" i="41"/>
  <c r="D5" i="41"/>
  <c r="C7" i="98" s="1"/>
  <c r="D24" i="45"/>
  <c r="D45" i="44"/>
  <c r="U8" i="45"/>
  <c r="H44" i="44"/>
  <c r="L9" i="45"/>
  <c r="I9" i="45"/>
  <c r="U10" i="45"/>
  <c r="V10" i="45" s="1"/>
  <c r="M46" i="44"/>
  <c r="P44" i="44"/>
  <c r="Q11" i="45" s="1"/>
  <c r="R11" i="45" s="1"/>
  <c r="L43" i="41"/>
  <c r="AT21" i="44"/>
  <c r="AC40" i="44"/>
  <c r="AT41" i="44"/>
  <c r="AT40" i="44" s="1"/>
  <c r="AU40" i="44" s="1"/>
  <c r="L75" i="41"/>
  <c r="AT46" i="44"/>
  <c r="F51" i="98"/>
  <c r="F39" i="98"/>
  <c r="AZ68" i="44"/>
  <c r="AZ69" i="44" s="1"/>
  <c r="AW15" i="52"/>
  <c r="G89" i="41"/>
  <c r="I89" i="41" s="1"/>
  <c r="AF15" i="52"/>
  <c r="N20" i="21"/>
  <c r="B63" i="62"/>
  <c r="H63" i="62"/>
  <c r="M27" i="21"/>
  <c r="M32" i="21" s="1"/>
  <c r="E27" i="21"/>
  <c r="E32" i="21" s="1"/>
  <c r="B16" i="42"/>
  <c r="B77" i="41"/>
  <c r="AA40" i="44"/>
  <c r="AR41" i="44"/>
  <c r="AR40" i="44" s="1"/>
  <c r="AV40" i="44" s="1"/>
  <c r="AE45" i="44"/>
  <c r="AV9" i="52"/>
  <c r="AV13" i="52" s="1"/>
  <c r="AV15" i="52" s="1"/>
  <c r="AV17" i="52" s="1"/>
  <c r="E89" i="62"/>
  <c r="AD48" i="44"/>
  <c r="AS48" i="44"/>
  <c r="AU48" i="44" s="1"/>
  <c r="F37" i="42"/>
  <c r="G70" i="95"/>
  <c r="H18" i="96"/>
  <c r="E46" i="41"/>
  <c r="C41" i="41"/>
  <c r="C52" i="97"/>
  <c r="B52" i="97"/>
  <c r="B54" i="97"/>
  <c r="G45" i="97"/>
  <c r="C51" i="97"/>
  <c r="AC11" i="45"/>
  <c r="AT43" i="44"/>
  <c r="AC42" i="44"/>
  <c r="AT51" i="44"/>
  <c r="AT50" i="44" s="1"/>
  <c r="AC50" i="44"/>
  <c r="AD50" i="44" s="1"/>
  <c r="S44" i="44"/>
  <c r="S45" i="44"/>
  <c r="W45" i="44"/>
  <c r="W53" i="44" s="1"/>
  <c r="AR15" i="44"/>
  <c r="AJ44" i="44"/>
  <c r="AW44" i="44"/>
  <c r="B12" i="49"/>
  <c r="B96" i="49" s="1"/>
  <c r="B108" i="50"/>
  <c r="B109" i="50" s="1"/>
  <c r="B129" i="50"/>
  <c r="B176" i="50" s="1"/>
  <c r="O31" i="21"/>
  <c r="E30" i="62"/>
  <c r="E31" i="62" s="1"/>
  <c r="AK44" i="44"/>
  <c r="AM44" i="44" s="1"/>
  <c r="AD33" i="44"/>
  <c r="AD38" i="44"/>
  <c r="AD49" i="44"/>
  <c r="E12" i="44"/>
  <c r="E21" i="44"/>
  <c r="Q40" i="44"/>
  <c r="Q21" i="44"/>
  <c r="AX45" i="44"/>
  <c r="M9" i="45"/>
  <c r="K14" i="45"/>
  <c r="Q45" i="41"/>
  <c r="Q49" i="41"/>
  <c r="Q51" i="41"/>
  <c r="Q55" i="41"/>
  <c r="Q92" i="41"/>
  <c r="I83" i="95"/>
  <c r="K83" i="95" s="1"/>
  <c r="M83" i="95" s="1"/>
  <c r="H44" i="95"/>
  <c r="H89" i="95" s="1"/>
  <c r="H91" i="95" s="1"/>
  <c r="E59" i="44"/>
  <c r="AD47" i="44"/>
  <c r="G11" i="97"/>
  <c r="C57" i="98"/>
  <c r="G45" i="98"/>
  <c r="E69" i="41"/>
  <c r="P69" i="41"/>
  <c r="P68" i="41" s="1"/>
  <c r="D68" i="41"/>
  <c r="E142" i="70"/>
  <c r="R80" i="96"/>
  <c r="Y45" i="44"/>
  <c r="U13" i="45"/>
  <c r="V13" i="45" s="1"/>
  <c r="L44" i="44"/>
  <c r="Q10" i="45" s="1"/>
  <c r="R10" i="45" s="1"/>
  <c r="U45" i="44"/>
  <c r="H12" i="45"/>
  <c r="AC12" i="44"/>
  <c r="AT13" i="44"/>
  <c r="AT34" i="44"/>
  <c r="L74" i="41"/>
  <c r="M74" i="41" s="1"/>
  <c r="B41" i="98"/>
  <c r="P76" i="41"/>
  <c r="D41" i="97" s="1"/>
  <c r="AC59" i="44"/>
  <c r="AT59" i="44" s="1"/>
  <c r="L91" i="41" s="1"/>
  <c r="AX9" i="52"/>
  <c r="AX13" i="52" s="1"/>
  <c r="AY13" i="52" s="1"/>
  <c r="I51" i="97"/>
  <c r="I45" i="97"/>
  <c r="B27" i="40"/>
  <c r="B31" i="40" s="1"/>
  <c r="B115" i="40"/>
  <c r="E47" i="62"/>
  <c r="E49" i="62" s="1"/>
  <c r="E63" i="62" s="1"/>
  <c r="D31" i="62"/>
  <c r="D90" i="62" s="1"/>
  <c r="C32" i="62"/>
  <c r="G32" i="62"/>
  <c r="H32" i="62"/>
  <c r="N44" i="21"/>
  <c r="D21" i="98"/>
  <c r="D58" i="98" s="1"/>
  <c r="AU16" i="52"/>
  <c r="G16" i="98"/>
  <c r="H16" i="98" s="1"/>
  <c r="AX16" i="52"/>
  <c r="G17" i="98"/>
  <c r="G25" i="98" s="1"/>
  <c r="G45" i="21"/>
  <c r="G47" i="21" s="1"/>
  <c r="F45" i="21"/>
  <c r="F47" i="21" s="1"/>
  <c r="J45" i="21"/>
  <c r="J47" i="21" s="1"/>
  <c r="M45" i="21"/>
  <c r="M47" i="21" s="1"/>
  <c r="N39" i="21"/>
  <c r="N45" i="21" s="1"/>
  <c r="H19" i="98"/>
  <c r="H55" i="98" s="1"/>
  <c r="H54" i="98" s="1"/>
  <c r="H11" i="98"/>
  <c r="H17" i="98" s="1"/>
  <c r="H50" i="98" s="1"/>
  <c r="H52" i="98" s="1"/>
  <c r="G50" i="98"/>
  <c r="G52" i="98" s="1"/>
  <c r="I17" i="98"/>
  <c r="AT17" i="52"/>
  <c r="I16" i="97" s="1"/>
  <c r="I17" i="62" s="1"/>
  <c r="E141" i="70"/>
  <c r="E143" i="70" s="1"/>
  <c r="D21" i="45"/>
  <c r="D22" i="45" s="1"/>
  <c r="M11" i="45"/>
  <c r="AD11" i="45"/>
  <c r="AC10" i="45"/>
  <c r="AD10" i="45" s="1"/>
  <c r="L45" i="21"/>
  <c r="L47" i="21" s="1"/>
  <c r="K45" i="21"/>
  <c r="K47" i="21" s="1"/>
  <c r="D27" i="21"/>
  <c r="D32" i="21" s="1"/>
  <c r="AY8" i="52"/>
  <c r="E14" i="45"/>
  <c r="C18" i="45"/>
  <c r="AB9" i="45"/>
  <c r="AB19" i="45"/>
  <c r="AD19" i="45" s="1"/>
  <c r="P18" i="45"/>
  <c r="P20" i="45" s="1"/>
  <c r="AC46" i="44"/>
  <c r="AC45" i="44" s="1"/>
  <c r="AZ45" i="44"/>
  <c r="B53" i="44"/>
  <c r="AX44" i="44"/>
  <c r="AZ44" i="44" s="1"/>
  <c r="F45" i="44"/>
  <c r="AV21" i="44"/>
  <c r="AD28" i="44"/>
  <c r="AD39" i="44"/>
  <c r="E42" i="44"/>
  <c r="Y53" i="44"/>
  <c r="U44" i="44"/>
  <c r="AS46" i="44"/>
  <c r="AU46" i="44" s="1"/>
  <c r="AS23" i="44"/>
  <c r="AU23" i="44" s="1"/>
  <c r="AS33" i="44"/>
  <c r="AU33" i="44" s="1"/>
  <c r="AS28" i="44"/>
  <c r="AU28" i="44" s="1"/>
  <c r="AR42" i="44"/>
  <c r="AJ45" i="44"/>
  <c r="AJ53" i="44" s="1"/>
  <c r="AN44" i="44"/>
  <c r="AN53" i="44" s="1"/>
  <c r="AW45" i="44"/>
  <c r="AW53" i="44" s="1"/>
  <c r="E46" i="44"/>
  <c r="I21" i="44"/>
  <c r="M42" i="44"/>
  <c r="AS57" i="44"/>
  <c r="Q12" i="44"/>
  <c r="AB45" i="44"/>
  <c r="AS50" i="44"/>
  <c r="AU50" i="44" s="1"/>
  <c r="AB21" i="44"/>
  <c r="BA21" i="44"/>
  <c r="T45" i="44"/>
  <c r="V45" i="44" s="1"/>
  <c r="AU41" i="44"/>
  <c r="J45" i="44"/>
  <c r="AD26" i="44"/>
  <c r="AS30" i="44"/>
  <c r="AU30" i="44" s="1"/>
  <c r="AD35" i="44"/>
  <c r="AD41" i="44"/>
  <c r="AB59" i="44"/>
  <c r="E50" i="44"/>
  <c r="I34" i="44"/>
  <c r="M21" i="44"/>
  <c r="Q34" i="44"/>
  <c r="M50" i="44"/>
  <c r="V50" i="44"/>
  <c r="AD24" i="44"/>
  <c r="D44" i="44"/>
  <c r="Q8" i="45" s="1"/>
  <c r="AC21" i="44"/>
  <c r="C44" i="44"/>
  <c r="E44" i="44" s="1"/>
  <c r="AA34" i="44"/>
  <c r="F44" i="44"/>
  <c r="AR34" i="44"/>
  <c r="I15" i="44"/>
  <c r="AD40" i="44"/>
  <c r="AC34" i="44"/>
  <c r="AD12" i="44"/>
  <c r="P45" i="44"/>
  <c r="P53" i="44" s="1"/>
  <c r="L45" i="44"/>
  <c r="L53" i="44" s="1"/>
  <c r="H45" i="44"/>
  <c r="H53" i="44" s="1"/>
  <c r="D53" i="44"/>
  <c r="M45" i="44"/>
  <c r="Z34" i="44"/>
  <c r="X44" i="44"/>
  <c r="Z44" i="44" s="1"/>
  <c r="B32" i="62"/>
  <c r="B90" i="62"/>
  <c r="B91" i="62" s="1"/>
  <c r="E45" i="44"/>
  <c r="C52" i="87"/>
  <c r="C77" i="87"/>
  <c r="B140" i="70"/>
  <c r="B177" i="50"/>
  <c r="B188" i="50" s="1"/>
  <c r="F74" i="87"/>
  <c r="D77" i="87"/>
  <c r="F77" i="87" s="1"/>
  <c r="AQ42" i="44"/>
  <c r="AO44" i="44"/>
  <c r="AQ44" i="44" s="1"/>
  <c r="AS15" i="44"/>
  <c r="AU15" i="44" s="1"/>
  <c r="AQ15" i="44"/>
  <c r="AQ9" i="52"/>
  <c r="AO13" i="52"/>
  <c r="AH50" i="44"/>
  <c r="AF45" i="44"/>
  <c r="AH42" i="44"/>
  <c r="AF44" i="44"/>
  <c r="AH44" i="44" s="1"/>
  <c r="AD27" i="44"/>
  <c r="AS27" i="44"/>
  <c r="AU27" i="44" s="1"/>
  <c r="AD36" i="44"/>
  <c r="AB34" i="44"/>
  <c r="AS36" i="44"/>
  <c r="I84" i="96"/>
  <c r="K84" i="96" s="1"/>
  <c r="N84" i="96" s="1"/>
  <c r="P84" i="96" s="1"/>
  <c r="G83" i="96"/>
  <c r="AM45" i="44"/>
  <c r="AK53" i="44"/>
  <c r="AM53" i="44" s="1"/>
  <c r="Q15" i="44"/>
  <c r="O44" i="44"/>
  <c r="Q44" i="44" s="1"/>
  <c r="M15" i="45"/>
  <c r="AB15" i="45"/>
  <c r="AD15" i="45" s="1"/>
  <c r="K18" i="45"/>
  <c r="G20" i="45"/>
  <c r="AV34" i="44"/>
  <c r="AR48" i="44"/>
  <c r="AR46" i="44" s="1"/>
  <c r="AA46" i="44"/>
  <c r="AV56" i="44"/>
  <c r="J13" i="45"/>
  <c r="AA13" i="45" s="1"/>
  <c r="AA14" i="45" s="1"/>
  <c r="AA18" i="45" s="1"/>
  <c r="AA20" i="45" s="1"/>
  <c r="AA22" i="45" s="1"/>
  <c r="F14" i="45"/>
  <c r="I50" i="95"/>
  <c r="G48" i="95"/>
  <c r="G44" i="95" s="1"/>
  <c r="I39" i="95"/>
  <c r="G30" i="95"/>
  <c r="I50" i="44"/>
  <c r="G45" i="44"/>
  <c r="Z50" i="44"/>
  <c r="X45" i="44"/>
  <c r="U6" i="52"/>
  <c r="U9" i="52" s="1"/>
  <c r="U13" i="52" s="1"/>
  <c r="U15" i="52" s="1"/>
  <c r="U17" i="52" s="1"/>
  <c r="T9" i="52"/>
  <c r="T13" i="52" s="1"/>
  <c r="T15" i="52" s="1"/>
  <c r="T17" i="52" s="1"/>
  <c r="K92" i="96"/>
  <c r="N92" i="96" s="1"/>
  <c r="P92" i="96" s="1"/>
  <c r="I93" i="96"/>
  <c r="K93" i="96" s="1"/>
  <c r="N93" i="96" s="1"/>
  <c r="P93" i="96" s="1"/>
  <c r="K15" i="52"/>
  <c r="M13" i="52"/>
  <c r="N27" i="21"/>
  <c r="C90" i="62"/>
  <c r="I63" i="62"/>
  <c r="F53" i="44"/>
  <c r="J44" i="44"/>
  <c r="AW17" i="52"/>
  <c r="K74" i="95"/>
  <c r="M74" i="95" s="1"/>
  <c r="T44" i="44"/>
  <c r="X17" i="52"/>
  <c r="Z17" i="52" s="1"/>
  <c r="Z15" i="52"/>
  <c r="AA21" i="44"/>
  <c r="S53" i="44"/>
  <c r="F32" i="21"/>
  <c r="D63" i="62"/>
  <c r="I5" i="41"/>
  <c r="G72" i="41"/>
  <c r="Z13" i="52"/>
  <c r="F72" i="41"/>
  <c r="F90" i="41" s="1"/>
  <c r="AE44" i="44"/>
  <c r="AE53" i="44" s="1"/>
  <c r="AV42" i="44"/>
  <c r="AD43" i="44"/>
  <c r="AS43" i="44"/>
  <c r="AU43" i="44" s="1"/>
  <c r="AB42" i="44"/>
  <c r="B32" i="21"/>
  <c r="B49" i="21"/>
  <c r="C6" i="21" s="1"/>
  <c r="C49" i="21" s="1"/>
  <c r="D6" i="21" s="1"/>
  <c r="D49" i="21" s="1"/>
  <c r="E6" i="21" s="1"/>
  <c r="E49" i="21" s="1"/>
  <c r="F6" i="21" s="1"/>
  <c r="M78" i="41"/>
  <c r="K77" i="41"/>
  <c r="Q80" i="41"/>
  <c r="O78" i="41"/>
  <c r="G20" i="95"/>
  <c r="E19" i="95"/>
  <c r="I41" i="96"/>
  <c r="E41" i="96"/>
  <c r="B28" i="41"/>
  <c r="N28" i="41" s="1"/>
  <c r="N72" i="41" s="1"/>
  <c r="N90" i="41" s="1"/>
  <c r="N32" i="41"/>
  <c r="AA52" i="44"/>
  <c r="N50" i="44"/>
  <c r="N45" i="44" s="1"/>
  <c r="N53" i="44" s="1"/>
  <c r="AA59" i="44"/>
  <c r="AR59" i="44" s="1"/>
  <c r="AR57" i="44"/>
  <c r="AV57" i="44" s="1"/>
  <c r="AA21" i="45"/>
  <c r="AO45" i="44"/>
  <c r="AQ50" i="44"/>
  <c r="AD25" i="44"/>
  <c r="AS25" i="44"/>
  <c r="AD29" i="44"/>
  <c r="AS29" i="44"/>
  <c r="AU29" i="44" s="1"/>
  <c r="T18" i="45"/>
  <c r="K20" i="96"/>
  <c r="N20" i="96" s="1"/>
  <c r="P20" i="96" s="1"/>
  <c r="I33" i="96"/>
  <c r="G17" i="52"/>
  <c r="I17" i="52" s="1"/>
  <c r="AR21" i="44"/>
  <c r="BA44" i="44" s="1"/>
  <c r="I45" i="21"/>
  <c r="I47" i="21" s="1"/>
  <c r="H90" i="62"/>
  <c r="J47" i="62"/>
  <c r="J49" i="62" s="1"/>
  <c r="J63" i="62" s="1"/>
  <c r="J27" i="21"/>
  <c r="J32" i="21" s="1"/>
  <c r="K44" i="44"/>
  <c r="M44" i="44" s="1"/>
  <c r="M40" i="44"/>
  <c r="Q46" i="44"/>
  <c r="O45" i="44"/>
  <c r="E44" i="40"/>
  <c r="C115" i="40"/>
  <c r="Q23" i="41"/>
  <c r="O20" i="41"/>
  <c r="Q20" i="41" s="1"/>
  <c r="Q8" i="41"/>
  <c r="O6" i="41"/>
  <c r="H101" i="96"/>
  <c r="I101" i="96" s="1"/>
  <c r="K101" i="96" s="1"/>
  <c r="N101" i="96" s="1"/>
  <c r="P101" i="96" s="1"/>
  <c r="I100" i="96"/>
  <c r="K100" i="96" s="1"/>
  <c r="N100" i="96" s="1"/>
  <c r="P100" i="96" s="1"/>
  <c r="R72" i="96"/>
  <c r="R75" i="96"/>
  <c r="C55" i="97"/>
  <c r="C25" i="97"/>
  <c r="E58" i="97"/>
  <c r="C57" i="97"/>
  <c r="E57" i="97" s="1"/>
  <c r="E128" i="70"/>
  <c r="C140" i="70"/>
  <c r="E140" i="70" s="1"/>
  <c r="AS38" i="44"/>
  <c r="AU38" i="44" s="1"/>
  <c r="AS49" i="44"/>
  <c r="F25" i="98"/>
  <c r="F50" i="98"/>
  <c r="F52" i="98" s="1"/>
  <c r="X18" i="45"/>
  <c r="AS13" i="52"/>
  <c r="C32" i="41"/>
  <c r="J38" i="97"/>
  <c r="H39" i="97"/>
  <c r="H51" i="97"/>
  <c r="J51" i="97" s="1"/>
  <c r="H45" i="97"/>
  <c r="J45" i="97" s="1"/>
  <c r="B60" i="97"/>
  <c r="G17" i="97"/>
  <c r="G25" i="97" s="1"/>
  <c r="E100" i="50"/>
  <c r="C108" i="50"/>
  <c r="D57" i="98"/>
  <c r="J11" i="97"/>
  <c r="H17" i="97"/>
  <c r="H25" i="97" s="1"/>
  <c r="G54" i="98"/>
  <c r="C5" i="41"/>
  <c r="E5" i="41" s="1"/>
  <c r="E6" i="41"/>
  <c r="B25" i="97"/>
  <c r="G55" i="97"/>
  <c r="G54" i="97" s="1"/>
  <c r="C45" i="97"/>
  <c r="H55" i="97"/>
  <c r="F55" i="98"/>
  <c r="F54" i="98" s="1"/>
  <c r="B51" i="98"/>
  <c r="R76" i="96"/>
  <c r="L89" i="95"/>
  <c r="O130" i="96"/>
  <c r="P124" i="96"/>
  <c r="E32" i="62" l="1"/>
  <c r="E90" i="62"/>
  <c r="AA44" i="44"/>
  <c r="AD21" i="44"/>
  <c r="U53" i="44"/>
  <c r="Q12" i="45"/>
  <c r="R12" i="45" s="1"/>
  <c r="AY9" i="52"/>
  <c r="AB14" i="45"/>
  <c r="J53" i="44"/>
  <c r="B72" i="41"/>
  <c r="R8" i="45"/>
  <c r="AD45" i="44"/>
  <c r="J17" i="62"/>
  <c r="J18" i="62" s="1"/>
  <c r="J20" i="62" s="1"/>
  <c r="J32" i="62" s="1"/>
  <c r="I18" i="62"/>
  <c r="P91" i="41"/>
  <c r="Q91" i="41" s="1"/>
  <c r="M91" i="41"/>
  <c r="D41" i="98"/>
  <c r="D40" i="98" s="1"/>
  <c r="D56" i="98" s="1"/>
  <c r="B40" i="98"/>
  <c r="D32" i="97"/>
  <c r="D10" i="42"/>
  <c r="E10" i="42" s="1"/>
  <c r="G69" i="95"/>
  <c r="I70" i="95"/>
  <c r="Q76" i="41"/>
  <c r="AT45" i="44"/>
  <c r="O18" i="21"/>
  <c r="U14" i="45"/>
  <c r="V8" i="45"/>
  <c r="AC13" i="45"/>
  <c r="AD13" i="45" s="1"/>
  <c r="O8" i="21"/>
  <c r="C17" i="98"/>
  <c r="O37" i="21"/>
  <c r="AX15" i="52"/>
  <c r="D21" i="42"/>
  <c r="D40" i="97"/>
  <c r="E41" i="97"/>
  <c r="L73" i="41"/>
  <c r="P74" i="41"/>
  <c r="L89" i="41"/>
  <c r="AT12" i="44"/>
  <c r="L18" i="41"/>
  <c r="I12" i="45"/>
  <c r="L12" i="45"/>
  <c r="D72" i="41"/>
  <c r="C32" i="98"/>
  <c r="Q69" i="41"/>
  <c r="AX53" i="44"/>
  <c r="AT42" i="44"/>
  <c r="AT44" i="44" s="1"/>
  <c r="AC44" i="44"/>
  <c r="AC53" i="44" s="1"/>
  <c r="E41" i="41"/>
  <c r="O41" i="41"/>
  <c r="E68" i="41"/>
  <c r="AU51" i="44"/>
  <c r="B73" i="41"/>
  <c r="B89" i="41"/>
  <c r="AU13" i="44"/>
  <c r="AF17" i="52"/>
  <c r="AH17" i="52" s="1"/>
  <c r="AH15" i="52"/>
  <c r="AY15" i="52"/>
  <c r="Q68" i="41"/>
  <c r="H14" i="45"/>
  <c r="B20" i="98"/>
  <c r="P75" i="41"/>
  <c r="M75" i="41"/>
  <c r="L41" i="41"/>
  <c r="P43" i="41"/>
  <c r="Q43" i="41" s="1"/>
  <c r="M43" i="41"/>
  <c r="I44" i="44"/>
  <c r="Q9" i="45"/>
  <c r="R9" i="45" s="1"/>
  <c r="AC8" i="45"/>
  <c r="AD8" i="45" s="1"/>
  <c r="D32" i="62"/>
  <c r="O38" i="21"/>
  <c r="I17" i="97"/>
  <c r="J16" i="97"/>
  <c r="AY16" i="52"/>
  <c r="AX17" i="52"/>
  <c r="F49" i="21"/>
  <c r="G6" i="21" s="1"/>
  <c r="G49" i="21" s="1"/>
  <c r="H6" i="21" s="1"/>
  <c r="H49" i="21" s="1"/>
  <c r="I6" i="21" s="1"/>
  <c r="I49" i="21" s="1"/>
  <c r="J6" i="21" s="1"/>
  <c r="J49" i="21" s="1"/>
  <c r="K6" i="21" s="1"/>
  <c r="K49" i="21" s="1"/>
  <c r="L6" i="21" s="1"/>
  <c r="L49" i="21" s="1"/>
  <c r="M6" i="21" s="1"/>
  <c r="M49" i="21" s="1"/>
  <c r="G60" i="98"/>
  <c r="H60" i="98"/>
  <c r="H25" i="98"/>
  <c r="AY17" i="52"/>
  <c r="N47" i="21"/>
  <c r="C20" i="45"/>
  <c r="E18" i="45"/>
  <c r="AD46" i="44"/>
  <c r="C53" i="44"/>
  <c r="AD59" i="44"/>
  <c r="AS59" i="44"/>
  <c r="AZ53" i="44"/>
  <c r="AW65" i="44"/>
  <c r="AU57" i="44"/>
  <c r="AZ65" i="44" s="1"/>
  <c r="AX65" i="44"/>
  <c r="AD34" i="44"/>
  <c r="E53" i="44"/>
  <c r="N49" i="21"/>
  <c r="N32" i="21"/>
  <c r="G50" i="97"/>
  <c r="G52" i="97" s="1"/>
  <c r="B18" i="97"/>
  <c r="Z18" i="45"/>
  <c r="X20" i="45"/>
  <c r="AU49" i="44"/>
  <c r="AS45" i="44"/>
  <c r="AB18" i="45"/>
  <c r="K41" i="96"/>
  <c r="N41" i="96" s="1"/>
  <c r="P41" i="96" s="1"/>
  <c r="I46" i="96"/>
  <c r="K46" i="96" s="1"/>
  <c r="N46" i="96" s="1"/>
  <c r="P46" i="96" s="1"/>
  <c r="I45" i="44"/>
  <c r="G53" i="44"/>
  <c r="I53" i="44" s="1"/>
  <c r="J14" i="45"/>
  <c r="J18" i="45" s="1"/>
  <c r="J20" i="45" s="1"/>
  <c r="J22" i="45" s="1"/>
  <c r="F18" i="45"/>
  <c r="F20" i="45" s="1"/>
  <c r="F22" i="45" s="1"/>
  <c r="AR44" i="44"/>
  <c r="AS34" i="44"/>
  <c r="AU34" i="44" s="1"/>
  <c r="AU36" i="44"/>
  <c r="H130" i="96"/>
  <c r="K53" i="44"/>
  <c r="M53" i="44" s="1"/>
  <c r="J55" i="97"/>
  <c r="H54" i="97"/>
  <c r="J54" i="97" s="1"/>
  <c r="AA50" i="44"/>
  <c r="AR52" i="44"/>
  <c r="AR50" i="44" s="1"/>
  <c r="BA53" i="44" s="1"/>
  <c r="Q78" i="41"/>
  <c r="O77" i="41"/>
  <c r="Q45" i="44"/>
  <c r="O53" i="44"/>
  <c r="Q53" i="44" s="1"/>
  <c r="K33" i="96"/>
  <c r="N33" i="96" s="1"/>
  <c r="P33" i="96" s="1"/>
  <c r="AW63" i="44"/>
  <c r="AV59" i="44"/>
  <c r="M77" i="41"/>
  <c r="K73" i="41"/>
  <c r="M73" i="41" s="1"/>
  <c r="K89" i="41"/>
  <c r="AD42" i="44"/>
  <c r="AS42" i="44"/>
  <c r="AB44" i="44"/>
  <c r="AV44" i="44"/>
  <c r="AV53" i="44" s="1"/>
  <c r="I72" i="41"/>
  <c r="G90" i="41"/>
  <c r="I90" i="41" s="1"/>
  <c r="V44" i="44"/>
  <c r="T53" i="44"/>
  <c r="V53" i="44" s="1"/>
  <c r="K17" i="52"/>
  <c r="M17" i="52" s="1"/>
  <c r="M15" i="52"/>
  <c r="K39" i="95"/>
  <c r="M39" i="95" s="1"/>
  <c r="I30" i="95"/>
  <c r="K30" i="95" s="1"/>
  <c r="M30" i="95" s="1"/>
  <c r="AA45" i="44"/>
  <c r="AA53" i="44" s="1"/>
  <c r="AQ13" i="52"/>
  <c r="AO15" i="52"/>
  <c r="AU13" i="52"/>
  <c r="AS15" i="52"/>
  <c r="Q6" i="41"/>
  <c r="O5" i="41"/>
  <c r="E115" i="40"/>
  <c r="T20" i="45"/>
  <c r="AU25" i="44"/>
  <c r="AS21" i="44"/>
  <c r="AU21" i="44" s="1"/>
  <c r="P22" i="45"/>
  <c r="K50" i="95"/>
  <c r="M50" i="95" s="1"/>
  <c r="I48" i="95"/>
  <c r="K20" i="45"/>
  <c r="AH45" i="44"/>
  <c r="AF53" i="44"/>
  <c r="AH53" i="44" s="1"/>
  <c r="C54" i="97"/>
  <c r="J17" i="97"/>
  <c r="H50" i="97"/>
  <c r="C18" i="97"/>
  <c r="E108" i="50"/>
  <c r="C109" i="50"/>
  <c r="O32" i="41"/>
  <c r="Q32" i="41" s="1"/>
  <c r="C28" i="41"/>
  <c r="E32" i="41"/>
  <c r="F60" i="98"/>
  <c r="AQ45" i="44"/>
  <c r="AO53" i="44"/>
  <c r="AQ53" i="44" s="1"/>
  <c r="G19" i="95"/>
  <c r="I19" i="95" s="1"/>
  <c r="K19" i="95" s="1"/>
  <c r="M19" i="95" s="1"/>
  <c r="G6" i="95"/>
  <c r="G5" i="95" s="1"/>
  <c r="I20" i="95"/>
  <c r="O27" i="21"/>
  <c r="O32" i="21" s="1"/>
  <c r="C91" i="62"/>
  <c r="Z45" i="44"/>
  <c r="X53" i="44"/>
  <c r="Z53" i="44" s="1"/>
  <c r="G89" i="95"/>
  <c r="AR45" i="44"/>
  <c r="AR53" i="44" s="1"/>
  <c r="G22" i="45"/>
  <c r="I22" i="45" s="1"/>
  <c r="I83" i="96"/>
  <c r="G89" i="96"/>
  <c r="G130" i="96" s="1"/>
  <c r="I131" i="96" s="1"/>
  <c r="D20" i="98" l="1"/>
  <c r="B19" i="98"/>
  <c r="Q21" i="45"/>
  <c r="D90" i="41"/>
  <c r="O17" i="21"/>
  <c r="AU12" i="44"/>
  <c r="P89" i="41"/>
  <c r="P73" i="41"/>
  <c r="D13" i="42"/>
  <c r="Q74" i="41"/>
  <c r="E21" i="42"/>
  <c r="D18" i="42"/>
  <c r="O20" i="21"/>
  <c r="P11" i="21"/>
  <c r="AC9" i="45"/>
  <c r="B9" i="98"/>
  <c r="D9" i="98" s="1"/>
  <c r="P41" i="41"/>
  <c r="M41" i="41"/>
  <c r="D20" i="97"/>
  <c r="Q75" i="41"/>
  <c r="H18" i="45"/>
  <c r="L14" i="45"/>
  <c r="I14" i="45"/>
  <c r="Q41" i="41"/>
  <c r="O23" i="21"/>
  <c r="O26" i="21" s="1"/>
  <c r="D32" i="98"/>
  <c r="D38" i="98" s="1"/>
  <c r="C38" i="98"/>
  <c r="AC12" i="45"/>
  <c r="AD12" i="45" s="1"/>
  <c r="M12" i="45"/>
  <c r="L5" i="41"/>
  <c r="L72" i="41" s="1"/>
  <c r="P18" i="41"/>
  <c r="M18" i="41"/>
  <c r="D56" i="97"/>
  <c r="E56" i="97" s="1"/>
  <c r="E40" i="97"/>
  <c r="C50" i="98"/>
  <c r="C25" i="98"/>
  <c r="C18" i="98"/>
  <c r="U18" i="45"/>
  <c r="V14" i="45"/>
  <c r="AT53" i="44"/>
  <c r="I69" i="95"/>
  <c r="K69" i="95" s="1"/>
  <c r="M69" i="95" s="1"/>
  <c r="K70" i="95"/>
  <c r="M70" i="95" s="1"/>
  <c r="D38" i="97"/>
  <c r="E32" i="97"/>
  <c r="B56" i="98"/>
  <c r="B45" i="98"/>
  <c r="I20" i="62"/>
  <c r="M47" i="62"/>
  <c r="Q14" i="45"/>
  <c r="B90" i="41"/>
  <c r="O39" i="21"/>
  <c r="O45" i="21" s="1"/>
  <c r="O47" i="21" s="1"/>
  <c r="P37" i="21"/>
  <c r="P39" i="21"/>
  <c r="I25" i="97"/>
  <c r="J25" i="97" s="1"/>
  <c r="I50" i="97"/>
  <c r="I52" i="97" s="1"/>
  <c r="C21" i="45"/>
  <c r="C22" i="45" s="1"/>
  <c r="E22" i="45" s="1"/>
  <c r="E20" i="45"/>
  <c r="AX63" i="44"/>
  <c r="AU59" i="44"/>
  <c r="AZ63" i="44" s="1"/>
  <c r="C60" i="97"/>
  <c r="I44" i="95"/>
  <c r="K48" i="95"/>
  <c r="M48" i="95" s="1"/>
  <c r="AU15" i="52"/>
  <c r="AS17" i="52"/>
  <c r="AU17" i="52" s="1"/>
  <c r="AQ15" i="52"/>
  <c r="AO17" i="52"/>
  <c r="AQ17" i="52" s="1"/>
  <c r="AD44" i="44"/>
  <c r="AB53" i="44"/>
  <c r="AD53" i="44" s="1"/>
  <c r="AU45" i="44"/>
  <c r="K83" i="96"/>
  <c r="N83" i="96" s="1"/>
  <c r="P83" i="96" s="1"/>
  <c r="I89" i="96"/>
  <c r="E28" i="41"/>
  <c r="O28" i="41"/>
  <c r="C72" i="41"/>
  <c r="AU42" i="44"/>
  <c r="AS44" i="44"/>
  <c r="AU44" i="44" s="1"/>
  <c r="G60" i="97"/>
  <c r="G53" i="97"/>
  <c r="K20" i="95"/>
  <c r="M20" i="95" s="1"/>
  <c r="I6" i="95"/>
  <c r="J50" i="97"/>
  <c r="H52" i="97"/>
  <c r="T22" i="45"/>
  <c r="AB20" i="45"/>
  <c r="Z20" i="45"/>
  <c r="X22" i="45"/>
  <c r="Z22" i="45" s="1"/>
  <c r="Q77" i="41"/>
  <c r="O89" i="41"/>
  <c r="Q89" i="41" s="1"/>
  <c r="O73" i="41"/>
  <c r="Q73" i="41" s="1"/>
  <c r="E109" i="50"/>
  <c r="C177" i="50"/>
  <c r="K22" i="45"/>
  <c r="M89" i="41"/>
  <c r="K90" i="41"/>
  <c r="L90" i="41" l="1"/>
  <c r="M72" i="41"/>
  <c r="Q18" i="45"/>
  <c r="R14" i="45"/>
  <c r="I32" i="62"/>
  <c r="I90" i="62"/>
  <c r="D51" i="97"/>
  <c r="E51" i="97" s="1"/>
  <c r="D45" i="97"/>
  <c r="E45" i="97" s="1"/>
  <c r="I39" i="97"/>
  <c r="J39" i="97" s="1"/>
  <c r="E38" i="97"/>
  <c r="P5" i="41"/>
  <c r="Q18" i="41"/>
  <c r="C51" i="98"/>
  <c r="C52" i="98" s="1"/>
  <c r="G39" i="98"/>
  <c r="C45" i="98"/>
  <c r="H20" i="45"/>
  <c r="I18" i="45"/>
  <c r="D19" i="97"/>
  <c r="E20" i="97"/>
  <c r="D9" i="97"/>
  <c r="E9" i="97" s="1"/>
  <c r="D7" i="42"/>
  <c r="E7" i="42" s="1"/>
  <c r="P72" i="41"/>
  <c r="AD9" i="45"/>
  <c r="AC14" i="45"/>
  <c r="P23" i="21"/>
  <c r="D15" i="42"/>
  <c r="E15" i="42" s="1"/>
  <c r="E13" i="42"/>
  <c r="P90" i="41"/>
  <c r="R21" i="45"/>
  <c r="M90" i="41"/>
  <c r="U20" i="45"/>
  <c r="V18" i="45"/>
  <c r="B7" i="98"/>
  <c r="M5" i="41"/>
  <c r="D51" i="98"/>
  <c r="H39" i="98"/>
  <c r="D45" i="98"/>
  <c r="L18" i="45"/>
  <c r="M14" i="45"/>
  <c r="E18" i="42"/>
  <c r="D31" i="42"/>
  <c r="D19" i="98"/>
  <c r="D55" i="98" s="1"/>
  <c r="D54" i="98" s="1"/>
  <c r="B55" i="98"/>
  <c r="B54" i="98" s="1"/>
  <c r="I60" i="97"/>
  <c r="E21" i="45"/>
  <c r="AB21" i="45"/>
  <c r="AS53" i="44"/>
  <c r="AU53" i="44" s="1"/>
  <c r="K6" i="95"/>
  <c r="M6" i="95" s="1"/>
  <c r="I5" i="95"/>
  <c r="K5" i="95" s="1"/>
  <c r="M5" i="95" s="1"/>
  <c r="K44" i="95"/>
  <c r="M44" i="95" s="1"/>
  <c r="I89" i="95"/>
  <c r="K89" i="95" s="1"/>
  <c r="M89" i="95" s="1"/>
  <c r="E177" i="50"/>
  <c r="C188" i="50"/>
  <c r="E188" i="50" s="1"/>
  <c r="Q28" i="41"/>
  <c r="O72" i="41"/>
  <c r="K89" i="96"/>
  <c r="N89" i="96" s="1"/>
  <c r="P89" i="96" s="1"/>
  <c r="I130" i="96"/>
  <c r="AB22" i="45"/>
  <c r="J52" i="97"/>
  <c r="H60" i="97"/>
  <c r="H53" i="97"/>
  <c r="E72" i="41"/>
  <c r="C90" i="41"/>
  <c r="E90" i="41" s="1"/>
  <c r="G53" i="98" l="1"/>
  <c r="C60" i="98"/>
  <c r="C61" i="98" s="1"/>
  <c r="D36" i="42"/>
  <c r="E36" i="42" s="1"/>
  <c r="E31" i="42"/>
  <c r="B17" i="98"/>
  <c r="D7" i="98"/>
  <c r="D17" i="98" s="1"/>
  <c r="U22" i="45"/>
  <c r="V22" i="45" s="1"/>
  <c r="V20" i="45"/>
  <c r="D7" i="97"/>
  <c r="D4" i="42"/>
  <c r="Q5" i="41"/>
  <c r="D91" i="62"/>
  <c r="J90" i="62"/>
  <c r="E91" i="62" s="1"/>
  <c r="L20" i="45"/>
  <c r="M18" i="45"/>
  <c r="AC18" i="45"/>
  <c r="AD14" i="45"/>
  <c r="D55" i="97"/>
  <c r="E19" i="97"/>
  <c r="H21" i="45"/>
  <c r="I20" i="45"/>
  <c r="Q20" i="45"/>
  <c r="R18" i="45"/>
  <c r="J60" i="97"/>
  <c r="Q72" i="41"/>
  <c r="O90" i="41"/>
  <c r="Q90" i="41" s="1"/>
  <c r="K131" i="96"/>
  <c r="K130" i="96"/>
  <c r="N130" i="96" s="1"/>
  <c r="P130" i="96" s="1"/>
  <c r="D17" i="97" l="1"/>
  <c r="E7" i="97"/>
  <c r="B50" i="98"/>
  <c r="B52" i="98" s="1"/>
  <c r="B18" i="98"/>
  <c r="B25" i="98"/>
  <c r="Q22" i="45"/>
  <c r="R22" i="45" s="1"/>
  <c r="R20" i="45"/>
  <c r="I21" i="45"/>
  <c r="AC21" i="45"/>
  <c r="AD21" i="45" s="1"/>
  <c r="D54" i="97"/>
  <c r="E54" i="97" s="1"/>
  <c r="E55" i="97"/>
  <c r="AC20" i="45"/>
  <c r="AD18" i="45"/>
  <c r="L22" i="45"/>
  <c r="M22" i="45" s="1"/>
  <c r="M20" i="45"/>
  <c r="D11" i="42"/>
  <c r="E4" i="42"/>
  <c r="D50" i="98"/>
  <c r="D52" i="98" s="1"/>
  <c r="D25" i="98"/>
  <c r="D18" i="98"/>
  <c r="H53" i="98" l="1"/>
  <c r="D60" i="98"/>
  <c r="D61" i="98" s="1"/>
  <c r="D16" i="42"/>
  <c r="E11" i="42"/>
  <c r="AC22" i="45"/>
  <c r="AD22" i="45" s="1"/>
  <c r="AD20" i="45"/>
  <c r="B60" i="98"/>
  <c r="B61" i="98" s="1"/>
  <c r="F53" i="98"/>
  <c r="D50" i="97"/>
  <c r="D25" i="97"/>
  <c r="E25" i="97" s="1"/>
  <c r="E17" i="97"/>
  <c r="D18" i="97"/>
  <c r="E18" i="97" s="1"/>
  <c r="D52" i="97" l="1"/>
  <c r="E50" i="97"/>
  <c r="E16" i="42"/>
  <c r="F36" i="42"/>
  <c r="D60" i="97" l="1"/>
  <c r="E60" i="97" s="1"/>
  <c r="E52" i="97"/>
  <c r="I53" i="97"/>
  <c r="J53" i="97" s="1"/>
</calcChain>
</file>

<file path=xl/sharedStrings.xml><?xml version="1.0" encoding="utf-8"?>
<sst xmlns="http://schemas.openxmlformats.org/spreadsheetml/2006/main" count="2356" uniqueCount="1257">
  <si>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</si>
  <si>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</si>
  <si>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</si>
  <si>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</si>
  <si>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</si>
  <si>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</si>
  <si>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</si>
  <si>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</si>
  <si>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</si>
  <si>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II. MODOSÍTÁS</t>
  </si>
  <si>
    <t>2016. évi lakosssági víz- és csatornatámogatás</t>
  </si>
  <si>
    <t>Közösségi közlekedés támogatása</t>
  </si>
  <si>
    <t>I.5.</t>
  </si>
  <si>
    <t>I.1.</t>
  </si>
  <si>
    <t>Felhalmozási célú önormányzati támogatások</t>
  </si>
  <si>
    <t>Közművelődési támogatás Muzeális intézmények szakmai támogatása</t>
  </si>
  <si>
    <t>2006/2015. Korm. határozat alapján támogatás (járdafelújítás, kollégium)</t>
  </si>
  <si>
    <t>Intézményi elkülönített keret</t>
  </si>
  <si>
    <t xml:space="preserve">  Idősek napja ajándék</t>
  </si>
  <si>
    <t>TOP-3.2.2-15 -VE1-2016-00002 helyi adottságokhoz illeszkedő megújuló energiaforrások kiaknázására irányuló energiaellátás biztosítása pályázat előkészítés</t>
  </si>
  <si>
    <t>TOP-1.2.1-15 Széchenyi strand fejlesztése pályázat előkészítés</t>
  </si>
  <si>
    <t>TOP-2.1.1.-15  Barnamezős területek rehabilitációja pályázat előkészítés</t>
  </si>
  <si>
    <t>TOP-1.1.1.-15  Ipari parkok, iparterületek fejlesztése pályázat előkészítés</t>
  </si>
  <si>
    <t>GINOP-7.1.3-2015 Gyógyhely fejlesztés előkészítés</t>
  </si>
  <si>
    <t>TOP-4.2.1.-15  Szoc. Alapszolg. Fejlesztése pályázat előkészítés</t>
  </si>
  <si>
    <t>TOP-4.1.1.-15 VE Egészségügyi alapellátás infrastruktúrális fejlesztése pályázat előkészítés</t>
  </si>
  <si>
    <t>TOP-2.1.3.-15  Csapadékcsatorna hálózat fejlesztése pályázat előkészítés</t>
  </si>
  <si>
    <t>TOP-2.1.2-15 Zöld város kialakítása pályázat előkészítés</t>
  </si>
  <si>
    <t>HU07-0037-A1-2013  Zsinagóga pályázat dologi kiadások (nyilvánosság, könyvvizsgálat, projektmenedzsment)</t>
  </si>
  <si>
    <t>IKOP-3.2.0-15 elektromos buszok beszerzése pályázat szakmai előkészítő munka</t>
  </si>
  <si>
    <t xml:space="preserve">      Rendkívüli települési támogatás     </t>
  </si>
  <si>
    <t>Balatonfüredi Református Iskola nyári napközi</t>
  </si>
  <si>
    <t>Mentődolgozók Önálló Szakszervezete</t>
  </si>
  <si>
    <t>MVM Sportegyesület Riói olimpia felkészülés</t>
  </si>
  <si>
    <t>BYC Riói olimpia felkészülés</t>
  </si>
  <si>
    <t>DÓR Sporegyesület</t>
  </si>
  <si>
    <t>Balatonfüred - Szőlősi Hegyközség viharkár támogatása 2016. évi</t>
  </si>
  <si>
    <t>Közvilágítás bővítése 2015. évi Cséplő Ernő u.</t>
  </si>
  <si>
    <t>Ingatlan csere és telekalakítás 1249 hrsz-ú és 1248/26 hrsz-ú ingatlanok</t>
  </si>
  <si>
    <t>ingatlan vásárlás 071/110 hrsz.</t>
  </si>
  <si>
    <t>ingatlan vásárlás 071/069 hrsz.</t>
  </si>
  <si>
    <t>1524 hrsz-ú ingatlan vásárlás Kossuth. L. u. 22.</t>
  </si>
  <si>
    <t>1543/1/A/2 hrsz-ú ingatlan vásárlás Somogyi u. 1.</t>
  </si>
  <si>
    <t>Arácsi úti ingatlanok vétel, csere 101-103 hrsz.</t>
  </si>
  <si>
    <t>Óvárosi Óvoda homokozó árnyékoló csere</t>
  </si>
  <si>
    <t xml:space="preserve">  - Rendelőintézet műszerbeszerzés támogatása (orvos pályázati alap)</t>
  </si>
  <si>
    <t xml:space="preserve"> - ZELNA Kft. Külterületi útépítés támogatása</t>
  </si>
  <si>
    <t xml:space="preserve"> - E55 Tanácsadó KFt. Külterületi útépítés támogatása</t>
  </si>
  <si>
    <t xml:space="preserve"> - Füred Stúdió Kft. Fejlesztés pályázati önrész</t>
  </si>
  <si>
    <t>TOP-2.1.2-15 kódszámú pályázat Zöld város kialakítása arculati terv</t>
  </si>
  <si>
    <t xml:space="preserve"> - Füred Stúdió Kft. Pályázat megelőlegezés</t>
  </si>
  <si>
    <t>Korrekció előleg</t>
  </si>
  <si>
    <t>2016. évi módosított ei. III.</t>
  </si>
  <si>
    <t>III. MODOSÍTÁS</t>
  </si>
  <si>
    <t xml:space="preserve">MÓDOSÍTOTT EI. III. </t>
  </si>
  <si>
    <t>Vis maior támogatás</t>
  </si>
  <si>
    <t>Közművelődési érdekeltségnövelő támogatás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</si>
  <si>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</si>
  <si>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</si>
  <si>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</si>
  <si>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</si>
  <si>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</si>
  <si>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</si>
  <si>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</si>
  <si>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</si>
  <si>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</si>
  <si>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Germering Testvérvárosi Egyesület</t>
  </si>
  <si>
    <t>QUASIMODO Alapítvány</t>
  </si>
  <si>
    <t>Fordítóház Alapítvány</t>
  </si>
  <si>
    <t>Sportegyesületek</t>
  </si>
  <si>
    <t>SOS Alapítvány Vállalkozásfejlesztő Aliroda</t>
  </si>
  <si>
    <t>Balatonfüred Református Egyházközség</t>
  </si>
  <si>
    <t>Balatonfüred-Arács Református Egyházközség</t>
  </si>
  <si>
    <t>Balatonfüred-Dörgicse Evangélikus Egyházközség</t>
  </si>
  <si>
    <t>Római Katolikus Plébánia</t>
  </si>
  <si>
    <t>Civil pályázati alap</t>
  </si>
  <si>
    <t>Polgármesteri keret</t>
  </si>
  <si>
    <t>Alpolgármesteri keret</t>
  </si>
  <si>
    <t>Képviselői keret</t>
  </si>
  <si>
    <t>Érzékeny Gyermekeinkét Alapít. (liszt és szűróvizsgálat is)</t>
  </si>
  <si>
    <t xml:space="preserve">Idegenforgalmi támogatás </t>
  </si>
  <si>
    <t>MEDNA</t>
  </si>
  <si>
    <t>Gitár fesztivál-Balatonfüredi Nemzetközi Gitárfesztivál Alapítvány</t>
  </si>
  <si>
    <t>Renaissance 2009. Idegenforgalmi és Turisztikai Kft. (Gyermekművészeti fesztivál)</t>
  </si>
  <si>
    <t>Művészeti együttesek nemzetközi kapcsolattartás</t>
  </si>
  <si>
    <t>Reformkori Hagyományőrzők Egyesülete</t>
  </si>
  <si>
    <t>Művészeti együttesek formaruha pályázat</t>
  </si>
  <si>
    <t>"S.O.S. és Könyvelő" Szociálisan Rászorultakat Segítő Kft</t>
  </si>
  <si>
    <t>Balaton Mozi</t>
  </si>
  <si>
    <t>Probió Zrt.  Virágos Füred</t>
  </si>
  <si>
    <t xml:space="preserve">Sportesemények támogatása: Magyar Vitorlás Szövetség Kékszalag Fesztivál </t>
  </si>
  <si>
    <t xml:space="preserve">Sportesemények támogatása: Nemzetközi ultramaraton </t>
  </si>
  <si>
    <t>Balatonfüred Kulturális Nonprofit Kft.</t>
  </si>
  <si>
    <t>Múzsák Egyesülete Sirály táncfesztivál</t>
  </si>
  <si>
    <t>Balatonfüredi Néptánc Egyesület</t>
  </si>
  <si>
    <t>Rákóczy Szövetség</t>
  </si>
  <si>
    <t>Arácsért Közhasznú Alapítvány</t>
  </si>
  <si>
    <t>Gondviselés Alapítvány (idősek átmeneti elhelyezése)</t>
  </si>
  <si>
    <t>Füred Studió Kft.</t>
  </si>
  <si>
    <t>Balatonfüredi Református Egyház (Református Iskola)</t>
  </si>
  <si>
    <t>Siloam Református Otthon támogatása</t>
  </si>
  <si>
    <t>Konferencia Központ Kft.</t>
  </si>
  <si>
    <t>Balatonfüredi Katolikus Egyház</t>
  </si>
  <si>
    <t>Balaton Best Nonprofit Kft.</t>
  </si>
  <si>
    <t>I. Kötelezettséggel terhelt fejlesztések</t>
  </si>
  <si>
    <t>Savanyúvizes kutak védterület kijelőlése (340/2007 sz. hat.) hidrogeológiai geodéziai anyag készítése</t>
  </si>
  <si>
    <t>Autóbusz pályaudvar önrész + projektmen.+pályázatírás</t>
  </si>
  <si>
    <t xml:space="preserve"> - Orvosok pályázati alap (műszer beszerzés)</t>
  </si>
  <si>
    <t>Forgatási célú értékpapír vásárlás</t>
  </si>
  <si>
    <t xml:space="preserve"> - Lakásépítés, -vásárlás kölcsön (dolgozói + lakáshoz jutás tám.)</t>
  </si>
  <si>
    <t xml:space="preserve">   - Krutz Károly helyi védettség alatt álló épület felújítása (300/2010.és 39/2013.(II.07.))</t>
  </si>
  <si>
    <r>
      <t xml:space="preserve">    </t>
    </r>
    <r>
      <rPr>
        <sz val="10"/>
        <rFont val="Arial"/>
        <family val="2"/>
        <charset val="238"/>
      </rPr>
      <t>1.1. Előző év költségvetési maradványának  igénybevétele működési célra</t>
    </r>
  </si>
  <si>
    <t>KDOP kerékpárút tervezés, előkészítés, önrész</t>
  </si>
  <si>
    <t>Tervek, megvalósítási tanulmányok, pályázatok</t>
  </si>
  <si>
    <t>Útépítések  2012. év : Szabadság u. - Tagore sétány közötti muvás út burkolása, Gyöngyvirág u. szennyvízcsatorna építése, és aszfaltozása, Vázsonyi u. építése buszfordulótól újtelepig, Köztársaság u. 1-5. épületek előtti parkoló felújítása, Vázsonyi u. me</t>
  </si>
  <si>
    <t>Útépítések  2013.</t>
  </si>
  <si>
    <t xml:space="preserve">KDOP-2.1.1/D-12 Turisztikai attrakciók és szolgáltatások fejlesztése </t>
  </si>
  <si>
    <t>I. összesen:</t>
  </si>
  <si>
    <t>Beruházás előkészítő kiadások (tervezés, önrészek)</t>
  </si>
  <si>
    <t>Útépítések 2014.</t>
  </si>
  <si>
    <t>Településrendezési eszközök</t>
  </si>
  <si>
    <t>Ebből: bérleti díj</t>
  </si>
  <si>
    <t>3. Betét bevonás</t>
  </si>
  <si>
    <t>Beruházásokhoz kapcsolódó dologi kiadások</t>
  </si>
  <si>
    <t>Zsinagóga tervezési ktg., előkészítési költségek + ingatlan vásárlás</t>
  </si>
  <si>
    <t>Balatonfüredi sétányrendszer felújítása</t>
  </si>
  <si>
    <t xml:space="preserve">  -Többcélú Társulás (BSZAK fejlesztési tám.)</t>
  </si>
  <si>
    <t xml:space="preserve">  - Közoktatási Társulás (óvodák fejlesztési tám.)</t>
  </si>
  <si>
    <t>Meglévő részesedések növeléséhez kapcsolódó kiadások: törzstőke emelés</t>
  </si>
  <si>
    <t xml:space="preserve">      Konferencia Központ</t>
  </si>
  <si>
    <t xml:space="preserve">       Füredkult Kft.</t>
  </si>
  <si>
    <t>Részesedések beszerzése:</t>
  </si>
  <si>
    <t xml:space="preserve">Üzletrész vásálás részletek </t>
  </si>
  <si>
    <t>II. összesen:</t>
  </si>
  <si>
    <t>I+II. összesen:</t>
  </si>
  <si>
    <t>egyéb kisértékű eszközök</t>
  </si>
  <si>
    <t>játékok</t>
  </si>
  <si>
    <t xml:space="preserve">    Informatikai fejlesztések (kisértékű, nagyértékű)</t>
  </si>
  <si>
    <t>Magyar Úszószövetség "Jövő Bajnokai" program</t>
  </si>
  <si>
    <t>BAHART idegenforgalmi támogatása</t>
  </si>
  <si>
    <t>Felhalmozási célú visszatérítendő támogatások, kölcsönök nyújtása áh-n kívülre</t>
  </si>
  <si>
    <t>Egyéb felhalmozási célú támogatások áh-n belülre</t>
  </si>
  <si>
    <t>Egyéb felhalmozási célú támogatások áh-n kívülre</t>
  </si>
  <si>
    <t xml:space="preserve">  - Panelprogram támogatás</t>
  </si>
  <si>
    <t xml:space="preserve">      - Köztársaság u. 3. (panelprogram, 351/2005 sz. hat.)</t>
  </si>
  <si>
    <t xml:space="preserve">      - Köztársaság u. 5. (panelprogram, 352/2005 sz. hat.)</t>
  </si>
  <si>
    <t xml:space="preserve">      - Noszlopy u. 16. (panelprogram, 353/2005 sz. hat.)</t>
  </si>
  <si>
    <t xml:space="preserve">      - Kéki u. 2. (panelprogram, 289/2006 sz. hat.)</t>
  </si>
  <si>
    <t xml:space="preserve">      - Csárda u. 2. (panelprogram, 290/2006 sz. hat.)</t>
  </si>
  <si>
    <t>Ebből: bérleti díjak</t>
  </si>
  <si>
    <t xml:space="preserve">      - Köztársaság u. 13. (panelprogram, 291/2006 sz. hat.)</t>
  </si>
  <si>
    <t xml:space="preserve">      - Kéki u. 5. (panelprogram, 292/2006 sz. hat.)</t>
  </si>
  <si>
    <t xml:space="preserve">      - Köztársaság u. 7. (panelprogram, 293/2006 sz. hat.)</t>
  </si>
  <si>
    <t xml:space="preserve">      - Csárda u. 19. (panelprogram, 294/2006 sz. hat.)</t>
  </si>
  <si>
    <t xml:space="preserve">      - Köztársaság u. 19. (panelprogram 8/2009.)</t>
  </si>
  <si>
    <t xml:space="preserve">      - Köztársaság u. 17. (panelprogram 9/2009.)</t>
  </si>
  <si>
    <t xml:space="preserve">      - Köztársaság u. 15. (panelprogram 10/2009.)</t>
  </si>
  <si>
    <t xml:space="preserve">      - Köztársaság u. 11. (panelprogram 11/2009.)</t>
  </si>
  <si>
    <t xml:space="preserve">      - Köztársaság u. 1. (panelprogram 12/2009.)</t>
  </si>
  <si>
    <t>III. összesen:</t>
  </si>
  <si>
    <t>I+II+III. összesen:</t>
  </si>
  <si>
    <t>IV. Finanszírozási kiadások</t>
  </si>
  <si>
    <t>Hitel törlesztés</t>
  </si>
  <si>
    <t>IV. Finanszírozási kiadások összesen:</t>
  </si>
  <si>
    <t>V. Felújítások</t>
  </si>
  <si>
    <t>Intézményi felújítások</t>
  </si>
  <si>
    <t>Lakásfelújítás</t>
  </si>
  <si>
    <t>IV. összesen:</t>
  </si>
  <si>
    <t>Felhalmozási kiadások összesen:</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</si>
  <si>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</si>
  <si>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</si>
  <si>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</si>
  <si>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</si>
  <si>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</si>
  <si>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</si>
  <si>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</si>
  <si>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</si>
  <si>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</si>
  <si>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</si>
  <si>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</si>
  <si>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</si>
  <si>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</si>
  <si>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</si>
  <si>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</si>
  <si>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</si>
  <si>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</si>
  <si>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</si>
  <si>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</si>
  <si>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</si>
  <si>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</si>
  <si>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</si>
  <si>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</si>
  <si>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</si>
  <si>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</si>
  <si>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</si>
  <si>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</si>
  <si>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</si>
  <si>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</si>
  <si>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</si>
  <si>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</si>
  <si>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</si>
  <si>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</si>
  <si>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</si>
  <si>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</si>
  <si>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</si>
  <si>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</si>
  <si>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Könyvtár összesen:</t>
  </si>
  <si>
    <t>ELŐIRÁNYZAT</t>
  </si>
  <si>
    <t xml:space="preserve"> Felhalmozási hiány: </t>
  </si>
  <si>
    <t>Költségvetési hiány belső finanszírozása felhalmozási célú</t>
  </si>
  <si>
    <t>Finanszírozási célú műveletek kiadásai felhalmozási célú</t>
  </si>
  <si>
    <t>4.Költségvetési maradvány</t>
  </si>
  <si>
    <t>4. Értékpapírok visszavásárlása</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</si>
  <si>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</si>
  <si>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</si>
  <si>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</si>
  <si>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</si>
  <si>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</si>
  <si>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</si>
  <si>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</si>
  <si>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</si>
  <si>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</si>
  <si>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</si>
  <si>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</si>
  <si>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</si>
  <si>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</si>
  <si>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</si>
  <si>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</si>
  <si>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</si>
  <si>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</si>
  <si>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</si>
  <si>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</si>
  <si>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</si>
  <si>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TÖBBLET</t>
  </si>
  <si>
    <t>Működési bevételek</t>
  </si>
  <si>
    <t>1. Működési támogatások államháztartáson belülről</t>
  </si>
  <si>
    <t>Költségvetési működési  bevételek kötelező feladatok szerinti bontásban</t>
  </si>
  <si>
    <t>Költségvetési felhalmozási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</si>
  <si>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</si>
  <si>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</si>
  <si>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</si>
  <si>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</si>
  <si>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</si>
  <si>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</si>
  <si>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</si>
  <si>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</si>
  <si>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</si>
  <si>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</si>
  <si>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3.4. Felhalmozási célú visszatérítendő támogatások, kölcsönök nyújtása áh-n kívülre</t>
  </si>
  <si>
    <t>Költségvetési felhalmozási bevételek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</si>
  <si>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</si>
  <si>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</si>
  <si>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</si>
  <si>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</si>
  <si>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</si>
  <si>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</si>
  <si>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</si>
  <si>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</si>
  <si>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</si>
  <si>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</si>
  <si>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</si>
  <si>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</si>
  <si>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</si>
  <si>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</si>
  <si>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</si>
  <si>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</si>
  <si>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</si>
  <si>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</si>
  <si>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</si>
  <si>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</si>
  <si>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</si>
  <si>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</si>
  <si>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</si>
  <si>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</si>
  <si>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</si>
  <si>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</si>
  <si>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</si>
  <si>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</si>
  <si>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</si>
  <si>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</si>
  <si>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</si>
  <si>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Működési célú átvett pénzeszközök</t>
  </si>
  <si>
    <t>Közös Önkormányzati Hivatal</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</si>
  <si>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</si>
  <si>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</si>
  <si>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</si>
  <si>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</si>
  <si>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</si>
  <si>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</si>
  <si>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</si>
  <si>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Pénzforgalom nélküli bevételek Önkormányzat</t>
  </si>
  <si>
    <t>Pénzforgalom nélküli bevételek Hivatal</t>
  </si>
  <si>
    <t>Pénzforgalom nélküli bevételek Intézmények</t>
  </si>
  <si>
    <t>Közös Önkormányzati Hivatal működési kiadásai (igazgatás személyi, járulék, dologi, ellátottak pénzbeli jutt.)</t>
  </si>
  <si>
    <t>Önkormányzat feladatai (személyi, jár, dologi)</t>
  </si>
  <si>
    <t>Ellátottak pénzbeli juttatásai</t>
  </si>
  <si>
    <t>Egyéb működési célú kiadások</t>
  </si>
  <si>
    <t>Intézmények működési kiadásai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</si>
  <si>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</si>
  <si>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</si>
  <si>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</si>
  <si>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</si>
  <si>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</si>
  <si>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</si>
  <si>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</si>
  <si>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</si>
  <si>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Záró pénzkészlet</t>
  </si>
  <si>
    <t>MEGNEVEZÉS</t>
  </si>
  <si>
    <t xml:space="preserve">ÁLLAMI TÁMOGATÁS </t>
  </si>
  <si>
    <t xml:space="preserve">  Óvodáztatási támogatás</t>
  </si>
  <si>
    <t>Horváth M u. előkészítési költségek</t>
  </si>
  <si>
    <t>P.Horváth Á. U.  járda tervezési ktg.</t>
  </si>
  <si>
    <t xml:space="preserve"> - Balatonfüred Kulturális Nonprofit Kft. közművelődési támogatás)</t>
  </si>
  <si>
    <t xml:space="preserve">      2.3.3. Települési adó</t>
  </si>
  <si>
    <t>I.e.</t>
  </si>
  <si>
    <t>Egyéb önkormányzati feladatok támogatása</t>
  </si>
  <si>
    <t>I.c.</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</si>
  <si>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</si>
  <si>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</si>
  <si>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</si>
  <si>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</si>
  <si>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 xml:space="preserve">   Fogl.helyetteítő tám.</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</si>
  <si>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</si>
  <si>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</si>
  <si>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</si>
  <si>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</si>
  <si>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</si>
  <si>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</si>
  <si>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</si>
  <si>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</si>
  <si>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demens személyek nappali intézményi ellátása - társulás által történő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</si>
  <si>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</si>
  <si>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</si>
  <si>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</si>
  <si>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</si>
  <si>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</si>
  <si>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 xml:space="preserve">Önkormányzat </t>
  </si>
  <si>
    <t xml:space="preserve"> - Infrastruktúrális fejlesztések</t>
  </si>
  <si>
    <t>TARTALÉKOK</t>
  </si>
  <si>
    <t>Számítástechnikai eszközök</t>
  </si>
  <si>
    <t>Takarító eszközök</t>
  </si>
  <si>
    <t>Szerszám</t>
  </si>
  <si>
    <t>Tornatermi eszközök</t>
  </si>
  <si>
    <t>Tantermi bútor</t>
  </si>
  <si>
    <t>CD lejátszó</t>
  </si>
  <si>
    <t>Bútor</t>
  </si>
  <si>
    <t>Sportszer</t>
  </si>
  <si>
    <t>Magnók</t>
  </si>
  <si>
    <t>Nyomtató, vetítővászon</t>
  </si>
  <si>
    <t>Hűtőszekrény</t>
  </si>
  <si>
    <t>Mikró,kenyérpirító</t>
  </si>
  <si>
    <t>Fényképezőgép</t>
  </si>
  <si>
    <t>Zászlók</t>
  </si>
  <si>
    <t>Számítógépek</t>
  </si>
  <si>
    <t xml:space="preserve">Telefon </t>
  </si>
  <si>
    <t>Szőnyeg</t>
  </si>
  <si>
    <t>Szekrény</t>
  </si>
  <si>
    <t>Dokumentumbeszerzés</t>
  </si>
  <si>
    <t>Informatikai eszközök</t>
  </si>
  <si>
    <t>Porszívó</t>
  </si>
  <si>
    <t>Függöny</t>
  </si>
  <si>
    <t>szekrény</t>
  </si>
  <si>
    <t>Uszoda működtetőjének működési támogatás</t>
  </si>
  <si>
    <t>Egyéb sporttámogatás</t>
  </si>
  <si>
    <t>Balatoni Sellők szoborcsoport áthelyezés</t>
  </si>
  <si>
    <t>közterület fásítása</t>
  </si>
  <si>
    <t>Játszóterek bővítése</t>
  </si>
  <si>
    <t>Utcai bútorok beszerzése (padok, szemetesek, városi információs rendszer)</t>
  </si>
  <si>
    <t>Szelektív mintagyűjtő szigetek (2 db)</t>
  </si>
  <si>
    <t>autóbusz várók telepítése</t>
  </si>
  <si>
    <t>közvilágítási hálózat bővítése</t>
  </si>
  <si>
    <t>Önkormányzati Hivatal belső építészeti megújítása (házasságkötő teremmel)</t>
  </si>
  <si>
    <t>Határ u., Egressy köz szennyvízcsatorna építés</t>
  </si>
  <si>
    <t>temető felújítás (Katolikus Egyháztól átvett)</t>
  </si>
  <si>
    <t>Állami támogatás megelőlegezés visszafizetés</t>
  </si>
  <si>
    <t>5.1. Elvonások, befizetések</t>
  </si>
  <si>
    <t>5.2. Egyéb működési célú támogatások áh-n belülre</t>
  </si>
  <si>
    <t>5.4. Egyéb működési célú támogatások áh-n kívülre</t>
  </si>
  <si>
    <t>5.5. Működési célú visszatérítendő támogatások, kölcsönök nyújtása áh-n kívülre</t>
  </si>
  <si>
    <t>6. Állami támogatás megelőlegezés visszafizetése</t>
  </si>
  <si>
    <t>Költségve-tési szervek</t>
  </si>
  <si>
    <t>Önkormány-zat</t>
  </si>
  <si>
    <t>Önkormány-zat összesen</t>
  </si>
  <si>
    <t>Intézményfinanszírozás</t>
  </si>
  <si>
    <t>7. Állami támogatás megelőlegezés visszafizetése</t>
  </si>
  <si>
    <t>8. Hitelek törlesztése</t>
  </si>
  <si>
    <t>Önkormányzat összesen</t>
  </si>
  <si>
    <t>ÉNYKK (Balaton Volán jogutódja)</t>
  </si>
  <si>
    <t>tányér, pohár</t>
  </si>
  <si>
    <t>mosogatógép</t>
  </si>
  <si>
    <t>informatikai eszközök</t>
  </si>
  <si>
    <t>Egyéb kisértékű eszközök</t>
  </si>
  <si>
    <t>bútor</t>
  </si>
  <si>
    <t>4. Államháztartáson belüli megelőlegezések</t>
  </si>
  <si>
    <t>ÖSSZESEN:</t>
  </si>
  <si>
    <t xml:space="preserve">  Rendezvényekhez kapcsolódó személyi</t>
  </si>
  <si>
    <t xml:space="preserve">  Rendezvényekhez kapcsolódó járulék és kifizetői adó</t>
  </si>
  <si>
    <t xml:space="preserve">  Diákmunka</t>
  </si>
  <si>
    <t>Uszoda eszköz beszerzés</t>
  </si>
  <si>
    <t>Acro Dance Sporttánc Egyesület</t>
  </si>
  <si>
    <t xml:space="preserve">EREDETI EI. </t>
  </si>
  <si>
    <t>Bérkompenzáció</t>
  </si>
  <si>
    <t>Ágazati pótlék, kiegészítő ágazati pótlék</t>
  </si>
  <si>
    <t>Könyvtári érdekeltségnövelő</t>
  </si>
  <si>
    <t>Rendelőintézet</t>
  </si>
  <si>
    <t>Elszámolásból származó bevételek</t>
  </si>
  <si>
    <t>IV.1.i.</t>
  </si>
  <si>
    <t>Helyi Önkormányzatok kiegészítő támogatásai (működési)</t>
  </si>
  <si>
    <t>2016. évi bérkompenzáció</t>
  </si>
  <si>
    <t>Ágazati pótlék</t>
  </si>
  <si>
    <t>Kiegészítő ágazati pótlék</t>
  </si>
  <si>
    <t>Könyvtári felirat</t>
  </si>
  <si>
    <t>Erzsébet utalvány fel nem használt összeg visszafizetés</t>
  </si>
  <si>
    <t>DRV Zrt. 2016. évi víz- és csatornaszolgáltatás támogatása</t>
  </si>
  <si>
    <t>SZL-Bau Balaton Vívóklub</t>
  </si>
  <si>
    <t>Dunántúli Református Egyházkerület (REND rendezvény)</t>
  </si>
  <si>
    <t>Betűtészta Mesekönyv- bolt és Kiadó Kft.</t>
  </si>
  <si>
    <t xml:space="preserve">Almási László Borok háza </t>
  </si>
  <si>
    <t>Balatoni Kajak Kenu Evezős és Vitorlás SE "Klub Senior 10-es hajó Mix" kitüntetés</t>
  </si>
  <si>
    <t>25. Tartalék</t>
  </si>
  <si>
    <t xml:space="preserve">26. Lakásfelújítás 2016. évi </t>
  </si>
  <si>
    <t>27. Lakásfelújítás (2015. évi kötváll.</t>
  </si>
  <si>
    <t>Kemping  vizesblokk tervezés + gépészeti felújítás</t>
  </si>
  <si>
    <t>Vizes VB parkolók terverzése</t>
  </si>
  <si>
    <t>TOP-4.1.1.-15 VE Egészségügyi alapellátás infrastruktúrális fejlesztése pályázat</t>
  </si>
  <si>
    <t>TOP CLLD pályázat közösségi fejlesztések megvalósítására irányuló helyi akciócsoportok megalakítására és azok regisztrációjára vonatkozó felhívás</t>
  </si>
  <si>
    <t xml:space="preserve">Arácsi út szalagkorlát pótmegrendelés </t>
  </si>
  <si>
    <t>Vizes VB  1116/2016 Kormány határozat alapján 2016. évi fejl.kiadások</t>
  </si>
  <si>
    <t>GINOP-7.1.3-2015 Gyógyhely fejlesztés</t>
  </si>
  <si>
    <t>Ferencsik Szobor alapzat</t>
  </si>
  <si>
    <t>Képzőművészeti alkotás (Boldogfai Farkas Sándor alkotása)</t>
  </si>
  <si>
    <t>Aranyhíd sétány 403/15 hrsz-ú ingatlanon étterem, ajándékbolt, nyilvános illemhely rendeltetésű épület eng.terv</t>
  </si>
  <si>
    <t>Konferencia Központ Kft. Szabadtéri színpad felújítása</t>
  </si>
  <si>
    <t>Morvai J. u. ivóvíz házlózat tervezése</t>
  </si>
  <si>
    <t>TOP-2.1.3-15 pályázat csapadékcsatorna hálózat fejl. Projekt előkészítő tanulmány</t>
  </si>
  <si>
    <t>TOP-4.2.1.-15 kódszámú pályázat szoc. Alapszolg. Fejlesztése Megalapozó dokumentum</t>
  </si>
  <si>
    <t>TOP-1.2.1-15 kódszámú pályázat Széchenyi strand fejlesztése pályázat és üzleti terv</t>
  </si>
  <si>
    <t xml:space="preserve">       BVSZK Balatonfüredi Vizisport és Szabadidő Központ Nonprofit Kft.</t>
  </si>
  <si>
    <t xml:space="preserve">       072 hrsz-ú ingatlan megvásárlása 2016. évi ütem</t>
  </si>
  <si>
    <t xml:space="preserve">       Református Iskola bútor beszerzés</t>
  </si>
  <si>
    <t xml:space="preserve">       Önkormányzati lakásokba kazán beszerzés</t>
  </si>
  <si>
    <t>Közvetített szolgáltatások (beruházások továbbszámlázása)</t>
  </si>
  <si>
    <t xml:space="preserve"> - Probio Zrt. fejlesztési támogatása </t>
  </si>
  <si>
    <t xml:space="preserve"> - tagi hitel Probio Zrt.</t>
  </si>
  <si>
    <t xml:space="preserve"> - Füredkult. Kft. fejlesztési támogatás</t>
  </si>
  <si>
    <t xml:space="preserve"> - Autóbusz pályaudvar Uniós támogatás visszafizetés</t>
  </si>
  <si>
    <t>Forgatási célú értékpapír vásárlása</t>
  </si>
  <si>
    <t>218/5 hrsz-ú ingatlan kialakítása érdekében terület csere</t>
  </si>
  <si>
    <t>10. Forgatási célú értékpapír vásárlás</t>
  </si>
  <si>
    <t xml:space="preserve"> Az Önkormányzat államigazgatási feladatok bevételei és kiadásai  2016. év</t>
  </si>
  <si>
    <t xml:space="preserve">MÓDOSÍTOTT EI. II. </t>
  </si>
  <si>
    <t>MÓDISÍTITT EI. II.</t>
  </si>
  <si>
    <t>II. MÓDOSÍTÁS</t>
  </si>
  <si>
    <t>8. Állami támogatás megelőlegezés visszafizetése</t>
  </si>
  <si>
    <t>9. Betét vásárlás</t>
  </si>
  <si>
    <t xml:space="preserve">Működési célú átvett pénzeszközök </t>
  </si>
  <si>
    <t>Finanszírozási bevételek (hitel, kötvény, értékpapír, betét, állami támogatás megelőlegezés)</t>
  </si>
  <si>
    <t>Balatonarács focipálya + infrastruktúra + parkosítás</t>
  </si>
  <si>
    <t>Gyógyüdülőhely fejlesztési stratégia</t>
  </si>
  <si>
    <t>Szeméttelepen napelempark tervezése</t>
  </si>
  <si>
    <t>Radnóti Iskola maradványból elkülönítve</t>
  </si>
  <si>
    <t>Társulásoknak átadott intézmények kv-i maradványa</t>
  </si>
  <si>
    <t>Család és gyermekjóléti központ fejlesztési tám. 1838/2015.(XI.24.) Korm.határozat</t>
  </si>
  <si>
    <t>Hotel Agro támogatása</t>
  </si>
  <si>
    <t>Széchényi Ferenc Oktatási Alapítványa a diákokért</t>
  </si>
  <si>
    <t>Kerekerdő Óvoda Gyerekeiért Alapítvány támogatása</t>
  </si>
  <si>
    <t xml:space="preserve">Konferencia Központ Kft. Advent fényei </t>
  </si>
  <si>
    <t>Kisértékű eszközök (városüzemeltetés, egyéb)</t>
  </si>
  <si>
    <t>Csopak-Balatonfüred településeket összekötő 7221. j. út tervezés Bfüredre eső 1/3 rész</t>
  </si>
  <si>
    <t>1424/4 hrsz-ú ingatlanon lévő épület bontása</t>
  </si>
  <si>
    <t>Aranyhíd Patika Bt. Részesedés</t>
  </si>
  <si>
    <t>Felhalmozási célú visszatérítendő támogatások, kölcsönök nyújtása áh-n belülre</t>
  </si>
  <si>
    <t>Észak-Balatoni Térség Regionális Települési Szilárdhulladék Kezelési Önkormányzati Társulás</t>
  </si>
  <si>
    <t xml:space="preserve"> - Balatonfüredi Utánpótlás Sport Club (Arácsi focipályák öltöző önrész + uszoda lelátó önrész)</t>
  </si>
  <si>
    <t>3.3. Felhalmozási célú visszatérítendő támogatások, kölcsönök nyújtása áh-n belülre</t>
  </si>
  <si>
    <t>II.4.</t>
  </si>
  <si>
    <t>Önkormányzati támogatás</t>
  </si>
  <si>
    <t>Intézmény / munkanemek</t>
  </si>
  <si>
    <t>1. Park u-i óvoda I/a.</t>
  </si>
  <si>
    <t>2. Arácsi óvoda - Iskolalépcső u. I/c.</t>
  </si>
  <si>
    <t>3. Hunyadi u. óvoda I/b.</t>
  </si>
  <si>
    <t>4. Noszlopy G. u. óvoda III.</t>
  </si>
  <si>
    <t>5. Bölcsőde</t>
  </si>
  <si>
    <t>6. Kossuth u. Óvoda</t>
  </si>
  <si>
    <t>7. Mogyoró u. Óvoda</t>
  </si>
  <si>
    <t>8. Általános Iskola Eötvös Lóránd</t>
  </si>
  <si>
    <t>2013. évi kötelezettségvállalás</t>
  </si>
  <si>
    <t xml:space="preserve">9. Református Általános Iskola </t>
  </si>
  <si>
    <t>1 db felsős tt. bútor csere</t>
  </si>
  <si>
    <t>10. Általános Iskola Radnóti M.</t>
  </si>
  <si>
    <t>11. Általános Iskola Fekete I.</t>
  </si>
  <si>
    <t>12. Ferencsik János Zeneiskola</t>
  </si>
  <si>
    <t>Falvédő burkolat elhelyezése</t>
  </si>
  <si>
    <t>13. Széchenyi F. Szakképző Iskola</t>
  </si>
  <si>
    <t xml:space="preserve"> Összesen</t>
  </si>
  <si>
    <t>14. Lóczy L. Gimnázium</t>
  </si>
  <si>
    <t>15. Közösségi Ház</t>
  </si>
  <si>
    <t>16. BSZAK</t>
  </si>
  <si>
    <t>17. Szakorvosi Rendelő Intézet</t>
  </si>
  <si>
    <t>18. Városi Könyvtár</t>
  </si>
  <si>
    <t>19. Helytörténeti Gyűjtemény</t>
  </si>
  <si>
    <t>20. Játszószoba</t>
  </si>
  <si>
    <t>22. Hivatali épület</t>
  </si>
  <si>
    <t>Irodák felújítása</t>
  </si>
  <si>
    <t>23. Vaszary villa, Jókai Múzeum állagmegóvás</t>
  </si>
  <si>
    <t>24. Konferencia Központ</t>
  </si>
  <si>
    <t>2.</t>
  </si>
  <si>
    <t>3.</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</si>
  <si>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</si>
  <si>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</si>
  <si>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</si>
  <si>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</si>
  <si>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</si>
  <si>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</si>
  <si>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A köznevelési intézmények müködtetéséhez kapcsolódó támogatás</t>
  </si>
  <si>
    <t xml:space="preserve">     család- és gyermekjóléti szolgálat</t>
  </si>
  <si>
    <t xml:space="preserve">     család- és gyermekjóléti központ</t>
  </si>
  <si>
    <t xml:space="preserve">     házi segítségnyújtás - társulás által történő feladatellátás</t>
  </si>
  <si>
    <t xml:space="preserve">     időskorúak nappali intézényi ellátása - társulás által történő feladatellátás</t>
  </si>
  <si>
    <t xml:space="preserve">  A rászoruló gyermekek intézményen kívüli szünidei étkeztetésének támogatása</t>
  </si>
  <si>
    <t>III.3. a.</t>
  </si>
  <si>
    <t>III.3. b.</t>
  </si>
  <si>
    <t>III. 5.c</t>
  </si>
  <si>
    <t xml:space="preserve">  A rászoruló gyermekek int. kívüli szünidei étk. támogatása</t>
  </si>
  <si>
    <t xml:space="preserve"> Az Önkormányzat  működési bevételei és kiadásai  2016. év</t>
  </si>
  <si>
    <t>Bevétele és kiadások mérlege 2016. év</t>
  </si>
  <si>
    <t xml:space="preserve"> Az Önkormányzat felhalmozási bevételei és kiadásai  2016. év</t>
  </si>
  <si>
    <t xml:space="preserve"> Az Önkormányzat  kötelező feladatok bevételei és kiadásai  2016. év</t>
  </si>
  <si>
    <t xml:space="preserve"> Az Önkormányzat önként vállalt feladatok bevételei és kiadásai  2016. év</t>
  </si>
  <si>
    <t>BEVÉTELEK ÉS KIADÁSOK ELŐIRÁNYZATÁNAK HAVI ÜTEMEZÉSE 2016. ÉV</t>
  </si>
  <si>
    <t>Pedagógus II. kat. sorolt óvodapedag. kieg. támog.-minősítés 2014. dec.31-ig szerezték meg</t>
  </si>
  <si>
    <t>Pedagógus II. kat. sorolt óvodapedag. kieg. támog.-minősítés 2015. évben szerezték meg</t>
  </si>
  <si>
    <t>II.5.a</t>
  </si>
  <si>
    <t>II.5.b</t>
  </si>
  <si>
    <t>2015. évről áthúzódó bérkompenzáció támogatása</t>
  </si>
  <si>
    <t xml:space="preserve">    kiegészítő támogatás a bölcsődében foglalkoztatott felsőfokú végzettségű kisgyermeknevelők béréhez</t>
  </si>
  <si>
    <t>III.7.</t>
  </si>
  <si>
    <t>I.6.</t>
  </si>
  <si>
    <t>Bérkompenzáció 2015. évről áthúzódó</t>
  </si>
  <si>
    <t>Védett szőlők támogatása</t>
  </si>
  <si>
    <t xml:space="preserve"> Farkasdy szárny csapadék elvezetés 243/2015.(X.13.)</t>
  </si>
  <si>
    <t xml:space="preserve">5477. hrsz-ú ingatlan vásárlás 306/2015. (XII.17.) </t>
  </si>
  <si>
    <t>218/3 és 210 hrsz-ú ingatlanokat érintő ingatlan csere 307/2015.(XII.17.)</t>
  </si>
  <si>
    <t>139 hrsz-ú ingatlan (szálloda) megvásárlása 210/2015. (VIII.26.)</t>
  </si>
  <si>
    <t xml:space="preserve">       Gótika Kft.</t>
  </si>
  <si>
    <t xml:space="preserve">    -Andrew John Prest Koloska u. 8. helyi védettség alatt álló épület felújítása 311/2015.(XII.17.)</t>
  </si>
  <si>
    <t>Rendkívüli önkormányzati támogatás</t>
  </si>
  <si>
    <t>IV. MÓDOSÍTÁS</t>
  </si>
  <si>
    <t>MÓDISÍTOTT EI. IV.</t>
  </si>
  <si>
    <t xml:space="preserve">   -Hegyi Rita Dózsa György u. 1/a helyi védettség alatt álló épület felújítása 312/2015.(XII.17.) </t>
  </si>
  <si>
    <t xml:space="preserve"> -Nagy Istvánné és Nagy János Mikes K. u. 16. helyi védett épület felújítás 313/2015.(XII.17.) </t>
  </si>
  <si>
    <t xml:space="preserve"> -Pósvári Gábor Arácsi út 94. helyi védett épület felújítása tám. 314/2015. (XII.17.) </t>
  </si>
  <si>
    <t xml:space="preserve"> - Füred Stúdió Kft. Fejlesztés digitalizálás</t>
  </si>
  <si>
    <t>4.1. Üzemeltetési díjak</t>
  </si>
  <si>
    <t>Hátsó nagy kapu javítása(2015. évi kötváll.)</t>
  </si>
  <si>
    <t>Ragalja javítás folytatása (2015. évi kötváll.)</t>
  </si>
  <si>
    <t>Bejárati ajtó feújítása, beázott fal javítása, szigetelő vakolat Gipszkartonozás, festés, villany (2015. évi kötváll.)</t>
  </si>
  <si>
    <t>Posta épület bontása (2015. évi kötváll.)</t>
  </si>
  <si>
    <t>Játszótéri homokcsere (2015. évi kötváll.)</t>
  </si>
  <si>
    <t xml:space="preserve">Kerítés festés, zárak (2015. évi kötváll.) </t>
  </si>
  <si>
    <t>WC kialakítás (2015. évi kötváll.)</t>
  </si>
  <si>
    <t>Árnyéktűrő füvesítés(2015. évi kötváll.)</t>
  </si>
  <si>
    <t>Hátsó járda, lépcső felújítása (2015. évi kötváll.)</t>
  </si>
  <si>
    <t>Pince villamos vezetékcsere (2015. évi kötváll.)</t>
  </si>
  <si>
    <t>Salakos futópálya felújítása (2015. évi kötváll.)</t>
  </si>
  <si>
    <t>Tanári WC-k felújítása (2015. évi kötváll.)</t>
  </si>
  <si>
    <t>Tantermek festése, gipszkartonok foly. Cseréje (2015. évi kötváll.)</t>
  </si>
  <si>
    <t>éttermi mosdók felújítás (2015. évi kötváll.)</t>
  </si>
  <si>
    <t>tornaterem világítás felújítás (2015. évi kötváll.)</t>
  </si>
  <si>
    <t>2 db alsós terem világítása (2015. évi kötváll.)</t>
  </si>
  <si>
    <t>Törött mosdók, WC-k cseréje (2015. évi kötváll.)</t>
  </si>
  <si>
    <t>Sportpálya vonal festése (aszf) (2015. évi kötváll.)</t>
  </si>
  <si>
    <t>Ereszcsatorna tisztítás (2015. évi kötváll.)</t>
  </si>
  <si>
    <t>Beázott falfelület javítása (2015. évi kötváll.)</t>
  </si>
  <si>
    <t>Kollégiumi külön tanterem felújítása (2015. évi kötváll.)</t>
  </si>
  <si>
    <t>Koll. csengő felszerelése (2015. évi kötváll.)</t>
  </si>
  <si>
    <t>Folyosói mennyezeti világítás (2015. évi kötváll.)</t>
  </si>
  <si>
    <t>Távolugró pálya építése (2015. évi kötváll.)</t>
  </si>
  <si>
    <t>Kosárpalánk udvari elh. (2015. évi kötváll.)</t>
  </si>
  <si>
    <t>Igazgatói iroda festés (2015. évi kötváll.)</t>
  </si>
  <si>
    <t>Látogatói és személyzeti WC festés, (falikutak leszedése) (2015. évi kötváll.)</t>
  </si>
  <si>
    <t xml:space="preserve">Hajmáskér-Sólyi Református Társegyházközség Pannonikum Szeretetszolgálat </t>
  </si>
  <si>
    <t>Szent Benedek Szakiskola kollégium belső építészeti felújítás I-II. ütem 268/2015.(XII.17.)</t>
  </si>
  <si>
    <t>Intézményi felújítások 2015. évi kötváll.</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</si>
  <si>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</si>
  <si>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</si>
  <si>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</si>
  <si>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</si>
  <si>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</si>
  <si>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</si>
  <si>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Tisztasági meszelés (2014. évi kötváll.)</t>
  </si>
  <si>
    <t xml:space="preserve"> - Balatonfüred Kézilabda Sportjáért Közhasznú Alapítvány Kézilabda Akadémia építés</t>
  </si>
  <si>
    <t>Fénymásoló</t>
  </si>
  <si>
    <t>Szárítógép</t>
  </si>
  <si>
    <t>Mosógép</t>
  </si>
  <si>
    <t>Projektor izzók</t>
  </si>
  <si>
    <t>Kamera, kameraállvány</t>
  </si>
  <si>
    <t xml:space="preserve"> Lóczy barlang fogadóépület tervezési ktg. 16/2016.(II.04.)</t>
  </si>
  <si>
    <t xml:space="preserve"> - tagi hitel Gótika Kft.</t>
  </si>
  <si>
    <t>Balaton Best Nonprofit Kft. TDM pályázat önrész megelőlegezés</t>
  </si>
  <si>
    <t>Turisztikai Egyesület TDM pályázat önrész megelőlegezés</t>
  </si>
  <si>
    <t>Balatonfüredi Turisztikai Egyesület  (TDM)</t>
  </si>
  <si>
    <t>Balatonfüredi Turisztikai Egyesület  (TDM pályázat önrész 2016. évi)</t>
  </si>
  <si>
    <t>Balaton Best Nonprofit Kft. (TDM pályázati önrész 2016. évi)</t>
  </si>
  <si>
    <t>Betlehemi szoborcsoport bővítése járulék</t>
  </si>
  <si>
    <t>Útépítések 2016. évi I. ütem</t>
  </si>
  <si>
    <t>Vázsonyi úti buszfordulónál lejáró</t>
  </si>
  <si>
    <t>Vízkivételi mű (Kovászna Park)</t>
  </si>
  <si>
    <t>Térfigyelő kamera</t>
  </si>
  <si>
    <t>Utcai bútorok beszerzése (padok, szemetesek)</t>
  </si>
  <si>
    <t>Felnőtt aktív pihenőeszözök telepítése</t>
  </si>
  <si>
    <t>virágládák telepítése</t>
  </si>
  <si>
    <t>Szelektív hulladékgyűjtő sziget II. ütem</t>
  </si>
  <si>
    <t>BMX pálya eszközök</t>
  </si>
  <si>
    <t>Információs táblarendszer bővítése</t>
  </si>
  <si>
    <t>Petőfi- Táncsics u., Öreghegyi u., Balaton u. kisajátítások</t>
  </si>
  <si>
    <t>Felhagyott temetők (Papsoka, Katolikus, Zsidó) felújítása</t>
  </si>
  <si>
    <t>Kemping fejlesztés "Bejárható Magyarország"</t>
  </si>
  <si>
    <t>Kisfaludy üzletház WC bővítés</t>
  </si>
  <si>
    <t>telek, épület vásárlás pályázatokhoz</t>
  </si>
  <si>
    <t>pályázati önrész</t>
  </si>
  <si>
    <t>Lóczy Lajos Alapítvány</t>
  </si>
  <si>
    <t xml:space="preserve"> - Társasház, Balatonfüred, Noszlopy Gáspár u. 14.</t>
  </si>
  <si>
    <t xml:space="preserve"> - Társasház, Balatonfüred, Noszlopy Gáspár u. 12.</t>
  </si>
  <si>
    <t xml:space="preserve"> -Balatonfüredi Utánpótlás Sport Club infrastruktúrális fejlesztések</t>
  </si>
  <si>
    <t xml:space="preserve"> - Római Katolikus Plébánia fejlesztési támogatás (Piros templom I.)</t>
  </si>
  <si>
    <t xml:space="preserve"> - Arácsi Református Egyház fejlesztési támogatás (udvar, járda)</t>
  </si>
  <si>
    <t xml:space="preserve"> - Római Katolikus Egyház fejlesztési támogatás (Arácson) 2015-2016.</t>
  </si>
  <si>
    <t xml:space="preserve"> - Balatonfüred Sportjáért Közhasznú Alapítvány látvány csapatsport támogatása (363/2011.(X.3.) ) (uszoda)</t>
  </si>
  <si>
    <t xml:space="preserve"> - Balatonfüred Kézilabda Sportjáért Közhasznú Alapítvány Eötvös sportcsarnok </t>
  </si>
  <si>
    <t xml:space="preserve"> - Balatonfüred Sportjáért Közhasznú Alapítvány Radnóti sportcsarnok </t>
  </si>
  <si>
    <t>Posta épület helyének tereprendezése, öntözési lehetőséggel</t>
  </si>
  <si>
    <t>Udvari fajátékok felújítása, festése</t>
  </si>
  <si>
    <t>Konyhai mosogatók cseréje (nagyüzemi)</t>
  </si>
  <si>
    <t>Udvar rendezése, füvesítés</t>
  </si>
  <si>
    <t>4. vizesblokk felújítása</t>
  </si>
  <si>
    <t>Terasz lapozás, járda; terasz kerítés (2015. évi kötváll.) + 2016. évi</t>
  </si>
  <si>
    <t>Terász árnyékoló berendezés csere</t>
  </si>
  <si>
    <t>Terasz lapozás, járda; terasz kerítés (2015. évi kötváll.) +2016. évi</t>
  </si>
  <si>
    <t>udvar füvesítés</t>
  </si>
  <si>
    <t>udvar fakerítés eleminek cseréje a Könyvtár felöl</t>
  </si>
  <si>
    <t xml:space="preserve">udvar fedett terasz felülvizsgálata </t>
  </si>
  <si>
    <t>öntözési mellékmérő</t>
  </si>
  <si>
    <t>gyermekmosdóban szekrény beépítése</t>
  </si>
  <si>
    <t>Alsós lépcsőház festése</t>
  </si>
  <si>
    <t>emeleti tanári WC-k felújítása</t>
  </si>
  <si>
    <t>Tantermek világítás korszerűsítése</t>
  </si>
  <si>
    <t>Tantermek és folyosók festése</t>
  </si>
  <si>
    <t>Folyosói burkolatcsere folytatása</t>
  </si>
  <si>
    <t>1 db alsós tt. parketta+festés (2015. évi kötváll.) + 2016. évi</t>
  </si>
  <si>
    <t>műfüves pálya levezető út burkolás , vízelvezetés</t>
  </si>
  <si>
    <t>Alsó két teremben táblák áthelyezése</t>
  </si>
  <si>
    <t>Linóleum padló felújítás</t>
  </si>
  <si>
    <t>bejárati lépcső csúszásgátló felújítása</t>
  </si>
  <si>
    <t>Horváth Mihály u. közmű kiváltás</t>
  </si>
  <si>
    <t xml:space="preserve"> </t>
  </si>
  <si>
    <t>II. Javasolt fejlesztések</t>
  </si>
  <si>
    <t>Uszoda közműbekötés, közműkiváltás</t>
  </si>
  <si>
    <t>III. Egyéb felhalmozási kiadások</t>
  </si>
  <si>
    <t>2016. évi eredeti ei.</t>
  </si>
  <si>
    <t>Eltérés</t>
  </si>
  <si>
    <t xml:space="preserve">    1.1. Előző év költségvetési maradványának  igénybevétele működési célra</t>
  </si>
  <si>
    <t>I. MÓDOSÍTÁS</t>
  </si>
  <si>
    <t>MÓDISÍTITT EI. I.</t>
  </si>
  <si>
    <t>I. MODOSÍTÁS</t>
  </si>
  <si>
    <t xml:space="preserve">MÓDOSÍTOTT EI. I. </t>
  </si>
  <si>
    <t>2015. évi útépítések: Árokszőlő u., Petőfi S. u. 49-69., Kelén köz, Kelén u., Pásztor J. u. járda (I. ütem), Arácsi út 1-3., Németh L. u. és járda, Ady E. u. járda (nyugati oldal), Szivárvány köz (zsák u. rész), Nagy Áron köz, Vasút u, Batsányi u., Erkel Ferenc u., Arácsi labdarúgó pályához vezető út, Temető köz (II. ütem), Horváth M. u. járda, Külterületi út, Petőfi S. u. 66-74., Hárs Köz parkoló, Castricum tér (lebontott épület helyén), Völgy u. középső szakasz, Száka dülő, BMX pálya, Arácsi út támfal,</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</si>
  <si>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</si>
  <si>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</si>
  <si>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</si>
  <si>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</si>
  <si>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</si>
  <si>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</si>
  <si>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</si>
  <si>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</si>
  <si>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Magyar Judó Szövetség Veterán Judo Európa Bajnokság</t>
  </si>
  <si>
    <t xml:space="preserve"> - Balatonfüred Vizilabda Sportjáért Közhasznú Alapítvány Radnóti sportcsarnok tervezésre</t>
  </si>
  <si>
    <t xml:space="preserve"> - Balatonfüred Kézilabda Sportjáért Közhasznú Alapítvány Eötvös sportcsarnok tervezésre</t>
  </si>
  <si>
    <t xml:space="preserve"> - BYC infrastruktúrális fejlesztések</t>
  </si>
  <si>
    <t xml:space="preserve"> - Balatonfüredi Futball Club infrastruktúrális fejlesztések</t>
  </si>
  <si>
    <t>Park u. Óvoda homokozó telepítéssel</t>
  </si>
  <si>
    <t xml:space="preserve">Anna-Grand Hotel támogatása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</si>
  <si>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</si>
  <si>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</si>
  <si>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</si>
  <si>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</si>
  <si>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</si>
  <si>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</si>
  <si>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</si>
  <si>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</si>
  <si>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</si>
  <si>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</si>
  <si>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</si>
  <si>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</si>
  <si>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</si>
  <si>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</si>
  <si>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</si>
  <si>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</si>
  <si>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</si>
  <si>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</si>
  <si>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</si>
  <si>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</si>
  <si>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</si>
  <si>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</si>
  <si>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</si>
  <si>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</si>
  <si>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</si>
  <si>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</si>
  <si>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</si>
  <si>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</si>
  <si>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</si>
  <si>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</si>
  <si>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</si>
  <si>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</si>
  <si>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</si>
  <si>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</si>
  <si>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köznevelési feladatok támogatása pótlólagos összeg</t>
  </si>
  <si>
    <t>ÖNKORMÁNYZAT</t>
  </si>
  <si>
    <t>KÖZÖS ÖNKORMÁNYZATI HIVATAL</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</si>
  <si>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</si>
  <si>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</si>
  <si>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</si>
  <si>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</si>
  <si>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</si>
  <si>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</si>
  <si>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</si>
  <si>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</si>
  <si>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</si>
  <si>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</si>
  <si>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</si>
  <si>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</si>
  <si>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</si>
  <si>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</si>
  <si>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</si>
  <si>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</si>
  <si>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</si>
  <si>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</si>
  <si>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</si>
  <si>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</si>
  <si>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</si>
  <si>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</si>
  <si>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</si>
  <si>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</si>
  <si>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</si>
  <si>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</si>
  <si>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</si>
  <si>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</si>
  <si>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</si>
  <si>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1. Áru- és készletértékesítés bevétele</t>
  </si>
  <si>
    <t>2. Nyújtott szolgáltatások ellenértéke</t>
  </si>
  <si>
    <t>3. Közvetített szolgáltatások ellenértéke</t>
  </si>
  <si>
    <t>4. Tulajdonosi bevételek</t>
  </si>
  <si>
    <t>4.2. Részesedés után kapott osztalék</t>
  </si>
  <si>
    <t>5. Ellátási díjak</t>
  </si>
  <si>
    <t>6. Kiszámlázott Áfa</t>
  </si>
  <si>
    <t>7. Áfa visszatérítés</t>
  </si>
  <si>
    <t>8. Kamatbevétel</t>
  </si>
  <si>
    <t>9. Egyéb működési bevételek (alkalmazottak térítése,  kötbér, stb.)</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</si>
  <si>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</si>
  <si>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</si>
  <si>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</si>
  <si>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</si>
  <si>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</si>
  <si>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III. MÓDOSÍTÁS</t>
  </si>
  <si>
    <t>MÓDISÍTOTT EI. III.</t>
  </si>
  <si>
    <t>Nyomtató</t>
  </si>
  <si>
    <t>Elektromos lombszívó</t>
  </si>
  <si>
    <t>Emléktáblák</t>
  </si>
  <si>
    <t>Lóczy L. u. 52. ingatlan felújítás</t>
  </si>
  <si>
    <t>1552/1 hrsz-ú ingatlan vásárlás csere útján (Kossuth u. 26/B)</t>
  </si>
  <si>
    <t>Forgalomtechnikai feladatok tervezése</t>
  </si>
  <si>
    <t>Kossuth u. 24. lakás konyhabútor</t>
  </si>
  <si>
    <t xml:space="preserve">1543/2 hrsz-ú ingatlan vásárlás (Kossuth u. 24.) </t>
  </si>
  <si>
    <t>Vizes VB parkolófejlesztés Zákonyi mélygarázs</t>
  </si>
  <si>
    <t>Annagora Park ingatlan tulajdoni hányad megvásárlása</t>
  </si>
  <si>
    <t xml:space="preserve"> - Balatonfüredi Vízisport és Szabadidő Központ NKft. Tagi kölcsön 288/2016. (X.20.)</t>
  </si>
  <si>
    <t xml:space="preserve"> -Nagy János Mikes K. u. 16. helyi védett épület felújítása 319/2016.(X.27.)</t>
  </si>
  <si>
    <t xml:space="preserve"> -Szollősi Lajosné Bajcsy-Zs. u. 8. helyi védett épület felújítása 319/2016.(X.27.)</t>
  </si>
  <si>
    <t xml:space="preserve"> - Kovács Szilárdné Németh L. u. 3. helyi védett épület felújítása 318/2016.(X.27.)</t>
  </si>
  <si>
    <t xml:space="preserve"> -Uniós támogatás visszafizetés</t>
  </si>
  <si>
    <t xml:space="preserve"> - Konferencia Központ Kft. fejlesztési támogatása </t>
  </si>
  <si>
    <t>1.7. Vis major</t>
  </si>
  <si>
    <t xml:space="preserve">Vizes VB parkolófejlesztés  </t>
  </si>
  <si>
    <t>Vizes VB létesítményfejlesztés</t>
  </si>
  <si>
    <t>Turisztikai Egyesület visszatérítendő tám.</t>
  </si>
  <si>
    <t>Ágazati pótlék visszafizetendő</t>
  </si>
  <si>
    <t>Uniós pályázat szabálytalanság miatti visszafizetés</t>
  </si>
  <si>
    <t>Balatoni Kajak- Kenu Evezős és Vitorlás SE</t>
  </si>
  <si>
    <t>Cimbora Alapítvány az Egészséges és Kulturált Gyermekekért</t>
  </si>
  <si>
    <t>A csúszdák védőburkolatának szélesítése</t>
  </si>
  <si>
    <t>Konyha falfelújítás és festés</t>
  </si>
  <si>
    <t xml:space="preserve">Sportpálya lejáró és kerítés </t>
  </si>
  <si>
    <t>Vihar rongált előtetők javítása</t>
  </si>
  <si>
    <t>Épület lábazat javítása</t>
  </si>
  <si>
    <t>Belső udvar eresz javítás</t>
  </si>
  <si>
    <t>Füred Stúdió Kft. működés megelőlegezés</t>
  </si>
  <si>
    <t>rend</t>
  </si>
  <si>
    <t>Költségvetési működési kiadások kötelező feladatok szerinti bontásban</t>
  </si>
  <si>
    <t>INTÉZMÉNYI BEVÉTELEK</t>
  </si>
  <si>
    <t>INTÉZMÉNYI SAJÁT HATÁSKÖRŰ FEJLESZTÉSEK</t>
  </si>
  <si>
    <t>2016. évi módosított ei. IV.</t>
  </si>
  <si>
    <t>2016. évi IV. módosítás</t>
  </si>
  <si>
    <t>IV. MODOSÍTÁS</t>
  </si>
  <si>
    <t xml:space="preserve">MÓDOSÍTOTT EI. IV. </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</si>
  <si>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</si>
  <si>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</si>
  <si>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</si>
  <si>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</si>
  <si>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</si>
  <si>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</si>
  <si>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</si>
  <si>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</si>
  <si>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</si>
  <si>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</si>
  <si>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</si>
  <si>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</si>
  <si>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</si>
  <si>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</si>
  <si>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2.1. Forgatási célú értékpapírok beváltása, értékesítéseű</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</si>
  <si>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</si>
  <si>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</si>
  <si>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</si>
  <si>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</si>
  <si>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</si>
  <si>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</si>
  <si>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EÖTVÖS L. ÁLTALÁNOS ISKOLA</t>
  </si>
  <si>
    <t>RADNÓTI M. ÁLTALÁNOS ISKOLA</t>
  </si>
  <si>
    <t>FEKETE ISTVÁN ÁLTALÁNOS ISKOLA</t>
  </si>
  <si>
    <t>LÓCZY L. GIMNÁZIUM</t>
  </si>
  <si>
    <t>FERENCSIK J. ZENEISKOLA</t>
  </si>
  <si>
    <t>INTÉZMÉNYELLÁTÓ SZ. KP</t>
  </si>
  <si>
    <t>BALATONFÜREDI INTÉZMÉNYELLÁTÓ SZERVEZET ÖSSZESEN</t>
  </si>
  <si>
    <t>VÁROSI KÖNYVTÁR</t>
  </si>
  <si>
    <t>VÁROSI RENDELŐINTÉZET</t>
  </si>
  <si>
    <t>VÁROSI BÖLCSŐDE</t>
  </si>
  <si>
    <t>KÖLTSÉGVETÉSI SZERVEK ÖSSZESEN</t>
  </si>
  <si>
    <t>I. Működési célú támogatások államházatartáson belülről</t>
  </si>
  <si>
    <t>II. Közhatalmi bevételek</t>
  </si>
  <si>
    <t>3. Irányító szervi támogatások</t>
  </si>
  <si>
    <t>1. Irányító szervtől kapott működési célú támogatás</t>
  </si>
  <si>
    <t>2. Irányító szervtől kapott felhalmozási célú támogatás</t>
  </si>
  <si>
    <t>Létszámadatok intézményenként</t>
  </si>
  <si>
    <t>technikai állomány (fő)</t>
  </si>
  <si>
    <t>szakmai állomány (fő)</t>
  </si>
  <si>
    <t>határozott idejű (fő</t>
  </si>
  <si>
    <t>közfoglalkoztatott (fő)</t>
  </si>
  <si>
    <t>Összesen (fő):</t>
  </si>
  <si>
    <t>Önkormányzat engedélyezett létszám</t>
  </si>
  <si>
    <t xml:space="preserve">  ebből: TÁMOP pályázatok</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</si>
  <si>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</si>
  <si>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</si>
  <si>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</si>
  <si>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</si>
  <si>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</si>
  <si>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</si>
  <si>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</si>
  <si>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</si>
  <si>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</si>
  <si>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</si>
  <si>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</si>
  <si>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</si>
  <si>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</si>
  <si>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</si>
  <si>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</si>
  <si>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</si>
  <si>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Kisértékű tárgyi eszközök</t>
  </si>
  <si>
    <t xml:space="preserve">  Nyári diákmunka</t>
  </si>
  <si>
    <t xml:space="preserve">     szociális étkeztetés</t>
  </si>
  <si>
    <t xml:space="preserve">     házi segítségnyújtás</t>
  </si>
  <si>
    <t xml:space="preserve">     időskorúak nappali intézényi ellátása</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</si>
  <si>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</si>
  <si>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</si>
  <si>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</si>
  <si>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 xml:space="preserve">  Gyermekek napközbeni ellátása</t>
  </si>
  <si>
    <t xml:space="preserve">    bölcsödei ellátás</t>
  </si>
  <si>
    <t xml:space="preserve">    bölcsödei ellátás hátrányos helyzetű gyermek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</si>
  <si>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</si>
  <si>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</si>
  <si>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</si>
  <si>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</si>
  <si>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</si>
  <si>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Óvodapedagógusok elismert létszáma (4 hó)</t>
  </si>
  <si>
    <t>Óvodapedagógusok elismert létszáma (4 hó) (pótlólagos összeg)</t>
  </si>
  <si>
    <t>Óvodapedagógusok munkáját kvetlenül segítők (4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</si>
  <si>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</si>
  <si>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</si>
  <si>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</si>
  <si>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</si>
  <si>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</si>
  <si>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</si>
  <si>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</si>
  <si>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</si>
  <si>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Létszám</t>
  </si>
  <si>
    <t>II.1.</t>
  </si>
  <si>
    <t>II.2.</t>
  </si>
  <si>
    <t>Óvodaműködtetési támogatás (8 hó)</t>
  </si>
  <si>
    <t>Óvodaműködtetési támogatás (4 hó)</t>
  </si>
  <si>
    <t>III. 5.a</t>
  </si>
  <si>
    <t>Gyermekétkeztetés támogatása (bértámogatás)</t>
  </si>
  <si>
    <t>III. 5.b</t>
  </si>
  <si>
    <t>Gyermekétkeztetés üzemeltetési  támogatása</t>
  </si>
  <si>
    <t>Kiserdei óvoda összesen:</t>
  </si>
  <si>
    <t>Óvárosi óvoda összesen:</t>
  </si>
  <si>
    <t>Tündérkert óvoda összesen:</t>
  </si>
  <si>
    <t>Kökörcsin óvoda összesen:</t>
  </si>
  <si>
    <t>Iskolai étkeztetés támogatása (bértámogatás)</t>
  </si>
  <si>
    <t>Intézményellátó összesen:</t>
  </si>
  <si>
    <t>III.3. ja.</t>
  </si>
  <si>
    <t>Bölcsödei ellátás</t>
  </si>
  <si>
    <t>Bölcsödében elhelyezett gyermekek étkeztetése (bértámogatás)</t>
  </si>
  <si>
    <t>Bölcsöde összesen.</t>
  </si>
  <si>
    <t>III.3.</t>
  </si>
  <si>
    <t>Egyes szociális és gyermekjóléti feladatok támog.</t>
  </si>
  <si>
    <t>III.3. c.</t>
  </si>
  <si>
    <t>III.3. d.</t>
  </si>
  <si>
    <t>III.3. f.</t>
  </si>
  <si>
    <t>III.3. g.</t>
  </si>
  <si>
    <t>BSZAK összesen:</t>
  </si>
  <si>
    <t>I.a.</t>
  </si>
  <si>
    <t>Önkormányzati hivatal működtetésének támogatás</t>
  </si>
  <si>
    <t>Önkormányzati Hivatal összesen:</t>
  </si>
  <si>
    <t>IV. 1.d.</t>
  </si>
  <si>
    <t>Nyilvános könyvtári feladatok támogatása</t>
  </si>
  <si>
    <t>III.2.</t>
  </si>
  <si>
    <t>I.b.</t>
  </si>
  <si>
    <t>Település üz-hez kapcsolódó feladatellát.támog.</t>
  </si>
  <si>
    <t>I.ba.</t>
  </si>
  <si>
    <t>I.bb.</t>
  </si>
  <si>
    <t>I.bc.</t>
  </si>
  <si>
    <t>I.bd.</t>
  </si>
  <si>
    <t>I.d.</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</si>
  <si>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</si>
  <si>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</si>
  <si>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</si>
  <si>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</si>
  <si>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</si>
  <si>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</si>
  <si>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</si>
  <si>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</si>
  <si>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Eötvös L.Ált.Isk.</t>
  </si>
  <si>
    <t>Radnóti M.Ált.Isk.</t>
  </si>
  <si>
    <t>Fekete István Ált.Isk.</t>
  </si>
  <si>
    <t>Lóczy Lajos Gimnázium</t>
  </si>
  <si>
    <t>Ferencsik J.Zeneisk.</t>
  </si>
  <si>
    <t>Intézményellátó Sz. kp.</t>
  </si>
  <si>
    <t>Balatonfüredi Intézményellátó Szervezet</t>
  </si>
  <si>
    <t>Városi Könyvtár</t>
  </si>
  <si>
    <t>Városi Rendelőint.</t>
  </si>
  <si>
    <t>Városi Bölcsőde</t>
  </si>
  <si>
    <t>Költségvetési szervek összesen:</t>
  </si>
  <si>
    <t>Önkormányzati Hivatal</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</si>
  <si>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</si>
  <si>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</si>
  <si>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</si>
  <si>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</si>
  <si>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</si>
  <si>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</si>
  <si>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</si>
  <si>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</si>
  <si>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</si>
  <si>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</si>
  <si>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</si>
  <si>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</si>
  <si>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Eötvös L. Ált.Isk.</t>
  </si>
  <si>
    <t>Intézményellátó kp.</t>
  </si>
  <si>
    <t>Bölcsöde</t>
  </si>
  <si>
    <t>Intézmény</t>
  </si>
  <si>
    <t>EÖTVÖS ISKOLA</t>
  </si>
  <si>
    <t>RADNÓTI ISKOLA</t>
  </si>
  <si>
    <t>FEKETE I. ISKOLA</t>
  </si>
  <si>
    <t>GIMNÁZIUM</t>
  </si>
  <si>
    <t>Intézményellátó  kp.</t>
  </si>
  <si>
    <t>ZENEISKOLA</t>
  </si>
  <si>
    <t>INTÉZMÉNYELLÁTÓ ÖSSZESEN:</t>
  </si>
  <si>
    <t>KÖNYVTÁR</t>
  </si>
  <si>
    <t>BÖLCSÖDE</t>
  </si>
  <si>
    <t>RENDELŐINTÉZET</t>
  </si>
  <si>
    <t>Orvosi műszerek</t>
  </si>
  <si>
    <t>Összesen:</t>
  </si>
  <si>
    <t>I.   Közös Önkormányzati Hivatal költségvetése</t>
  </si>
  <si>
    <t>1. Személyi juttatás</t>
  </si>
  <si>
    <t>2. Munkaadót terhelő járulékok</t>
  </si>
  <si>
    <t>3. Dologi kiadások</t>
  </si>
  <si>
    <t xml:space="preserve">          Igazgatás dologi Balatonfüred</t>
  </si>
  <si>
    <t xml:space="preserve">          Telephelyek dologi</t>
  </si>
  <si>
    <t>4.1.  Ellátottak pénzbeli juttatásai Balatonfüred</t>
  </si>
  <si>
    <t xml:space="preserve">   Rendszeres gyermekvédelmi támogatás</t>
  </si>
  <si>
    <t xml:space="preserve">   Bérpótló juttatás, fogl.helyetteítő tám.</t>
  </si>
  <si>
    <t xml:space="preserve">   Rendszeres szociális segély</t>
  </si>
  <si>
    <t xml:space="preserve">   Lakásfenntartási támogatás</t>
  </si>
  <si>
    <t>4.2. Ellátottak pénzbeli juttatásai  telephelyek</t>
  </si>
  <si>
    <t>5. Egyéb működési célú kiadások</t>
  </si>
  <si>
    <t>6. Saját hatáskörű fejlesztések</t>
  </si>
  <si>
    <t>I. Közös Önkormányzati Hivatal összesen:</t>
  </si>
  <si>
    <t>II.  Önkormányzat költségvetése</t>
  </si>
  <si>
    <t>1. Személyi juttatások</t>
  </si>
  <si>
    <t xml:space="preserve">  Képviselő-testület személyi juttatásai</t>
  </si>
  <si>
    <t xml:space="preserve">  Városi Kitüntetések</t>
  </si>
  <si>
    <t xml:space="preserve">  Megbízási díjak</t>
  </si>
  <si>
    <t xml:space="preserve">  Jubileumi jutalom szakiskola</t>
  </si>
  <si>
    <t xml:space="preserve">  Ösztöndíjak</t>
  </si>
  <si>
    <t xml:space="preserve">  Közfoglalkoztatás</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</si>
  <si>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</si>
  <si>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</si>
  <si>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</si>
  <si>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</si>
  <si>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</si>
  <si>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</si>
  <si>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</si>
  <si>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</si>
  <si>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</si>
  <si>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</si>
  <si>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</si>
  <si>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</si>
  <si>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</si>
  <si>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</si>
  <si>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Autóbusz pályaudvar pályázat dologi kiadás</t>
  </si>
  <si>
    <t>4. Ellátottak pénzbeli juttatásai</t>
  </si>
  <si>
    <t>Nyári szociális gyermekétkeztetés</t>
  </si>
  <si>
    <t>Rendkívüli gyermekvédelmi támogatás</t>
  </si>
  <si>
    <t>Átm szociális segély (kölcsön)</t>
  </si>
  <si>
    <t>Temetési segély</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</si>
  <si>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</si>
  <si>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</si>
  <si>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</si>
  <si>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</si>
  <si>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Felhagyott temetők (Papsoka) előkészítés</t>
  </si>
  <si>
    <t>TOP-5.1.2-15- VE1 Helyi foglalkoztatás előkészítés</t>
  </si>
  <si>
    <t xml:space="preserve">     Kamerarendszer támogatása</t>
  </si>
  <si>
    <t>Balatonfüred Városért Közalapítvány visszatér. tám.</t>
  </si>
  <si>
    <t xml:space="preserve">Több éves kihatással járó döntésekből származó kötelezettségek célok szerint, </t>
  </si>
  <si>
    <t>évenkénti bontásban (e/Ft)</t>
  </si>
  <si>
    <t xml:space="preserve">Kötelezettség jogcíme </t>
  </si>
  <si>
    <t>Kötelezettség-</t>
  </si>
  <si>
    <t>2016. előtti</t>
  </si>
  <si>
    <t>2015. évi költségvetés terhére fizetendő</t>
  </si>
  <si>
    <t>2019. után</t>
  </si>
  <si>
    <t>Tárgyéven túli köt. Összesen (7+8+9+10)</t>
  </si>
  <si>
    <t>Összesen (4+5+6+11)</t>
  </si>
  <si>
    <t xml:space="preserve">vállalás </t>
  </si>
  <si>
    <t xml:space="preserve">kifizetés </t>
  </si>
  <si>
    <t>2016.</t>
  </si>
  <si>
    <t>2017.</t>
  </si>
  <si>
    <t>2018.</t>
  </si>
  <si>
    <t>2019.</t>
  </si>
  <si>
    <t xml:space="preserve">éve </t>
  </si>
  <si>
    <t>(aktuális  kv-i év)</t>
  </si>
  <si>
    <t>1.</t>
  </si>
  <si>
    <t>4.</t>
  </si>
  <si>
    <t>5.</t>
  </si>
  <si>
    <t>6.</t>
  </si>
  <si>
    <t>7.</t>
  </si>
  <si>
    <t>8.</t>
  </si>
  <si>
    <t>9.</t>
  </si>
  <si>
    <t>10.</t>
  </si>
  <si>
    <t>11.</t>
  </si>
  <si>
    <t>12.</t>
  </si>
  <si>
    <t>Működési célú hitel-törlesztés</t>
  </si>
  <si>
    <t>(tőke + kamat )</t>
  </si>
  <si>
    <t>Felhalmozási célú hitel-törlesztés</t>
  </si>
  <si>
    <t xml:space="preserve">(tőke + kamat) </t>
  </si>
  <si>
    <t>Bérlakásépítés hitel</t>
  </si>
  <si>
    <t>Szennyvízcsatorna beruházás hitel</t>
  </si>
  <si>
    <t>Útépítés, intézményi beruházás hitel</t>
  </si>
  <si>
    <t>Zákonyi utca átépítése hitel</t>
  </si>
  <si>
    <t>Füred Kemping vásárlása hitel</t>
  </si>
  <si>
    <t>hitel összesen</t>
  </si>
  <si>
    <t>Bérlakás hitel kamata</t>
  </si>
  <si>
    <t>Szennyvízcsatorna beruházás hitel kamata</t>
  </si>
  <si>
    <t>Útépítés, intézményi beruházás hitel kamata</t>
  </si>
  <si>
    <t>Zákonyi utca átépítése hitel kamata</t>
  </si>
  <si>
    <t>13.</t>
  </si>
  <si>
    <t>Füred Kemping vásárlása hitel kamat</t>
  </si>
  <si>
    <t>kamat összesen</t>
  </si>
  <si>
    <t>kezességvállalás: Orvosok hitelei</t>
  </si>
  <si>
    <t>kezességvállalás: hitelek összesen</t>
  </si>
  <si>
    <t>kezességvállalás: Orvosok hitelkamatai</t>
  </si>
  <si>
    <t>kezességvállalás: hitelkamatok össz.</t>
  </si>
  <si>
    <t>Fejlesztés feladatonként</t>
  </si>
  <si>
    <t>Panelprogram tám.: Köztársaság u. 3. (351/2005)</t>
  </si>
  <si>
    <t>2005.</t>
  </si>
  <si>
    <t>Panelprogram tám.: Köztársaság u. 5. (352/2005)</t>
  </si>
  <si>
    <t>Panelprogram tám.: Noszlopy u. 16. (353/2005)</t>
  </si>
  <si>
    <t>Panelprogram tám.: Kéki u. 2. (289/2006)</t>
  </si>
  <si>
    <t>2006.</t>
  </si>
  <si>
    <t>Panelprogram tám.: Csárda u. 2. (290/2006)</t>
  </si>
  <si>
    <t>Panelprogram tám.: Köztársaság u. 13. (291/2006)</t>
  </si>
  <si>
    <t>Panelprogram tám.: Kéki u. 5. (292/2006)</t>
  </si>
  <si>
    <t>Panelprogram tám.: Köztársaság u. 7. (293/2006)</t>
  </si>
  <si>
    <t>Panelprogram tám.: Csárda u. 19. (294/2006)</t>
  </si>
  <si>
    <t>DRV Zrt hozzájárulás környezetvédelmi beruházások megvalósítására</t>
  </si>
  <si>
    <t>Népház és posta rekonstrukciója pályázathoz kapcsolódó ingatlan karbantartás és fenntartás költségeire pénzügyi alap (220/2008)</t>
  </si>
  <si>
    <t>2008.</t>
  </si>
  <si>
    <t>Balatoni Hajózási Zrt részvénycsomagjának átvételével kapcsolatos kötváll (tőkeemelés és tőkejuttatás) (285/2008)</t>
  </si>
  <si>
    <t>Mederhasználati díjra megkötött szerződés (lejár 2067.09.17)</t>
  </si>
  <si>
    <t>Panelprogram Köztársaság u. 19. tám (8/2009)</t>
  </si>
  <si>
    <t>Panelpromram Köztársaság u. 17. tám (9/2009)</t>
  </si>
  <si>
    <t>Panelprogram Köztársaság u.15.tám. (10/2009)</t>
  </si>
  <si>
    <t>2009.</t>
  </si>
  <si>
    <t>Panelprogram Köztársaság u.11.tám. (11/2009)</t>
  </si>
  <si>
    <t>Panelprogram Köztársaság u.1. tám. (12/2009)</t>
  </si>
  <si>
    <t>Együttműködési megáll.Orsz. Rendőrfőkapitánysággal (47/2009), 288/2014. (XI.27.)</t>
  </si>
  <si>
    <t>TDM pályázat működési támogatás (2+5 évre) (194,201/2009)</t>
  </si>
  <si>
    <t>Autóbuszpályaudvar fejlesztése pályázat: elszámolható költségek önrész, pályázaton kívűli beruházás teljes összeg(86/2010)</t>
  </si>
  <si>
    <t>Autóbuszpályaudvar pm költség, közbeszerzés 339/2011 (IX.15)</t>
  </si>
  <si>
    <t>Balaton Mozi támogatása (53/2011)</t>
  </si>
  <si>
    <t>2 TDM projekt 2017-2018 évi támogatása (124/2011)</t>
  </si>
  <si>
    <t>Anna-korzó II. ütem kiépítése (204/2011)</t>
  </si>
  <si>
    <t>Kerékpárforgalmi hálózat fejlesztése 276/2011 (VII.28)</t>
  </si>
  <si>
    <t>Balatonfüred Vizilabda Sportjáért Közhasznú Alapítvány támogatás saját forrás biztosítására 341/2011 (IX.15.),  295/2013. (IX.30.)</t>
  </si>
  <si>
    <t>Intézményi felújítások 2012-2014 év 20/2012 (II.08.)</t>
  </si>
  <si>
    <t xml:space="preserve">Annagóra Park Társasház tulajdonjog szerzés 339/2012. (XII.13.) </t>
  </si>
  <si>
    <t>Balatonfüred Kézilabda Sportjáért Közhasznú Alapítvány kézilabda sportakadémia önrész 151/2013. (IV.26.) /2014-2015./</t>
  </si>
  <si>
    <t>Balatonfüredi Yacht Club éves működési támogatásának biztosítása 10 éven keresztül 231/2013. (VII.05.)</t>
  </si>
  <si>
    <t>Balatonfüred Rozmaring köz, Magyare köz, Galagonya u. infrastruktúrális fejlesztése 249/2013. (VII.25.)</t>
  </si>
  <si>
    <t>KMF Közép-magyarországi Fejlesztési Zrt. Konferencia Központ üzletrész részletek</t>
  </si>
  <si>
    <t>300/2014.(XII.18.) intézményi felújítások közbeszerzési kiírásához fedezet biztosítása</t>
  </si>
  <si>
    <t>309/2014. (XII.18.) kisajátítást megelőző vétel, telekalakítás ingatlanok vételára, műszaki és zöldkár megtérítése P. Horváth Á. u.</t>
  </si>
  <si>
    <t>163/2015.(VI.25.) SOS Együtt Egymásért Alapítvánnyal együttműködési megállapodás városüzemeltetés szakfeladat terhére üzemanyagköltségekre</t>
  </si>
  <si>
    <t>210/2015.(VIII.26.) 139 hrsz-ú ingatlan megvásárlása</t>
  </si>
  <si>
    <t>241/2015. (X.13.) 2015. évi útépítések átütemezése</t>
  </si>
  <si>
    <t>243/2015. (X.22.) Farkasdy szárny csapadékvíz elvezetési munkák</t>
  </si>
  <si>
    <t>ÉNYKK Zrt. 2011. évi veszteség rendezésére támogatás nyújtása 252/2015.(X.22.)</t>
  </si>
  <si>
    <t>267/2015.(XI.26.) Balatonfüred Város Sportjáért Közhasznú Alapítvány és a Balatonfüredi Kézilabda Közhasznú Alapítvány visszatérítendő támogatás 4-4 millió forint a Eötvös és Radnóti Iskolák sportcsarnok tervezésre</t>
  </si>
  <si>
    <t>268/2015. (XI.26.) Szent Benedek Szakképző Iskola és Kollégium Fiúkollégium épületének belsőépítészeti Felújítása</t>
  </si>
  <si>
    <t>294/2015.(XII.17.) Gótika Kft. Törzstőke emelés</t>
  </si>
  <si>
    <t>306/2015.(XII.17.) 5477 hrsz-ú ingatlan megvásárlása</t>
  </si>
  <si>
    <t>2015.</t>
  </si>
  <si>
    <t>307/2015.(XII.17.) a 218/3 és 210 hrsz-ú ingatlanokat érintő csere</t>
  </si>
  <si>
    <t>Összesen: (1+4+9)</t>
  </si>
  <si>
    <t>Az Önkormányzat adósságállományának alakulása</t>
  </si>
  <si>
    <t>lejárat, eszközök bel- és külföldi hitelezők szerinti bontásban (e/Ft-ban)</t>
  </si>
  <si>
    <t>Felvétel</t>
  </si>
  <si>
    <t xml:space="preserve">Lejárat </t>
  </si>
  <si>
    <t>Hitel állomány január 1-jén</t>
  </si>
  <si>
    <t xml:space="preserve">Hitel jellege </t>
  </si>
  <si>
    <t>éve</t>
  </si>
  <si>
    <t>2018. után</t>
  </si>
  <si>
    <t>BELFÖLDI HITELÁLLOMÁNY</t>
  </si>
  <si>
    <t>Működési célú hitel állomány + kamat</t>
  </si>
  <si>
    <t xml:space="preserve">Hitel összesen </t>
  </si>
  <si>
    <t xml:space="preserve">Kamat összesen </t>
  </si>
  <si>
    <t>Felhalmozási célú hitel állomány+kamat</t>
  </si>
  <si>
    <t>Hitel összesen (7-10)</t>
  </si>
  <si>
    <t>Kamat összesen (12-15)</t>
  </si>
  <si>
    <t>Összesen: (1+6)</t>
  </si>
  <si>
    <t>KÜLFÖLDI HITELÁLLOMÁNY</t>
  </si>
  <si>
    <t>14.</t>
  </si>
  <si>
    <t>15.</t>
  </si>
  <si>
    <t>16.</t>
  </si>
  <si>
    <t>17.</t>
  </si>
  <si>
    <t>18.</t>
  </si>
  <si>
    <t>19.</t>
  </si>
  <si>
    <t>20.</t>
  </si>
  <si>
    <t>21.</t>
  </si>
  <si>
    <t>22.</t>
  </si>
  <si>
    <t>23.</t>
  </si>
  <si>
    <t>24.</t>
  </si>
  <si>
    <t>25.</t>
  </si>
  <si>
    <t>26.</t>
  </si>
  <si>
    <t>27.</t>
  </si>
  <si>
    <t>Összesen: (18+23)</t>
  </si>
  <si>
    <t>28.</t>
  </si>
  <si>
    <t>Összesen: (17+32)</t>
  </si>
  <si>
    <t>Az önkormányzat által adott közvetett támogatások</t>
  </si>
  <si>
    <t xml:space="preserve">                                (kedvezmények) 2015. év                       </t>
  </si>
  <si>
    <t xml:space="preserve">Bevételi jogcím </t>
  </si>
  <si>
    <t>Intézmények,</t>
  </si>
  <si>
    <t xml:space="preserve">Kedvezmény nélkül </t>
  </si>
  <si>
    <t xml:space="preserve">Kedvezmények </t>
  </si>
  <si>
    <t>adónemek</t>
  </si>
  <si>
    <t>elérhető</t>
  </si>
  <si>
    <t>összege</t>
  </si>
  <si>
    <t>bevétel  e/Ft</t>
  </si>
  <si>
    <t>e/Ft</t>
  </si>
  <si>
    <t>Ellátottak térítési díjának ill. kártérítésének méltányossági alapon történő elengedésének összege</t>
  </si>
  <si>
    <t>Bölcsőde</t>
  </si>
  <si>
    <t>Intézményellátó Sz.</t>
  </si>
  <si>
    <t xml:space="preserve"> -Fekete István Ált. Isk.</t>
  </si>
  <si>
    <t xml:space="preserve"> -Eötvös L. Ált. Isk.</t>
  </si>
  <si>
    <t xml:space="preserve"> -Radnóti M. Ált. Isk.</t>
  </si>
  <si>
    <t xml:space="preserve"> -Zeneiskola</t>
  </si>
  <si>
    <t xml:space="preserve"> -Lóczy L. Gimnázium</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</si>
  <si>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</si>
  <si>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</si>
  <si>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</si>
  <si>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</si>
  <si>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</si>
  <si>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</si>
  <si>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Talajterhelési díj</t>
  </si>
  <si>
    <t>Gépjárműadó</t>
  </si>
  <si>
    <t>Települési adó</t>
  </si>
  <si>
    <t>Helyiségek, eszközök hasznosításából származó bevételből nyújtott kedvezmény, mentesség összege</t>
  </si>
  <si>
    <t>egyéb nyújtott kedvezmény vagy kölcsön elengedésének összege</t>
  </si>
  <si>
    <t>Összesen :</t>
  </si>
  <si>
    <t>KDOP-4.2.3-09-2010-0005</t>
  </si>
  <si>
    <t xml:space="preserve">EU Projekt megnevezése: </t>
  </si>
  <si>
    <t>A közösségi közlekedés feltételeinek javítása Balatonfüreden</t>
  </si>
  <si>
    <t>Bevételek</t>
  </si>
  <si>
    <t>2016 év</t>
  </si>
  <si>
    <t>2017 év</t>
  </si>
  <si>
    <t>2018 év</t>
  </si>
  <si>
    <t>Következő évek</t>
  </si>
  <si>
    <t>EU forrás</t>
  </si>
  <si>
    <t>Egyéb forrás</t>
  </si>
  <si>
    <t>Saját forrás</t>
  </si>
  <si>
    <t>Kiadások</t>
  </si>
  <si>
    <t>személyi juttatások</t>
  </si>
  <si>
    <t>személyi juttatások járulékai</t>
  </si>
  <si>
    <t>dologi kiadások</t>
  </si>
  <si>
    <t>felújítások</t>
  </si>
  <si>
    <t>beruházások</t>
  </si>
  <si>
    <t>átadott pénzeszközök</t>
  </si>
  <si>
    <t>KDOP -4.1.1/E-11-2011-0005</t>
  </si>
  <si>
    <t>Balatonfüred belterületi csapadékvíz elvezetésének fejlesztése</t>
  </si>
  <si>
    <t>Az önkormányzat adósságot keletkeztető ügyletből származó tárgyévi összes fizetési kötelezettsége az adósságot keletkeztető ügylet futamidejének végéig egyik évben sem haladja meg az önkormányzat adott évi saját bevételeinek 50%-át.</t>
  </si>
  <si>
    <t>megnevezés</t>
  </si>
  <si>
    <t>1. Helyi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</si>
  <si>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</si>
  <si>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</si>
  <si>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</si>
  <si>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</si>
  <si>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</si>
  <si>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t>
  </si>
  <si>
    <t xml:space="preserve">adósságot keletkeztető ügyletekből és kezességvállalásokból fennálló kötelezettségek </t>
  </si>
  <si>
    <t>futamidő kezdete</t>
  </si>
  <si>
    <t xml:space="preserve">Balatonfüred Kemping ingatlan vásárlás felvett hitel </t>
  </si>
  <si>
    <t>Balatonfüred Kemping ingatlan vásárlás hitel  kamata</t>
  </si>
  <si>
    <t>Balatoni Hajózási Zrt. részvények átvét. Tőkejuttatás</t>
  </si>
  <si>
    <t>Konferencia Központ üzletrész megvásárlása</t>
  </si>
  <si>
    <t>2003.</t>
  </si>
  <si>
    <t>Panelprogram támogatás</t>
  </si>
  <si>
    <t>2005-2009.</t>
  </si>
  <si>
    <t>15. sz. melléklet</t>
  </si>
  <si>
    <t>PARKOLÓHELY MEGVÁLTÁS ALAKULÁSA 2016.</t>
  </si>
  <si>
    <t>Összeg</t>
  </si>
  <si>
    <t>Előző években befolyt parkolóhely megváltás bevétele</t>
  </si>
  <si>
    <t>2015. évben befolyt parkolóhely megváltás bevétele</t>
  </si>
  <si>
    <t>Bevétel összesen:</t>
  </si>
  <si>
    <t>2011. évben a parkolóhely megváltás alap terhére elsz. kiadás</t>
  </si>
  <si>
    <t>2011. évben a 2013. évi bevétel terhére megelőlegezett kiadás</t>
  </si>
  <si>
    <t>2011. évben a 2014. évi bevétel terhére megelőlegezett kiadás</t>
  </si>
  <si>
    <t>2011. évben a 2015. évi bevétel terhére megelőlegezett kiadás</t>
  </si>
  <si>
    <t>2016. évi tervezett bevétel</t>
  </si>
  <si>
    <t>2016. évben céltartalékba helyezve</t>
  </si>
  <si>
    <t>16. sz. melléklet</t>
  </si>
  <si>
    <t>KÖRNYEZETVÉDELMI ALAP ALAKULÁSA 2016.</t>
  </si>
  <si>
    <t>2013. évi záró</t>
  </si>
  <si>
    <t>2014. év</t>
  </si>
  <si>
    <t>Környezetvédelmi bírság</t>
  </si>
  <si>
    <t>2014. évi kiadás</t>
  </si>
  <si>
    <t>2014. évi záró</t>
  </si>
  <si>
    <t>2015. évi kiadás</t>
  </si>
  <si>
    <t>2015. évi  bevétel</t>
  </si>
  <si>
    <t>2015. évi záró</t>
  </si>
  <si>
    <t>2016. évi tervezetett kiadás</t>
  </si>
  <si>
    <t>2016. évi várható záró</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</si>
</sst>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F_t_-;\-* #,##0.00\ _F_t_-;_-* &quot;-&quot;??\ _F_t_-;_-@_-"/>
    <numFmt numFmtId="164" formatCode="mmm\ d/"/>
    <numFmt numFmtId="165" formatCode="#,##0.0"/>
    <numFmt numFmtId="166" formatCode="0.0"/>
    <numFmt numFmtId="167" formatCode="#,##0;[Red]#,##0"/>
    <numFmt numFmtId="168" formatCode="_-* #,##0\ _F_t_-;\-* #,##0\ _F_t_-;_-* &quot;-&quot;??\ _F_t_-;_-@_-"/>
    <numFmt numFmtId="169" formatCode="#\ ##0"/>
  </numFmts>
  <fonts count="59" x14ac:knownFonts="1">
    <font>
      <sz val="10"/>
      <name val="Arial"/>
      <family val="2"/>
      <charset val="238"/>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b/>
      <i/>
      <sz val="10"/>
      <name val="Arial"/>
      <family val="2"/>
      <charset val="238"/>
    </font>
    <font>
      <i/>
      <sz val="12"/>
      <name val="Arial"/>
      <family val="2"/>
      <charset val="238"/>
    </font>
    <font>
      <sz val="8"/>
      <name val="Arial"/>
      <family val="2"/>
      <charset val="238"/>
    </font>
    <font>
      <sz val="10"/>
      <name val="Arial"/>
      <family val="2"/>
      <charset val="238"/>
    </font>
    <font>
      <sz val="9"/>
      <name val="Arial"/>
      <family val="2"/>
      <charset val="238"/>
    </font>
    <font>
      <b/>
      <sz val="11"/>
      <color indexed="8"/>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b/>
      <sz val="11"/>
      <name val="Times New Roman"/>
      <family val="1"/>
      <charset val="238"/>
    </font>
    <font>
      <sz val="12"/>
      <name val="Times New Roman"/>
      <family val="1"/>
      <charset val="238"/>
    </font>
    <font>
      <b/>
      <sz val="10"/>
      <name val="Times New Roman"/>
      <family val="1"/>
      <charset val="238"/>
    </font>
    <font>
      <sz val="10"/>
      <name val="Times New Roman"/>
      <family val="1"/>
      <charset val="238"/>
    </font>
    <font>
      <i/>
      <sz val="14"/>
      <name val="Arial"/>
      <family val="2"/>
      <charset val="238"/>
    </font>
    <font>
      <sz val="10"/>
      <name val="Arial"/>
      <family val="2"/>
      <charset val="238"/>
    </font>
    <font>
      <sz val="10"/>
      <name val="Times New Roman CE"/>
      <family val="1"/>
      <charset val="238"/>
    </font>
    <font>
      <sz val="10"/>
      <color indexed="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sz val="10"/>
      <color indexed="8"/>
      <name val="Arial"/>
      <family val="2"/>
      <charset val="238"/>
    </font>
    <font>
      <b/>
      <sz val="14"/>
      <name val="Arial"/>
      <family val="2"/>
      <charset val="238"/>
    </font>
    <font>
      <b/>
      <sz val="10"/>
      <name val="Arial CE"/>
      <family val="2"/>
      <charset val="238"/>
    </font>
    <font>
      <sz val="10"/>
      <name val="Arial CE"/>
      <charset val="238"/>
    </font>
    <font>
      <sz val="11"/>
      <name val="Arial CE"/>
      <family val="2"/>
      <charset val="238"/>
    </font>
    <font>
      <sz val="10"/>
      <name val="Times New Roman CE"/>
      <charset val="238"/>
    </font>
    <font>
      <b/>
      <sz val="9"/>
      <name val="Arial CE"/>
      <family val="2"/>
      <charset val="238"/>
    </font>
    <font>
      <sz val="9"/>
      <name val="Arial CE"/>
      <family val="2"/>
      <charset val="238"/>
    </font>
    <font>
      <b/>
      <sz val="9"/>
      <name val="Arial CE"/>
      <charset val="238"/>
    </font>
    <font>
      <b/>
      <sz val="10"/>
      <name val="Arial CE"/>
      <charset val="238"/>
    </font>
    <font>
      <sz val="9"/>
      <name val="Times New Roman"/>
      <family val="1"/>
      <charset val="238"/>
    </font>
    <font>
      <b/>
      <i/>
      <u/>
      <sz val="11"/>
      <name val="Arial"/>
      <family val="2"/>
      <charset val="238"/>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indexed="47"/>
        <bgColor indexed="22"/>
      </patternFill>
    </fill>
    <fill>
      <patternFill patternType="solid">
        <fgColor indexed="9"/>
        <bgColor indexed="34"/>
      </patternFill>
    </fill>
  </fills>
  <borders count="19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style="thin">
        <color indexed="8"/>
      </right>
      <top style="thin">
        <color indexed="8"/>
      </top>
      <bottom style="medium">
        <color indexed="64"/>
      </bottom>
      <diagonal/>
    </border>
    <border>
      <left style="medium">
        <color indexed="64"/>
      </left>
      <right/>
      <top style="thin">
        <color indexed="8"/>
      </top>
      <bottom style="thin">
        <color indexed="8"/>
      </bottom>
      <diagonal/>
    </border>
    <border>
      <left style="medium">
        <color indexed="64"/>
      </left>
      <right style="thin">
        <color indexed="8"/>
      </right>
      <top/>
      <bottom style="thin">
        <color indexed="8"/>
      </bottom>
      <diagonal/>
    </border>
    <border>
      <left style="medium">
        <color indexed="64"/>
      </left>
      <right/>
      <top/>
      <bottom/>
      <diagonal/>
    </border>
    <border>
      <left style="thin">
        <color indexed="8"/>
      </left>
      <right style="thin">
        <color indexed="8"/>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medium">
        <color indexed="64"/>
      </right>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medium">
        <color indexed="64"/>
      </right>
      <top style="thin">
        <color indexed="64"/>
      </top>
      <bottom style="thin">
        <color indexed="64"/>
      </bottom>
      <diagonal/>
    </border>
    <border>
      <left style="thin">
        <color indexed="8"/>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8"/>
      </left>
      <right style="medium">
        <color indexed="64"/>
      </right>
      <top style="thin">
        <color indexed="8"/>
      </top>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8"/>
      </right>
      <top style="medium">
        <color indexed="64"/>
      </top>
      <bottom style="medium">
        <color indexed="64"/>
      </bottom>
      <diagonal/>
    </border>
    <border>
      <left style="thin">
        <color indexed="8"/>
      </left>
      <right/>
      <top style="thin">
        <color indexed="8"/>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top style="medium">
        <color indexed="64"/>
      </top>
      <bottom style="thin">
        <color indexed="8"/>
      </bottom>
      <diagonal/>
    </border>
    <border>
      <left style="thin">
        <color indexed="8"/>
      </left>
      <right style="thin">
        <color indexed="8"/>
      </right>
      <top style="thin">
        <color indexed="8"/>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right style="medium">
        <color indexed="64"/>
      </right>
      <top style="thin">
        <color indexed="8"/>
      </top>
      <bottom style="thin">
        <color indexed="8"/>
      </bottom>
      <diagonal/>
    </border>
    <border>
      <left style="thin">
        <color indexed="64"/>
      </left>
      <right style="medium">
        <color indexed="64"/>
      </right>
      <top style="thin">
        <color indexed="64"/>
      </top>
      <bottom/>
      <diagonal/>
    </border>
    <border>
      <left style="thin">
        <color indexed="8"/>
      </left>
      <right style="medium">
        <color indexed="64"/>
      </right>
      <top style="thin">
        <color indexed="8"/>
      </top>
      <bottom style="thin">
        <color indexed="64"/>
      </bottom>
      <diagonal/>
    </border>
    <border>
      <left/>
      <right style="medium">
        <color indexed="64"/>
      </right>
      <top/>
      <bottom/>
      <diagonal/>
    </border>
    <border>
      <left style="thin">
        <color indexed="8"/>
      </left>
      <right/>
      <top style="thin">
        <color indexed="8"/>
      </top>
      <bottom style="thin">
        <color indexed="64"/>
      </bottom>
      <diagonal/>
    </border>
    <border>
      <left style="medium">
        <color indexed="64"/>
      </left>
      <right style="thin">
        <color indexed="64"/>
      </right>
      <top style="medium">
        <color indexed="64"/>
      </top>
      <bottom style="thin">
        <color indexed="8"/>
      </bottom>
      <diagonal/>
    </border>
    <border>
      <left style="medium">
        <color indexed="64"/>
      </left>
      <right style="thin">
        <color indexed="64"/>
      </right>
      <top style="thin">
        <color indexed="8"/>
      </top>
      <bottom style="thin">
        <color indexed="8"/>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8"/>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8"/>
      </bottom>
      <diagonal/>
    </border>
    <border>
      <left style="thin">
        <color indexed="8"/>
      </left>
      <right style="medium">
        <color indexed="64"/>
      </right>
      <top style="thin">
        <color indexed="8"/>
      </top>
      <bottom style="medium">
        <color indexed="64"/>
      </bottom>
      <diagonal/>
    </border>
    <border>
      <left/>
      <right/>
      <top/>
      <bottom style="thin">
        <color indexed="64"/>
      </bottom>
      <diagonal/>
    </border>
    <border>
      <left style="thin">
        <color indexed="64"/>
      </left>
      <right style="thin">
        <color indexed="8"/>
      </right>
      <top style="medium">
        <color indexed="64"/>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medium">
        <color indexed="64"/>
      </top>
      <bottom style="thin">
        <color indexed="8"/>
      </bottom>
      <diagonal/>
    </border>
    <border>
      <left style="thin">
        <color indexed="8"/>
      </left>
      <right style="thin">
        <color indexed="64"/>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bottom/>
      <diagonal/>
    </border>
    <border>
      <left style="medium">
        <color indexed="64"/>
      </left>
      <right style="thin">
        <color indexed="64"/>
      </right>
      <top/>
      <bottom/>
      <diagonal/>
    </border>
    <border>
      <left style="thin">
        <color indexed="64"/>
      </left>
      <right/>
      <top/>
      <bottom/>
      <diagonal/>
    </border>
    <border>
      <left style="thin">
        <color indexed="8"/>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8"/>
      </top>
      <bottom style="thin">
        <color indexed="8"/>
      </bottom>
      <diagonal/>
    </border>
    <border>
      <left/>
      <right style="thin">
        <color indexed="64"/>
      </right>
      <top/>
      <bottom/>
      <diagonal/>
    </border>
    <border>
      <left/>
      <right style="thin">
        <color indexed="64"/>
      </right>
      <top style="thin">
        <color indexed="8"/>
      </top>
      <bottom style="medium">
        <color indexed="64"/>
      </bottom>
      <diagonal/>
    </border>
    <border>
      <left style="thin">
        <color indexed="64"/>
      </left>
      <right style="thin">
        <color indexed="8"/>
      </right>
      <top style="thin">
        <color indexed="8"/>
      </top>
      <bottom style="medium">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8"/>
      </left>
      <right style="thin">
        <color indexed="64"/>
      </right>
      <top style="thin">
        <color indexed="8"/>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diagonal/>
    </border>
    <border>
      <left style="medium">
        <color indexed="64"/>
      </left>
      <right style="thin">
        <color indexed="8"/>
      </right>
      <top/>
      <bottom style="thin">
        <color indexed="64"/>
      </bottom>
      <diagonal/>
    </border>
    <border>
      <left style="thin">
        <color indexed="64"/>
      </left>
      <right style="thin">
        <color indexed="64"/>
      </right>
      <top style="medium">
        <color indexed="64"/>
      </top>
      <bottom style="thin">
        <color indexed="8"/>
      </bottom>
      <diagonal/>
    </border>
    <border>
      <left style="thin">
        <color indexed="64"/>
      </left>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right style="medium">
        <color indexed="64"/>
      </right>
      <top/>
      <bottom style="thin">
        <color indexed="8"/>
      </bottom>
      <diagonal/>
    </border>
    <border>
      <left style="thin">
        <color indexed="64"/>
      </left>
      <right/>
      <top/>
      <bottom style="medium">
        <color indexed="64"/>
      </bottom>
      <diagonal/>
    </border>
    <border>
      <left style="thin">
        <color indexed="8"/>
      </left>
      <right/>
      <top style="medium">
        <color indexed="64"/>
      </top>
      <bottom/>
      <diagonal/>
    </border>
    <border>
      <left style="thin">
        <color indexed="8"/>
      </left>
      <right/>
      <top style="medium">
        <color indexed="64"/>
      </top>
      <bottom style="thin">
        <color indexed="8"/>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8"/>
      </bottom>
      <diagonal/>
    </border>
    <border>
      <left style="medium">
        <color indexed="64"/>
      </left>
      <right/>
      <top style="medium">
        <color indexed="64"/>
      </top>
      <bottom/>
      <diagonal/>
    </border>
    <border>
      <left style="thin">
        <color indexed="8"/>
      </left>
      <right style="thin">
        <color indexed="8"/>
      </right>
      <top style="thin">
        <color indexed="64"/>
      </top>
      <bottom style="thin">
        <color indexed="64"/>
      </bottom>
      <diagonal/>
    </border>
    <border>
      <left style="thin">
        <color indexed="64"/>
      </left>
      <right style="medium">
        <color indexed="64"/>
      </right>
      <top style="thin">
        <color indexed="8"/>
      </top>
      <bottom style="medium">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8"/>
      </right>
      <top style="medium">
        <color indexed="64"/>
      </top>
      <bottom/>
      <diagonal/>
    </border>
    <border>
      <left style="thin">
        <color indexed="64"/>
      </left>
      <right style="thin">
        <color indexed="8"/>
      </right>
      <top style="medium">
        <color indexed="64"/>
      </top>
      <bottom style="thin">
        <color indexed="64"/>
      </bottom>
      <diagonal/>
    </border>
    <border>
      <left style="thin">
        <color indexed="8"/>
      </left>
      <right/>
      <top style="thin">
        <color indexed="64"/>
      </top>
      <bottom style="medium">
        <color indexed="64"/>
      </bottom>
      <diagonal/>
    </border>
    <border>
      <left style="medium">
        <color indexed="64"/>
      </left>
      <right style="thin">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medium">
        <color indexed="64"/>
      </left>
      <right style="thin">
        <color indexed="64"/>
      </right>
      <top style="thin">
        <color indexed="8"/>
      </top>
      <bottom/>
      <diagonal/>
    </border>
    <border>
      <left style="medium">
        <color indexed="64"/>
      </left>
      <right style="thin">
        <color indexed="8"/>
      </right>
      <top/>
      <bottom style="medium">
        <color indexed="64"/>
      </bottom>
      <diagonal/>
    </border>
    <border>
      <left style="thin">
        <color indexed="64"/>
      </left>
      <right style="thin">
        <color indexed="64"/>
      </right>
      <top style="thin">
        <color indexed="8"/>
      </top>
      <bottom style="thin">
        <color indexed="8"/>
      </bottom>
      <diagonal/>
    </border>
    <border>
      <left style="medium">
        <color indexed="8"/>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8"/>
      </left>
      <right style="thin">
        <color indexed="64"/>
      </right>
      <top style="medium">
        <color indexed="64"/>
      </top>
      <bottom style="thin">
        <color indexed="64"/>
      </bottom>
      <diagonal/>
    </border>
    <border>
      <left style="medium">
        <color indexed="8"/>
      </left>
      <right style="thin">
        <color indexed="64"/>
      </right>
      <top style="thin">
        <color indexed="64"/>
      </top>
      <bottom style="thin">
        <color indexed="64"/>
      </bottom>
      <diagonal/>
    </border>
    <border>
      <left style="medium">
        <color indexed="8"/>
      </left>
      <right style="thin">
        <color indexed="64"/>
      </right>
      <top style="thin">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8"/>
      </left>
      <right/>
      <top style="medium">
        <color indexed="64"/>
      </top>
      <bottom style="thin">
        <color indexed="64"/>
      </bottom>
      <diagonal/>
    </border>
    <border>
      <left style="medium">
        <color indexed="8"/>
      </left>
      <right/>
      <top style="thin">
        <color indexed="64"/>
      </top>
      <bottom style="thin">
        <color indexed="64"/>
      </bottom>
      <diagonal/>
    </border>
    <border>
      <left style="medium">
        <color indexed="8"/>
      </left>
      <right/>
      <top style="thin">
        <color indexed="64"/>
      </top>
      <bottom style="medium">
        <color indexed="64"/>
      </bottom>
      <diagonal/>
    </border>
    <border>
      <left style="medium">
        <color indexed="64"/>
      </left>
      <right/>
      <top style="thin">
        <color indexed="64"/>
      </top>
      <bottom/>
      <diagonal/>
    </border>
    <border>
      <left/>
      <right style="thin">
        <color indexed="64"/>
      </right>
      <top/>
      <bottom style="thin">
        <color indexed="8"/>
      </bottom>
      <diagonal/>
    </border>
    <border>
      <left style="medium">
        <color indexed="64"/>
      </left>
      <right style="thin">
        <color indexed="8"/>
      </right>
      <top style="thin">
        <color indexed="8"/>
      </top>
      <bottom style="thin">
        <color indexed="64"/>
      </bottom>
      <diagonal/>
    </border>
    <border>
      <left style="medium">
        <color indexed="64"/>
      </left>
      <right style="thin">
        <color indexed="8"/>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8"/>
      </bottom>
      <diagonal/>
    </border>
    <border>
      <left/>
      <right style="medium">
        <color indexed="64"/>
      </right>
      <top style="thin">
        <color indexed="8"/>
      </top>
      <bottom style="medium">
        <color indexed="64"/>
      </bottom>
      <diagonal/>
    </border>
    <border>
      <left style="thin">
        <color indexed="8"/>
      </left>
      <right/>
      <top style="thin">
        <color indexed="64"/>
      </top>
      <bottom style="thin">
        <color indexed="64"/>
      </bottom>
      <diagonal/>
    </border>
    <border>
      <left style="thin">
        <color indexed="8"/>
      </left>
      <right style="medium">
        <color indexed="64"/>
      </right>
      <top style="thin">
        <color indexed="64"/>
      </top>
      <bottom style="medium">
        <color indexed="64"/>
      </bottom>
      <diagonal/>
    </border>
    <border>
      <left/>
      <right style="medium">
        <color indexed="64"/>
      </right>
      <top style="thin">
        <color indexed="8"/>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right style="thin">
        <color indexed="8"/>
      </right>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8"/>
      </bottom>
      <diagonal/>
    </border>
    <border>
      <left style="thin">
        <color indexed="64"/>
      </left>
      <right style="medium">
        <color indexed="64"/>
      </right>
      <top style="thin">
        <color indexed="8"/>
      </top>
      <bottom style="thin">
        <color indexed="8"/>
      </bottom>
      <diagonal/>
    </border>
    <border>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s>
  <cellStyleXfs count="9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5" fillId="22" borderId="0" applyNumberFormat="0" applyBorder="0" applyAlignment="0" applyProtection="0"/>
    <xf numFmtId="0" fontId="3" fillId="7" borderId="1" applyNumberFormat="0" applyAlignment="0" applyProtection="0"/>
    <xf numFmtId="0" fontId="17" fillId="23" borderId="1" applyNumberFormat="0" applyAlignment="0" applyProtection="0"/>
    <xf numFmtId="0" fontId="8" fillId="24" borderId="2" applyNumberFormat="0" applyAlignment="0" applyProtection="0"/>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13" fillId="0" borderId="0" applyNumberFormat="0" applyFill="0" applyBorder="0" applyAlignment="0" applyProtection="0"/>
    <xf numFmtId="43" fontId="29" fillId="0" borderId="0" applyFont="0" applyFill="0" applyBorder="0" applyAlignment="0" applyProtection="0"/>
    <xf numFmtId="43" fontId="29" fillId="0" borderId="0" applyFill="0" applyBorder="0" applyAlignment="0" applyProtection="0"/>
    <xf numFmtId="43" fontId="41" fillId="0" borderId="0" applyFill="0" applyBorder="0" applyAlignment="0" applyProtection="0"/>
    <xf numFmtId="0" fontId="9" fillId="0" borderId="0" applyNumberFormat="0" applyFill="0" applyBorder="0" applyAlignment="0" applyProtection="0"/>
    <xf numFmtId="0" fontId="11" fillId="25" borderId="0" applyNumberFormat="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10" fillId="0" borderId="6" applyNumberFormat="0" applyFill="0" applyAlignment="0" applyProtection="0"/>
    <xf numFmtId="0" fontId="3" fillId="7" borderId="1" applyNumberFormat="0" applyAlignment="0" applyProtection="0"/>
    <xf numFmtId="0" fontId="29" fillId="26" borderId="7" applyNumberFormat="0" applyFont="0" applyAlignment="0" applyProtection="0"/>
    <xf numFmtId="0" fontId="12" fillId="27" borderId="8" applyNumberFormat="0" applyAlignment="0" applyProtection="0"/>
    <xf numFmtId="0" fontId="10" fillId="0" borderId="6" applyNumberFormat="0" applyFill="0" applyAlignment="0" applyProtection="0"/>
    <xf numFmtId="0" fontId="16" fillId="28" borderId="0" applyNumberFormat="0" applyBorder="0" applyAlignment="0" applyProtection="0"/>
    <xf numFmtId="0" fontId="29" fillId="0" borderId="0"/>
    <xf numFmtId="0" fontId="29"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42" fillId="0" borderId="0"/>
    <xf numFmtId="0" fontId="29" fillId="26" borderId="7" applyNumberFormat="0" applyFont="0" applyAlignment="0" applyProtection="0"/>
    <xf numFmtId="0" fontId="12" fillId="27" borderId="8" applyNumberFormat="0" applyAlignment="0" applyProtection="0"/>
    <xf numFmtId="0" fontId="18" fillId="0" borderId="9" applyNumberFormat="0" applyFill="0" applyAlignment="0" applyProtection="0"/>
    <xf numFmtId="0" fontId="4" fillId="0" borderId="0" applyNumberFormat="0" applyFill="0" applyBorder="0" applyAlignment="0" applyProtection="0"/>
    <xf numFmtId="0" fontId="18" fillId="0" borderId="9" applyNumberFormat="0" applyFill="0" applyAlignment="0" applyProtection="0"/>
    <xf numFmtId="0" fontId="9" fillId="0" borderId="0" applyNumberFormat="0" applyFill="0" applyBorder="0" applyAlignment="0" applyProtection="0"/>
    <xf numFmtId="0" fontId="29" fillId="0" borderId="0"/>
    <xf numFmtId="0" fontId="29" fillId="0" borderId="0"/>
    <xf numFmtId="0" fontId="29" fillId="0" borderId="0"/>
    <xf numFmtId="0" fontId="29" fillId="0" borderId="0"/>
    <xf numFmtId="0" fontId="52" fillId="0" borderId="0"/>
  </cellStyleXfs>
  <cellXfs count="1676">
    <xf numFmtId="0" fontId="0" fillId="0" borderId="0" xfId="0"/>
    <xf numFmtId="0" fontId="21" fillId="0" borderId="0" xfId="84" applyFont="1" applyBorder="1" applyAlignment="1">
      <alignment horizontal="center"/>
    </xf>
    <xf numFmtId="3" fontId="19" fillId="0" borderId="10" xfId="74" applyNumberFormat="1" applyFont="1" applyBorder="1"/>
    <xf numFmtId="3" fontId="19" fillId="0" borderId="11" xfId="74" applyNumberFormat="1" applyFont="1" applyBorder="1"/>
    <xf numFmtId="0" fontId="19" fillId="0" borderId="11" xfId="74" applyFont="1" applyBorder="1"/>
    <xf numFmtId="0" fontId="19" fillId="0" borderId="11" xfId="74" applyFont="1" applyBorder="1" applyAlignment="1">
      <alignment horizontal="right"/>
    </xf>
    <xf numFmtId="0" fontId="21" fillId="0" borderId="0" xfId="73" applyFont="1"/>
    <xf numFmtId="0" fontId="21" fillId="0" borderId="0" xfId="73" applyFont="1" applyBorder="1"/>
    <xf numFmtId="0" fontId="21" fillId="0" borderId="0" xfId="74" applyFont="1"/>
    <xf numFmtId="3" fontId="21" fillId="0" borderId="0" xfId="74" applyNumberFormat="1" applyFont="1"/>
    <xf numFmtId="3" fontId="21" fillId="0" borderId="0" xfId="74" applyNumberFormat="1" applyFont="1" applyFill="1"/>
    <xf numFmtId="0" fontId="21" fillId="0" borderId="0" xfId="74" applyFont="1" applyFill="1"/>
    <xf numFmtId="0" fontId="24" fillId="0" borderId="0" xfId="81" applyFont="1" applyFill="1" applyAlignment="1">
      <alignment horizontal="center" vertical="center" wrapText="1"/>
    </xf>
    <xf numFmtId="3" fontId="24" fillId="0" borderId="0" xfId="81" applyNumberFormat="1" applyFont="1" applyFill="1" applyAlignment="1">
      <alignment horizontal="center" vertical="center" wrapText="1"/>
    </xf>
    <xf numFmtId="0" fontId="19" fillId="0" borderId="0" xfId="73" applyFont="1"/>
    <xf numFmtId="0" fontId="19" fillId="0" borderId="11" xfId="74" applyFont="1" applyBorder="1" applyAlignment="1">
      <alignment wrapText="1"/>
    </xf>
    <xf numFmtId="0" fontId="19" fillId="0" borderId="12" xfId="74" applyFont="1" applyBorder="1"/>
    <xf numFmtId="0" fontId="19" fillId="0" borderId="10" xfId="74" applyFont="1" applyBorder="1"/>
    <xf numFmtId="0" fontId="19" fillId="29" borderId="11" xfId="84" applyFont="1" applyFill="1" applyBorder="1" applyAlignment="1">
      <alignment wrapText="1"/>
    </xf>
    <xf numFmtId="0" fontId="19" fillId="0" borderId="10" xfId="74" applyFont="1" applyBorder="1" applyAlignment="1">
      <alignment wrapText="1"/>
    </xf>
    <xf numFmtId="0" fontId="25" fillId="0" borderId="0" xfId="74" applyFont="1" applyFill="1" applyBorder="1"/>
    <xf numFmtId="0" fontId="25" fillId="0" borderId="0" xfId="74" applyFont="1"/>
    <xf numFmtId="0" fontId="19" fillId="0" borderId="12" xfId="74" applyFont="1" applyBorder="1" applyAlignment="1">
      <alignment wrapText="1"/>
    </xf>
    <xf numFmtId="0" fontId="20" fillId="0" borderId="10" xfId="74" applyFont="1" applyBorder="1"/>
    <xf numFmtId="0" fontId="20" fillId="0" borderId="13" xfId="74" applyFont="1" applyBorder="1"/>
    <xf numFmtId="0" fontId="20" fillId="0" borderId="12" xfId="74" applyFont="1" applyBorder="1"/>
    <xf numFmtId="0" fontId="20" fillId="0" borderId="11" xfId="74" applyFont="1" applyBorder="1"/>
    <xf numFmtId="0" fontId="20" fillId="0" borderId="12" xfId="74" applyFont="1" applyBorder="1" applyAlignment="1">
      <alignment wrapText="1"/>
    </xf>
    <xf numFmtId="0" fontId="19" fillId="0" borderId="14" xfId="74" applyFont="1" applyBorder="1"/>
    <xf numFmtId="0" fontId="20" fillId="0" borderId="15" xfId="74" applyFont="1" applyBorder="1" applyAlignment="1">
      <alignment wrapText="1"/>
    </xf>
    <xf numFmtId="0" fontId="19" fillId="0" borderId="15" xfId="74" applyFont="1" applyBorder="1" applyAlignment="1">
      <alignment wrapText="1"/>
    </xf>
    <xf numFmtId="0" fontId="21" fillId="0" borderId="0" xfId="74" applyFont="1" applyBorder="1" applyAlignment="1">
      <alignment wrapText="1"/>
    </xf>
    <xf numFmtId="0" fontId="21" fillId="0" borderId="0" xfId="74" applyFont="1" applyBorder="1"/>
    <xf numFmtId="0" fontId="19" fillId="0" borderId="16" xfId="74" applyFont="1" applyBorder="1"/>
    <xf numFmtId="0" fontId="19" fillId="0" borderId="17" xfId="74" applyFont="1" applyBorder="1" applyAlignment="1">
      <alignment wrapText="1"/>
    </xf>
    <xf numFmtId="3" fontId="20" fillId="0" borderId="11" xfId="74" applyNumberFormat="1" applyFont="1" applyBorder="1"/>
    <xf numFmtId="3" fontId="20" fillId="0" borderId="10" xfId="74" applyNumberFormat="1" applyFont="1" applyBorder="1"/>
    <xf numFmtId="3" fontId="19" fillId="0" borderId="18" xfId="74" applyNumberFormat="1" applyFont="1" applyBorder="1"/>
    <xf numFmtId="0" fontId="20" fillId="0" borderId="19" xfId="74" applyFont="1" applyBorder="1" applyAlignment="1">
      <alignment wrapText="1"/>
    </xf>
    <xf numFmtId="0" fontId="20" fillId="0" borderId="10" xfId="78" applyFont="1" applyBorder="1" applyAlignment="1">
      <alignment wrapText="1"/>
    </xf>
    <xf numFmtId="0" fontId="20" fillId="0" borderId="20" xfId="78" applyFont="1" applyBorder="1" applyAlignment="1">
      <alignment wrapText="1"/>
    </xf>
    <xf numFmtId="0" fontId="20" fillId="0" borderId="14" xfId="78" applyFont="1" applyBorder="1" applyAlignment="1">
      <alignment wrapText="1"/>
    </xf>
    <xf numFmtId="0" fontId="19" fillId="0" borderId="10" xfId="84" applyFont="1" applyBorder="1" applyAlignment="1">
      <alignment horizontal="left" wrapText="1"/>
    </xf>
    <xf numFmtId="3" fontId="19" fillId="0" borderId="11" xfId="78" applyNumberFormat="1" applyFont="1" applyBorder="1"/>
    <xf numFmtId="0" fontId="19" fillId="0" borderId="21" xfId="76" applyFont="1" applyBorder="1" applyAlignment="1">
      <alignment wrapText="1"/>
    </xf>
    <xf numFmtId="0" fontId="19" fillId="0" borderId="10" xfId="76" applyFont="1" applyBorder="1" applyAlignment="1">
      <alignment wrapText="1"/>
    </xf>
    <xf numFmtId="0" fontId="19" fillId="0" borderId="20" xfId="76" applyFont="1" applyBorder="1" applyAlignment="1">
      <alignment wrapText="1"/>
    </xf>
    <xf numFmtId="0" fontId="19" fillId="0" borderId="12" xfId="76" applyFont="1" applyBorder="1" applyAlignment="1">
      <alignment wrapText="1"/>
    </xf>
    <xf numFmtId="0" fontId="19" fillId="29" borderId="10" xfId="84" applyFont="1" applyFill="1" applyBorder="1" applyAlignment="1">
      <alignment wrapText="1"/>
    </xf>
    <xf numFmtId="3" fontId="20" fillId="0" borderId="11" xfId="78" applyNumberFormat="1" applyFont="1" applyBorder="1"/>
    <xf numFmtId="0" fontId="21" fillId="0" borderId="0" xfId="78" applyFont="1"/>
    <xf numFmtId="0" fontId="19" fillId="0" borderId="10" xfId="78" applyFont="1" applyBorder="1" applyAlignment="1">
      <alignment wrapText="1"/>
    </xf>
    <xf numFmtId="0" fontId="19" fillId="0" borderId="20" xfId="78" applyFont="1" applyBorder="1" applyAlignment="1">
      <alignment wrapText="1"/>
    </xf>
    <xf numFmtId="0" fontId="20" fillId="0" borderId="12" xfId="78" applyFont="1" applyBorder="1" applyAlignment="1">
      <alignment wrapText="1"/>
    </xf>
    <xf numFmtId="0" fontId="20" fillId="0" borderId="0" xfId="78" applyFont="1" applyBorder="1"/>
    <xf numFmtId="0" fontId="20" fillId="0" borderId="21" xfId="78" applyFont="1" applyBorder="1"/>
    <xf numFmtId="0" fontId="19" fillId="0" borderId="20" xfId="76" applyFont="1" applyFill="1" applyBorder="1" applyAlignment="1">
      <alignment wrapText="1"/>
    </xf>
    <xf numFmtId="0" fontId="19" fillId="0" borderId="12" xfId="78" applyFont="1" applyBorder="1" applyAlignment="1">
      <alignment wrapText="1"/>
    </xf>
    <xf numFmtId="0" fontId="20" fillId="0" borderId="21" xfId="78" applyFont="1" applyBorder="1" applyAlignment="1">
      <alignment wrapText="1"/>
    </xf>
    <xf numFmtId="0" fontId="20" fillId="0" borderId="11" xfId="78" applyFont="1" applyBorder="1" applyAlignment="1">
      <alignment wrapText="1"/>
    </xf>
    <xf numFmtId="0" fontId="20" fillId="0" borderId="15" xfId="78" applyFont="1" applyBorder="1" applyAlignment="1">
      <alignment wrapText="1"/>
    </xf>
    <xf numFmtId="3" fontId="19" fillId="0" borderId="11" xfId="78" applyNumberFormat="1" applyFont="1" applyBorder="1" applyAlignment="1">
      <alignment wrapText="1"/>
    </xf>
    <xf numFmtId="0" fontId="20" fillId="0" borderId="20" xfId="78" applyFont="1" applyBorder="1"/>
    <xf numFmtId="0" fontId="19" fillId="0" borderId="11" xfId="76" applyFont="1" applyBorder="1" applyAlignment="1">
      <alignment wrapText="1"/>
    </xf>
    <xf numFmtId="0" fontId="19" fillId="0" borderId="16" xfId="78" applyFont="1" applyBorder="1" applyAlignment="1">
      <alignment wrapText="1"/>
    </xf>
    <xf numFmtId="0" fontId="19" fillId="0" borderId="11" xfId="78" applyFont="1" applyBorder="1" applyAlignment="1">
      <alignment wrapText="1"/>
    </xf>
    <xf numFmtId="0" fontId="20" fillId="0" borderId="16" xfId="78" applyFont="1" applyBorder="1" applyAlignment="1">
      <alignment wrapText="1"/>
    </xf>
    <xf numFmtId="0" fontId="21" fillId="0" borderId="0" xfId="78" applyFont="1" applyBorder="1" applyAlignment="1">
      <alignment wrapText="1"/>
    </xf>
    <xf numFmtId="0" fontId="21" fillId="0" borderId="0" xfId="78" applyFont="1" applyBorder="1"/>
    <xf numFmtId="0" fontId="20" fillId="0" borderId="18" xfId="78" applyFont="1" applyBorder="1" applyAlignment="1">
      <alignment wrapText="1"/>
    </xf>
    <xf numFmtId="0" fontId="19" fillId="0" borderId="11" xfId="84" applyFont="1" applyBorder="1" applyAlignment="1">
      <alignment horizontal="left" wrapText="1"/>
    </xf>
    <xf numFmtId="0" fontId="19" fillId="0" borderId="16" xfId="76" applyFont="1" applyBorder="1" applyAlignment="1">
      <alignment wrapText="1"/>
    </xf>
    <xf numFmtId="0" fontId="19" fillId="0" borderId="18" xfId="76" applyFont="1" applyBorder="1" applyAlignment="1">
      <alignment wrapText="1"/>
    </xf>
    <xf numFmtId="3" fontId="20" fillId="0" borderId="11" xfId="78" applyNumberFormat="1" applyFont="1" applyBorder="1" applyAlignment="1">
      <alignment wrapText="1"/>
    </xf>
    <xf numFmtId="0" fontId="25" fillId="0" borderId="0" xfId="0" applyFont="1" applyFill="1" applyAlignment="1">
      <alignment wrapText="1"/>
    </xf>
    <xf numFmtId="0" fontId="25" fillId="0" borderId="0" xfId="0" applyFont="1" applyFill="1"/>
    <xf numFmtId="0" fontId="25" fillId="0" borderId="0" xfId="0" applyFont="1" applyFill="1" applyAlignment="1">
      <alignment horizontal="left" wrapText="1"/>
    </xf>
    <xf numFmtId="0" fontId="25" fillId="0" borderId="0" xfId="0" applyFont="1" applyFill="1" applyAlignment="1">
      <alignment horizontal="right"/>
    </xf>
    <xf numFmtId="0" fontId="25" fillId="0" borderId="18" xfId="0" applyFont="1" applyFill="1" applyBorder="1" applyAlignment="1">
      <alignment horizontal="center" wrapText="1"/>
    </xf>
    <xf numFmtId="3" fontId="24" fillId="0" borderId="18" xfId="0" applyNumberFormat="1" applyFont="1" applyFill="1" applyBorder="1" applyAlignment="1">
      <alignment horizontal="left" wrapText="1"/>
    </xf>
    <xf numFmtId="3" fontId="24" fillId="0" borderId="18" xfId="0" applyNumberFormat="1" applyFont="1" applyFill="1" applyBorder="1" applyAlignment="1">
      <alignment horizontal="right" wrapText="1"/>
    </xf>
    <xf numFmtId="3" fontId="24" fillId="0" borderId="11" xfId="0" applyNumberFormat="1" applyFont="1" applyFill="1" applyBorder="1" applyAlignment="1">
      <alignment horizontal="left" wrapText="1"/>
    </xf>
    <xf numFmtId="3" fontId="24" fillId="0" borderId="11" xfId="0" applyNumberFormat="1" applyFont="1" applyFill="1" applyBorder="1" applyAlignment="1">
      <alignment horizontal="right" wrapText="1"/>
    </xf>
    <xf numFmtId="0" fontId="25" fillId="0" borderId="16" xfId="0" applyFont="1" applyFill="1" applyBorder="1" applyAlignment="1">
      <alignment wrapText="1"/>
    </xf>
    <xf numFmtId="3" fontId="25" fillId="0" borderId="16" xfId="0" applyNumberFormat="1" applyFont="1" applyFill="1" applyBorder="1"/>
    <xf numFmtId="0" fontId="25" fillId="0" borderId="11" xfId="0" applyFont="1" applyFill="1" applyBorder="1" applyAlignment="1">
      <alignment wrapText="1"/>
    </xf>
    <xf numFmtId="3" fontId="25" fillId="0" borderId="11" xfId="0" applyNumberFormat="1" applyFont="1" applyFill="1" applyBorder="1"/>
    <xf numFmtId="0" fontId="27" fillId="0" borderId="11" xfId="0" applyFont="1" applyFill="1" applyBorder="1" applyAlignment="1">
      <alignment wrapText="1"/>
    </xf>
    <xf numFmtId="3" fontId="27" fillId="0" borderId="11" xfId="0" applyNumberFormat="1" applyFont="1" applyFill="1" applyBorder="1"/>
    <xf numFmtId="0" fontId="24" fillId="0" borderId="11" xfId="0" applyFont="1" applyFill="1" applyBorder="1" applyAlignment="1">
      <alignment wrapText="1"/>
    </xf>
    <xf numFmtId="3" fontId="24" fillId="0" borderId="11" xfId="0" applyNumberFormat="1" applyFont="1" applyFill="1" applyBorder="1"/>
    <xf numFmtId="0" fontId="24" fillId="0" borderId="18" xfId="0" applyFont="1" applyFill="1" applyBorder="1" applyAlignment="1">
      <alignment wrapText="1"/>
    </xf>
    <xf numFmtId="3" fontId="24" fillId="0" borderId="18" xfId="0" applyNumberFormat="1" applyFont="1" applyFill="1" applyBorder="1"/>
    <xf numFmtId="0" fontId="29" fillId="0" borderId="0" xfId="74" applyFont="1"/>
    <xf numFmtId="0" fontId="19" fillId="0" borderId="22" xfId="74" applyFont="1" applyBorder="1"/>
    <xf numFmtId="0" fontId="20" fillId="0" borderId="22" xfId="73" applyFont="1" applyBorder="1"/>
    <xf numFmtId="0" fontId="19" fillId="0" borderId="22" xfId="73" applyFont="1" applyBorder="1"/>
    <xf numFmtId="0" fontId="20" fillId="0" borderId="22" xfId="74" applyFont="1" applyBorder="1"/>
    <xf numFmtId="0" fontId="25" fillId="0" borderId="11" xfId="0" applyFont="1" applyFill="1" applyBorder="1"/>
    <xf numFmtId="0" fontId="29" fillId="0" borderId="0" xfId="73" applyFont="1"/>
    <xf numFmtId="0" fontId="20" fillId="0" borderId="23" xfId="74" applyFont="1" applyBorder="1"/>
    <xf numFmtId="0" fontId="19" fillId="0" borderId="23" xfId="74" applyFont="1" applyBorder="1"/>
    <xf numFmtId="3" fontId="19" fillId="0" borderId="13" xfId="74" applyNumberFormat="1" applyFont="1" applyBorder="1"/>
    <xf numFmtId="3" fontId="20" fillId="0" borderId="10" xfId="78" applyNumberFormat="1" applyFont="1" applyBorder="1"/>
    <xf numFmtId="0" fontId="24" fillId="0" borderId="0" xfId="84" applyFont="1" applyAlignment="1">
      <alignment horizontal="center" wrapText="1"/>
    </xf>
    <xf numFmtId="0" fontId="29" fillId="0" borderId="0" xfId="84" applyFont="1"/>
    <xf numFmtId="0" fontId="29" fillId="0" borderId="0" xfId="84" applyFont="1" applyAlignment="1">
      <alignment horizontal="center" vertical="center"/>
    </xf>
    <xf numFmtId="3" fontId="25" fillId="0" borderId="11" xfId="84" applyNumberFormat="1" applyFont="1" applyBorder="1"/>
    <xf numFmtId="3" fontId="25" fillId="0" borderId="11" xfId="84" applyNumberFormat="1" applyFont="1" applyFill="1" applyBorder="1" applyAlignment="1">
      <alignment horizontal="right" wrapText="1"/>
    </xf>
    <xf numFmtId="0" fontId="21" fillId="0" borderId="0" xfId="84" applyFont="1" applyBorder="1"/>
    <xf numFmtId="0" fontId="21" fillId="0" borderId="0" xfId="84" applyFont="1"/>
    <xf numFmtId="0" fontId="21" fillId="29" borderId="0" xfId="84" applyFont="1" applyFill="1" applyBorder="1"/>
    <xf numFmtId="0" fontId="21" fillId="29" borderId="0" xfId="84" applyFont="1" applyFill="1"/>
    <xf numFmtId="0" fontId="29" fillId="0" borderId="0" xfId="84" applyFont="1" applyBorder="1"/>
    <xf numFmtId="0" fontId="29" fillId="0" borderId="11" xfId="84" applyFont="1" applyBorder="1" applyAlignment="1">
      <alignment wrapText="1"/>
    </xf>
    <xf numFmtId="0" fontId="29" fillId="0" borderId="0" xfId="84" applyFont="1" applyAlignment="1">
      <alignment wrapText="1"/>
    </xf>
    <xf numFmtId="0" fontId="30" fillId="0" borderId="0" xfId="84" applyFont="1" applyBorder="1"/>
    <xf numFmtId="0" fontId="30" fillId="29" borderId="0" xfId="84" applyFont="1" applyFill="1" applyBorder="1"/>
    <xf numFmtId="0" fontId="32" fillId="29" borderId="0" xfId="84" applyFont="1" applyFill="1" applyBorder="1"/>
    <xf numFmtId="3" fontId="33" fillId="29" borderId="0" xfId="84" applyNumberFormat="1" applyFont="1" applyFill="1" applyBorder="1"/>
    <xf numFmtId="0" fontId="33" fillId="29" borderId="0" xfId="84" applyFont="1" applyFill="1" applyBorder="1"/>
    <xf numFmtId="0" fontId="34" fillId="29" borderId="0" xfId="84" applyFont="1" applyFill="1" applyBorder="1"/>
    <xf numFmtId="3" fontId="32" fillId="29" borderId="0" xfId="84" applyNumberFormat="1" applyFont="1" applyFill="1" applyBorder="1"/>
    <xf numFmtId="3" fontId="32" fillId="29" borderId="0" xfId="84" applyNumberFormat="1" applyFont="1" applyFill="1" applyBorder="1" applyAlignment="1">
      <alignment vertical="center"/>
    </xf>
    <xf numFmtId="0" fontId="32" fillId="29" borderId="0" xfId="84" applyFont="1" applyFill="1" applyBorder="1" applyAlignment="1">
      <alignment vertical="center"/>
    </xf>
    <xf numFmtId="0" fontId="30" fillId="29" borderId="0" xfId="84" applyFont="1" applyFill="1" applyBorder="1" applyAlignment="1">
      <alignment vertical="center" wrapText="1"/>
    </xf>
    <xf numFmtId="0" fontId="30" fillId="29" borderId="0" xfId="84" applyFont="1" applyFill="1" applyBorder="1" applyAlignment="1">
      <alignment vertical="center"/>
    </xf>
    <xf numFmtId="3" fontId="30" fillId="29" borderId="0" xfId="84" applyNumberFormat="1" applyFont="1" applyFill="1" applyBorder="1" applyAlignment="1">
      <alignment vertical="center"/>
    </xf>
    <xf numFmtId="3" fontId="32" fillId="29" borderId="0" xfId="84" applyNumberFormat="1" applyFont="1" applyFill="1" applyBorder="1" applyAlignment="1">
      <alignment horizontal="right" wrapText="1"/>
    </xf>
    <xf numFmtId="3" fontId="30" fillId="0" borderId="0" xfId="84" applyNumberFormat="1" applyFont="1" applyBorder="1"/>
    <xf numFmtId="0" fontId="19" fillId="0" borderId="24" xfId="84" applyFont="1" applyBorder="1"/>
    <xf numFmtId="0" fontId="19" fillId="0" borderId="24" xfId="84" applyFont="1" applyFill="1" applyBorder="1"/>
    <xf numFmtId="0" fontId="19" fillId="0" borderId="0" xfId="84" applyFont="1" applyBorder="1"/>
    <xf numFmtId="0" fontId="19" fillId="0" borderId="0" xfId="84" applyFont="1" applyFill="1" applyBorder="1"/>
    <xf numFmtId="3" fontId="19" fillId="29" borderId="16" xfId="84" applyNumberFormat="1" applyFont="1" applyFill="1" applyBorder="1" applyAlignment="1">
      <alignment horizontal="right" wrapText="1"/>
    </xf>
    <xf numFmtId="0" fontId="19" fillId="29" borderId="11" xfId="84" applyFont="1" applyFill="1" applyBorder="1"/>
    <xf numFmtId="0" fontId="32" fillId="0" borderId="0" xfId="84" applyFont="1" applyBorder="1"/>
    <xf numFmtId="0" fontId="19" fillId="0" borderId="11" xfId="84" applyFont="1" applyBorder="1"/>
    <xf numFmtId="4" fontId="19" fillId="29" borderId="16" xfId="84" applyNumberFormat="1" applyFont="1" applyFill="1" applyBorder="1" applyAlignment="1">
      <alignment horizontal="right" wrapText="1"/>
    </xf>
    <xf numFmtId="0" fontId="19" fillId="0" borderId="10" xfId="84" applyFont="1" applyBorder="1"/>
    <xf numFmtId="0" fontId="19" fillId="0" borderId="18" xfId="84" applyFont="1" applyBorder="1"/>
    <xf numFmtId="0" fontId="30" fillId="0" borderId="0" xfId="84" applyFont="1" applyFill="1" applyBorder="1"/>
    <xf numFmtId="0" fontId="29" fillId="0" borderId="0" xfId="84" applyFont="1" applyAlignment="1">
      <alignment horizontal="right"/>
    </xf>
    <xf numFmtId="3" fontId="29" fillId="0" borderId="0" xfId="84" applyNumberFormat="1" applyFont="1"/>
    <xf numFmtId="0" fontId="21" fillId="0" borderId="0" xfId="84" applyFont="1" applyAlignment="1">
      <alignment wrapText="1"/>
    </xf>
    <xf numFmtId="0" fontId="28" fillId="0" borderId="0" xfId="84" applyFont="1" applyAlignment="1">
      <alignment horizontal="center" vertical="center" wrapText="1"/>
    </xf>
    <xf numFmtId="3" fontId="19" fillId="0" borderId="10" xfId="84" applyNumberFormat="1" applyFont="1" applyBorder="1" applyAlignment="1">
      <alignment horizontal="right"/>
    </xf>
    <xf numFmtId="3" fontId="19" fillId="0" borderId="11" xfId="84" applyNumberFormat="1" applyFont="1" applyBorder="1" applyAlignment="1">
      <alignment horizontal="right"/>
    </xf>
    <xf numFmtId="3" fontId="20" fillId="0" borderId="10" xfId="84" applyNumberFormat="1" applyFont="1" applyBorder="1" applyAlignment="1">
      <alignment horizontal="right"/>
    </xf>
    <xf numFmtId="3" fontId="21" fillId="0" borderId="0" xfId="84" applyNumberFormat="1" applyFont="1"/>
    <xf numFmtId="3" fontId="20" fillId="0" borderId="11" xfId="84" applyNumberFormat="1" applyFont="1" applyBorder="1" applyAlignment="1">
      <alignment horizontal="right"/>
    </xf>
    <xf numFmtId="0" fontId="29" fillId="29" borderId="0" xfId="84" applyFont="1" applyFill="1" applyBorder="1"/>
    <xf numFmtId="3" fontId="29" fillId="29" borderId="0" xfId="84" applyNumberFormat="1" applyFont="1" applyFill="1" applyBorder="1" applyAlignment="1">
      <alignment horizontal="right"/>
    </xf>
    <xf numFmtId="3" fontId="29" fillId="29" borderId="0" xfId="84" applyNumberFormat="1" applyFont="1" applyFill="1" applyBorder="1"/>
    <xf numFmtId="0" fontId="29" fillId="29" borderId="0" xfId="84" applyFont="1" applyFill="1"/>
    <xf numFmtId="3" fontId="29" fillId="0" borderId="0" xfId="84" applyNumberFormat="1" applyFont="1" applyBorder="1"/>
    <xf numFmtId="0" fontId="19" fillId="0" borderId="11" xfId="84" applyFont="1" applyFill="1" applyBorder="1"/>
    <xf numFmtId="0" fontId="19" fillId="0" borderId="10" xfId="84" applyFont="1" applyFill="1" applyBorder="1"/>
    <xf numFmtId="0" fontId="29" fillId="0" borderId="0" xfId="84" applyFont="1" applyFill="1" applyBorder="1"/>
    <xf numFmtId="3" fontId="29" fillId="0" borderId="0" xfId="84" applyNumberFormat="1" applyFont="1" applyFill="1" applyBorder="1"/>
    <xf numFmtId="0" fontId="29" fillId="0" borderId="0" xfId="84" applyFont="1" applyFill="1"/>
    <xf numFmtId="3" fontId="21" fillId="0" borderId="0" xfId="84" applyNumberFormat="1" applyFont="1" applyBorder="1"/>
    <xf numFmtId="3" fontId="29" fillId="0" borderId="0" xfId="74" applyNumberFormat="1" applyFont="1"/>
    <xf numFmtId="0" fontId="28" fillId="0" borderId="0" xfId="84" applyFont="1" applyAlignment="1">
      <alignment horizontal="center"/>
    </xf>
    <xf numFmtId="0" fontId="29" fillId="0" borderId="0" xfId="74" applyFont="1" applyAlignment="1">
      <alignment horizontal="right"/>
    </xf>
    <xf numFmtId="3" fontId="20" fillId="0" borderId="18" xfId="84" applyNumberFormat="1" applyFont="1" applyBorder="1"/>
    <xf numFmtId="3" fontId="24" fillId="0" borderId="11" xfId="84" applyNumberFormat="1" applyFont="1" applyFill="1" applyBorder="1" applyAlignment="1">
      <alignment vertical="center" wrapText="1"/>
    </xf>
    <xf numFmtId="3" fontId="24" fillId="0" borderId="11" xfId="84" applyNumberFormat="1" applyFont="1" applyFill="1" applyBorder="1" applyAlignment="1">
      <alignment horizontal="right" wrapText="1"/>
    </xf>
    <xf numFmtId="0" fontId="24" fillId="0" borderId="0" xfId="84" applyFont="1" applyFill="1" applyBorder="1" applyAlignment="1">
      <alignment horizontal="left" vertical="center" wrapText="1" indent="1"/>
    </xf>
    <xf numFmtId="3" fontId="24" fillId="0" borderId="0" xfId="84" applyNumberFormat="1" applyFont="1" applyFill="1" applyBorder="1"/>
    <xf numFmtId="0" fontId="24" fillId="0" borderId="0" xfId="84" applyFont="1" applyFill="1" applyBorder="1" applyAlignment="1">
      <alignment horizontal="left" vertical="center" wrapText="1" indent="2"/>
    </xf>
    <xf numFmtId="3" fontId="24" fillId="0" borderId="0" xfId="84" applyNumberFormat="1" applyFont="1" applyFill="1" applyBorder="1" applyAlignment="1">
      <alignment horizontal="right" wrapText="1"/>
    </xf>
    <xf numFmtId="0" fontId="25" fillId="0" borderId="0" xfId="84" applyFont="1" applyFill="1" applyBorder="1"/>
    <xf numFmtId="3" fontId="25" fillId="0" borderId="0" xfId="84" applyNumberFormat="1" applyFont="1" applyFill="1" applyBorder="1" applyAlignment="1">
      <alignment horizontal="right" wrapText="1"/>
    </xf>
    <xf numFmtId="0" fontId="25" fillId="0" borderId="0" xfId="84" applyFont="1" applyFill="1" applyBorder="1" applyAlignment="1">
      <alignment horizontal="left" vertical="center" wrapText="1" indent="2"/>
    </xf>
    <xf numFmtId="3" fontId="25" fillId="0" borderId="11" xfId="71" applyNumberFormat="1" applyFont="1" applyFill="1" applyBorder="1" applyAlignment="1"/>
    <xf numFmtId="0" fontId="25" fillId="0" borderId="0" xfId="84" applyFont="1" applyFill="1" applyBorder="1" applyAlignment="1">
      <alignment horizontal="left" vertical="center" wrapText="1" indent="1"/>
    </xf>
    <xf numFmtId="3" fontId="25" fillId="0" borderId="18" xfId="84" applyNumberFormat="1" applyFont="1" applyFill="1" applyBorder="1" applyAlignment="1">
      <alignment horizontal="right" wrapText="1"/>
    </xf>
    <xf numFmtId="0" fontId="29" fillId="0" borderId="0" xfId="81" applyFont="1" applyFill="1"/>
    <xf numFmtId="0" fontId="29" fillId="0" borderId="14" xfId="81" applyFont="1" applyFill="1" applyBorder="1" applyAlignment="1">
      <alignment wrapText="1"/>
    </xf>
    <xf numFmtId="0" fontId="29" fillId="0" borderId="0" xfId="81" applyFont="1" applyFill="1" applyAlignment="1">
      <alignment wrapText="1"/>
    </xf>
    <xf numFmtId="3" fontId="21" fillId="0" borderId="0" xfId="71" applyNumberFormat="1" applyFont="1" applyBorder="1" applyAlignment="1">
      <alignment horizontal="center"/>
    </xf>
    <xf numFmtId="3" fontId="29" fillId="0" borderId="0" xfId="71" applyNumberFormat="1" applyFont="1"/>
    <xf numFmtId="3" fontId="29" fillId="0" borderId="0" xfId="71" applyNumberFormat="1" applyFont="1" applyAlignment="1">
      <alignment horizontal="center"/>
    </xf>
    <xf numFmtId="0" fontId="29" fillId="0" borderId="0" xfId="71" applyFont="1"/>
    <xf numFmtId="3" fontId="21" fillId="0" borderId="0" xfId="71" applyNumberFormat="1" applyFont="1" applyBorder="1"/>
    <xf numFmtId="3" fontId="29" fillId="0" borderId="0" xfId="71" applyNumberFormat="1" applyFont="1" applyFill="1" applyBorder="1"/>
    <xf numFmtId="3" fontId="29" fillId="0" borderId="0" xfId="71" applyNumberFormat="1" applyFont="1" applyFill="1"/>
    <xf numFmtId="3" fontId="29" fillId="0" borderId="0" xfId="71" applyNumberFormat="1" applyFont="1" applyFill="1" applyAlignment="1">
      <alignment horizontal="center"/>
    </xf>
    <xf numFmtId="0" fontId="29" fillId="0" borderId="0" xfId="71" applyFont="1" applyFill="1"/>
    <xf numFmtId="167" fontId="29" fillId="0" borderId="0" xfId="74" applyNumberFormat="1" applyFont="1" applyFill="1" applyBorder="1" applyAlignment="1">
      <alignment horizontal="right" vertical="top" wrapText="1"/>
    </xf>
    <xf numFmtId="167" fontId="29" fillId="0" borderId="0" xfId="74" applyNumberFormat="1" applyFont="1" applyBorder="1" applyAlignment="1">
      <alignment horizontal="right" vertical="top" wrapText="1"/>
    </xf>
    <xf numFmtId="3" fontId="21" fillId="0" borderId="0" xfId="71" applyNumberFormat="1" applyFont="1"/>
    <xf numFmtId="3" fontId="21" fillId="0" borderId="0" xfId="71" applyNumberFormat="1" applyFont="1" applyAlignment="1">
      <alignment horizontal="center"/>
    </xf>
    <xf numFmtId="0" fontId="21" fillId="0" borderId="0" xfId="71" applyFont="1"/>
    <xf numFmtId="0" fontId="29" fillId="0" borderId="0" xfId="74" applyFont="1" applyAlignment="1">
      <alignment wrapText="1"/>
    </xf>
    <xf numFmtId="0" fontId="29" fillId="0" borderId="0" xfId="74" applyFont="1" applyAlignment="1">
      <alignment horizontal="right" wrapText="1"/>
    </xf>
    <xf numFmtId="0" fontId="29" fillId="0" borderId="0" xfId="78" applyFont="1" applyAlignment="1">
      <alignment wrapText="1"/>
    </xf>
    <xf numFmtId="0" fontId="29" fillId="0" borderId="0" xfId="78" applyFont="1"/>
    <xf numFmtId="0" fontId="29" fillId="0" borderId="0" xfId="78" applyFont="1" applyAlignment="1">
      <alignment horizontal="right"/>
    </xf>
    <xf numFmtId="0" fontId="20" fillId="29" borderId="11" xfId="85" applyFont="1" applyFill="1" applyBorder="1" applyAlignment="1">
      <alignment horizontal="center" vertical="center" wrapText="1"/>
    </xf>
    <xf numFmtId="3" fontId="19" fillId="29" borderId="11" xfId="85" applyNumberFormat="1" applyFont="1" applyFill="1" applyBorder="1" applyAlignment="1">
      <alignment horizontal="right" vertical="center" wrapText="1"/>
    </xf>
    <xf numFmtId="3" fontId="19" fillId="29" borderId="11" xfId="85" applyNumberFormat="1" applyFont="1" applyFill="1" applyBorder="1" applyAlignment="1">
      <alignment horizontal="right" wrapText="1"/>
    </xf>
    <xf numFmtId="3" fontId="29" fillId="0" borderId="0" xfId="78" applyNumberFormat="1" applyFont="1"/>
    <xf numFmtId="0" fontId="29" fillId="0" borderId="0" xfId="0" applyFont="1"/>
    <xf numFmtId="3" fontId="29" fillId="0" borderId="0" xfId="0" applyNumberFormat="1" applyFont="1"/>
    <xf numFmtId="0" fontId="29" fillId="0" borderId="0" xfId="0" applyFont="1" applyAlignment="1">
      <alignment wrapText="1"/>
    </xf>
    <xf numFmtId="3" fontId="25" fillId="0" borderId="22" xfId="71" applyNumberFormat="1" applyFont="1" applyFill="1" applyBorder="1" applyAlignment="1"/>
    <xf numFmtId="3" fontId="24" fillId="0" borderId="11" xfId="71" applyNumberFormat="1" applyFont="1" applyBorder="1" applyAlignment="1"/>
    <xf numFmtId="3" fontId="25" fillId="0" borderId="0" xfId="71" applyNumberFormat="1" applyFont="1" applyAlignment="1">
      <alignment wrapText="1"/>
    </xf>
    <xf numFmtId="3" fontId="25" fillId="0" borderId="0" xfId="71" applyNumberFormat="1" applyFont="1"/>
    <xf numFmtId="0" fontId="29" fillId="0" borderId="24" xfId="84" applyFont="1" applyBorder="1"/>
    <xf numFmtId="0" fontId="21" fillId="0" borderId="11" xfId="84" applyFont="1" applyBorder="1" applyAlignment="1">
      <alignment horizontal="center" vertical="center" wrapText="1"/>
    </xf>
    <xf numFmtId="0" fontId="29" fillId="0" borderId="13" xfId="84" applyFont="1" applyBorder="1"/>
    <xf numFmtId="0" fontId="35" fillId="0" borderId="0" xfId="0" applyFont="1"/>
    <xf numFmtId="3" fontId="21" fillId="0" borderId="0" xfId="78" applyNumberFormat="1" applyFont="1" applyBorder="1"/>
    <xf numFmtId="0" fontId="29" fillId="0" borderId="14" xfId="84" applyFont="1" applyBorder="1"/>
    <xf numFmtId="3" fontId="21" fillId="29" borderId="11" xfId="84" applyNumberFormat="1" applyFont="1" applyFill="1" applyBorder="1" applyAlignment="1">
      <alignment horizontal="right" wrapText="1"/>
    </xf>
    <xf numFmtId="3" fontId="35" fillId="29" borderId="16" xfId="84" applyNumberFormat="1" applyFont="1" applyFill="1" applyBorder="1" applyAlignment="1">
      <alignment horizontal="right" wrapText="1"/>
    </xf>
    <xf numFmtId="3" fontId="29" fillId="29" borderId="11" xfId="84" applyNumberFormat="1" applyFont="1" applyFill="1" applyBorder="1" applyAlignment="1">
      <alignment horizontal="right" wrapText="1"/>
    </xf>
    <xf numFmtId="3" fontId="29" fillId="29" borderId="16" xfId="84" applyNumberFormat="1" applyFont="1" applyFill="1" applyBorder="1" applyAlignment="1">
      <alignment horizontal="right" wrapText="1"/>
    </xf>
    <xf numFmtId="3" fontId="21" fillId="29" borderId="16" xfId="84" applyNumberFormat="1" applyFont="1" applyFill="1" applyBorder="1" applyAlignment="1">
      <alignment horizontal="right" wrapText="1"/>
    </xf>
    <xf numFmtId="0" fontId="0" fillId="0" borderId="25" xfId="81" applyFont="1" applyFill="1" applyBorder="1" applyAlignment="1">
      <alignment wrapText="1"/>
    </xf>
    <xf numFmtId="0" fontId="0" fillId="0" borderId="0" xfId="84" applyFont="1"/>
    <xf numFmtId="0" fontId="24" fillId="0" borderId="26" xfId="84" applyFont="1" applyFill="1" applyBorder="1" applyAlignment="1">
      <alignment horizontal="left" vertical="center" wrapText="1" indent="1"/>
    </xf>
    <xf numFmtId="0" fontId="24" fillId="0" borderId="26" xfId="84" applyFont="1" applyFill="1" applyBorder="1" applyAlignment="1">
      <alignment horizontal="left" vertical="center" wrapText="1" indent="2"/>
    </xf>
    <xf numFmtId="0" fontId="25" fillId="0" borderId="26" xfId="84" applyFont="1" applyFill="1" applyBorder="1"/>
    <xf numFmtId="3" fontId="25" fillId="0" borderId="27" xfId="84" applyNumberFormat="1" applyFont="1" applyFill="1" applyBorder="1" applyAlignment="1">
      <alignment horizontal="right" wrapText="1"/>
    </xf>
    <xf numFmtId="0" fontId="25" fillId="0" borderId="26" xfId="84" applyFont="1" applyFill="1" applyBorder="1" applyAlignment="1">
      <alignment horizontal="left" vertical="center" wrapText="1" indent="2"/>
    </xf>
    <xf numFmtId="0" fontId="25" fillId="0" borderId="28" xfId="84" applyFont="1" applyFill="1" applyBorder="1" applyAlignment="1">
      <alignment horizontal="left" vertical="center" wrapText="1" indent="2"/>
    </xf>
    <xf numFmtId="0" fontId="24" fillId="0" borderId="29" xfId="84" applyFont="1" applyFill="1" applyBorder="1" applyAlignment="1">
      <alignment horizontal="left" vertical="center" wrapText="1" indent="1"/>
    </xf>
    <xf numFmtId="0" fontId="24" fillId="0" borderId="30" xfId="83" applyFont="1" applyFill="1" applyBorder="1" applyAlignment="1">
      <alignment horizontal="left" vertical="center" wrapText="1"/>
    </xf>
    <xf numFmtId="0" fontId="25" fillId="0" borderId="30" xfId="83" applyFont="1" applyFill="1" applyBorder="1" applyAlignment="1">
      <alignment horizontal="left" vertical="center" wrapText="1"/>
    </xf>
    <xf numFmtId="0" fontId="25" fillId="0" borderId="26" xfId="83" applyFont="1" applyFill="1" applyBorder="1" applyAlignment="1">
      <alignment horizontal="left" vertical="center" wrapText="1"/>
    </xf>
    <xf numFmtId="0" fontId="25" fillId="0" borderId="28" xfId="83" applyFont="1" applyFill="1" applyBorder="1" applyAlignment="1">
      <alignment horizontal="left" vertical="center" wrapText="1"/>
    </xf>
    <xf numFmtId="3" fontId="25" fillId="0" borderId="27" xfId="71" applyNumberFormat="1" applyFont="1" applyFill="1" applyBorder="1" applyAlignment="1"/>
    <xf numFmtId="0" fontId="25" fillId="0" borderId="28" xfId="84" applyFont="1" applyFill="1" applyBorder="1" applyAlignment="1">
      <alignment horizontal="left" vertical="center" wrapText="1" indent="1"/>
    </xf>
    <xf numFmtId="0" fontId="25" fillId="0" borderId="26" xfId="84" applyFont="1" applyFill="1" applyBorder="1" applyAlignment="1">
      <alignment horizontal="left" vertical="center" wrapText="1" indent="1"/>
    </xf>
    <xf numFmtId="0" fontId="21" fillId="29" borderId="26" xfId="84" applyFont="1" applyFill="1" applyBorder="1" applyAlignment="1">
      <alignment wrapText="1"/>
    </xf>
    <xf numFmtId="0" fontId="29" fillId="29" borderId="26" xfId="84" applyFont="1" applyFill="1" applyBorder="1" applyAlignment="1">
      <alignment wrapText="1"/>
    </xf>
    <xf numFmtId="0" fontId="29" fillId="29" borderId="26" xfId="83" applyFont="1" applyFill="1" applyBorder="1" applyAlignment="1">
      <alignment wrapText="1"/>
    </xf>
    <xf numFmtId="0" fontId="0" fillId="29" borderId="26" xfId="83" applyFont="1" applyFill="1" applyBorder="1" applyAlignment="1">
      <alignment wrapText="1"/>
    </xf>
    <xf numFmtId="0" fontId="21" fillId="29" borderId="31" xfId="84" applyFont="1" applyFill="1" applyBorder="1" applyAlignment="1">
      <alignment wrapText="1"/>
    </xf>
    <xf numFmtId="0" fontId="29" fillId="29" borderId="32" xfId="83" applyFont="1" applyFill="1" applyBorder="1" applyAlignment="1">
      <alignment wrapText="1"/>
    </xf>
    <xf numFmtId="164" fontId="29" fillId="29" borderId="26" xfId="84" applyNumberFormat="1" applyFont="1" applyFill="1" applyBorder="1" applyAlignment="1">
      <alignment wrapText="1"/>
    </xf>
    <xf numFmtId="164" fontId="0" fillId="29" borderId="26" xfId="84" applyNumberFormat="1" applyFont="1" applyFill="1" applyBorder="1" applyAlignment="1">
      <alignment wrapText="1"/>
    </xf>
    <xf numFmtId="0" fontId="29" fillId="29" borderId="26" xfId="83" applyFont="1" applyFill="1" applyBorder="1" applyAlignment="1">
      <alignment horizontal="left" wrapText="1"/>
    </xf>
    <xf numFmtId="0" fontId="21" fillId="29" borderId="26" xfId="83" applyFont="1" applyFill="1" applyBorder="1" applyAlignment="1">
      <alignment wrapText="1"/>
    </xf>
    <xf numFmtId="0" fontId="21" fillId="29" borderId="28" xfId="83" applyFont="1" applyFill="1" applyBorder="1" applyAlignment="1">
      <alignment wrapText="1"/>
    </xf>
    <xf numFmtId="0" fontId="29" fillId="29" borderId="31" xfId="84" applyFont="1" applyFill="1" applyBorder="1" applyAlignment="1">
      <alignment wrapText="1"/>
    </xf>
    <xf numFmtId="0" fontId="29" fillId="29" borderId="28" xfId="84" applyFont="1" applyFill="1" applyBorder="1" applyAlignment="1">
      <alignment wrapText="1"/>
    </xf>
    <xf numFmtId="0" fontId="21" fillId="29" borderId="28" xfId="84" applyFont="1" applyFill="1" applyBorder="1" applyAlignment="1">
      <alignment wrapText="1"/>
    </xf>
    <xf numFmtId="0" fontId="29" fillId="0" borderId="26" xfId="81" applyFont="1" applyBorder="1" applyAlignment="1">
      <alignment wrapText="1"/>
    </xf>
    <xf numFmtId="0" fontId="29" fillId="0" borderId="28" xfId="74" applyFont="1" applyFill="1" applyBorder="1" applyAlignment="1">
      <alignment wrapText="1"/>
    </xf>
    <xf numFmtId="0" fontId="29" fillId="0" borderId="25" xfId="74" applyFont="1" applyFill="1" applyBorder="1" applyAlignment="1">
      <alignment wrapText="1"/>
    </xf>
    <xf numFmtId="0" fontId="29" fillId="0" borderId="31" xfId="74" applyFont="1" applyFill="1" applyBorder="1" applyAlignment="1">
      <alignment wrapText="1"/>
    </xf>
    <xf numFmtId="0" fontId="0" fillId="0" borderId="28" xfId="74" applyFont="1" applyFill="1" applyBorder="1" applyAlignment="1">
      <alignment wrapText="1"/>
    </xf>
    <xf numFmtId="0" fontId="29" fillId="0" borderId="28" xfId="81" applyFont="1" applyFill="1" applyBorder="1" applyAlignment="1">
      <alignment wrapText="1"/>
    </xf>
    <xf numFmtId="0" fontId="29" fillId="0" borderId="26" xfId="74" applyFont="1" applyFill="1" applyBorder="1" applyAlignment="1">
      <alignment wrapText="1"/>
    </xf>
    <xf numFmtId="0" fontId="25" fillId="0" borderId="26" xfId="74" applyFont="1" applyBorder="1" applyAlignment="1">
      <alignment horizontal="left" wrapText="1"/>
    </xf>
    <xf numFmtId="0" fontId="25" fillId="0" borderId="31" xfId="74" applyFont="1" applyFill="1" applyBorder="1" applyAlignment="1">
      <alignment horizontal="left" wrapText="1"/>
    </xf>
    <xf numFmtId="0" fontId="25" fillId="0" borderId="25" xfId="74" applyFont="1" applyFill="1" applyBorder="1" applyAlignment="1">
      <alignment horizontal="left" wrapText="1"/>
    </xf>
    <xf numFmtId="0" fontId="19" fillId="0" borderId="31" xfId="74" applyFont="1" applyFill="1" applyBorder="1" applyAlignment="1">
      <alignment horizontal="left" wrapText="1"/>
    </xf>
    <xf numFmtId="3" fontId="24" fillId="0" borderId="34" xfId="71" applyNumberFormat="1" applyFont="1" applyBorder="1" applyAlignment="1">
      <alignment wrapText="1"/>
    </xf>
    <xf numFmtId="3" fontId="24" fillId="0" borderId="35" xfId="71" applyNumberFormat="1" applyFont="1" applyBorder="1" applyAlignment="1"/>
    <xf numFmtId="3" fontId="25" fillId="0" borderId="26" xfId="71" applyNumberFormat="1" applyFont="1" applyFill="1" applyBorder="1" applyAlignment="1">
      <alignment wrapText="1"/>
    </xf>
    <xf numFmtId="3" fontId="24" fillId="0" borderId="26" xfId="71" applyNumberFormat="1" applyFont="1" applyBorder="1" applyAlignment="1">
      <alignment wrapText="1"/>
    </xf>
    <xf numFmtId="3" fontId="24" fillId="0" borderId="29" xfId="71" applyNumberFormat="1" applyFont="1" applyBorder="1" applyAlignment="1">
      <alignment wrapText="1"/>
    </xf>
    <xf numFmtId="0" fontId="25" fillId="0" borderId="26" xfId="74" applyFont="1" applyBorder="1" applyAlignment="1">
      <alignment wrapText="1"/>
    </xf>
    <xf numFmtId="3" fontId="19" fillId="0" borderId="26" xfId="71" applyNumberFormat="1" applyFont="1" applyFill="1" applyBorder="1" applyAlignment="1">
      <alignment wrapText="1"/>
    </xf>
    <xf numFmtId="0" fontId="25" fillId="0" borderId="26" xfId="74" applyFont="1" applyFill="1" applyBorder="1" applyAlignment="1">
      <alignment wrapText="1"/>
    </xf>
    <xf numFmtId="0" fontId="25" fillId="0" borderId="26" xfId="74" applyFont="1" applyFill="1" applyBorder="1" applyAlignment="1">
      <alignment horizontal="left" vertical="center" wrapText="1"/>
    </xf>
    <xf numFmtId="0" fontId="25" fillId="0" borderId="30" xfId="72" applyFont="1" applyFill="1" applyBorder="1" applyAlignment="1">
      <alignment horizontal="left" vertical="center" wrapText="1"/>
    </xf>
    <xf numFmtId="0" fontId="19" fillId="0" borderId="26" xfId="81" applyFont="1" applyFill="1" applyBorder="1" applyAlignment="1">
      <alignment wrapText="1"/>
    </xf>
    <xf numFmtId="3" fontId="25" fillId="0" borderId="28" xfId="71" applyNumberFormat="1" applyFont="1" applyFill="1" applyBorder="1" applyAlignment="1">
      <alignment wrapText="1"/>
    </xf>
    <xf numFmtId="3" fontId="25" fillId="0" borderId="31" xfId="71" applyNumberFormat="1" applyFont="1" applyFill="1" applyBorder="1" applyAlignment="1">
      <alignment wrapText="1"/>
    </xf>
    <xf numFmtId="3" fontId="25" fillId="0" borderId="36" xfId="71" applyNumberFormat="1" applyFont="1" applyFill="1" applyBorder="1" applyAlignment="1"/>
    <xf numFmtId="3" fontId="25" fillId="0" borderId="37" xfId="71" applyNumberFormat="1" applyFont="1" applyFill="1" applyBorder="1" applyAlignment="1">
      <alignment wrapText="1"/>
    </xf>
    <xf numFmtId="3" fontId="24" fillId="0" borderId="38" xfId="71" applyNumberFormat="1" applyFont="1" applyBorder="1" applyAlignment="1">
      <alignment wrapText="1"/>
    </xf>
    <xf numFmtId="0" fontId="19" fillId="0" borderId="36" xfId="74" applyFont="1" applyBorder="1"/>
    <xf numFmtId="0" fontId="19" fillId="29" borderId="26" xfId="84" applyFont="1" applyFill="1" applyBorder="1" applyAlignment="1">
      <alignment wrapText="1"/>
    </xf>
    <xf numFmtId="0" fontId="19" fillId="0" borderId="31" xfId="74" applyFont="1" applyBorder="1" applyAlignment="1">
      <alignment wrapText="1"/>
    </xf>
    <xf numFmtId="0" fontId="19" fillId="0" borderId="26" xfId="74" applyFont="1" applyBorder="1" applyAlignment="1">
      <alignment wrapText="1"/>
    </xf>
    <xf numFmtId="0" fontId="19" fillId="0" borderId="27" xfId="74" applyFont="1" applyBorder="1"/>
    <xf numFmtId="0" fontId="19" fillId="29" borderId="26" xfId="83" applyFont="1" applyFill="1" applyBorder="1" applyAlignment="1">
      <alignment wrapText="1"/>
    </xf>
    <xf numFmtId="164" fontId="19" fillId="0" borderId="15" xfId="74" applyNumberFormat="1" applyFont="1" applyBorder="1" applyAlignment="1">
      <alignment wrapText="1"/>
    </xf>
    <xf numFmtId="0" fontId="19" fillId="0" borderId="21" xfId="74" applyFont="1" applyBorder="1" applyAlignment="1">
      <alignment wrapText="1"/>
    </xf>
    <xf numFmtId="0" fontId="20" fillId="0" borderId="26" xfId="74" applyFont="1" applyBorder="1" applyAlignment="1">
      <alignment wrapText="1"/>
    </xf>
    <xf numFmtId="0" fontId="20" fillId="0" borderId="27" xfId="74" applyFont="1" applyBorder="1"/>
    <xf numFmtId="0" fontId="20" fillId="0" borderId="39" xfId="74" applyFont="1" applyBorder="1"/>
    <xf numFmtId="0" fontId="20" fillId="0" borderId="36" xfId="74" applyFont="1" applyBorder="1"/>
    <xf numFmtId="0" fontId="20" fillId="0" borderId="31" xfId="74" applyFont="1" applyBorder="1" applyAlignment="1">
      <alignment wrapText="1"/>
    </xf>
    <xf numFmtId="0" fontId="20" fillId="0" borderId="36" xfId="74" applyFont="1" applyBorder="1" applyAlignment="1">
      <alignment wrapText="1"/>
    </xf>
    <xf numFmtId="0" fontId="19" fillId="0" borderId="28" xfId="74" applyFont="1" applyBorder="1" applyAlignment="1">
      <alignment wrapText="1"/>
    </xf>
    <xf numFmtId="0" fontId="20" fillId="0" borderId="14" xfId="74" applyFont="1" applyBorder="1"/>
    <xf numFmtId="0" fontId="19" fillId="0" borderId="40" xfId="74" applyFont="1" applyBorder="1"/>
    <xf numFmtId="0" fontId="19" fillId="0" borderId="39" xfId="74" applyFont="1" applyBorder="1"/>
    <xf numFmtId="0" fontId="19" fillId="0" borderId="39" xfId="74" applyFont="1" applyBorder="1" applyAlignment="1">
      <alignment wrapText="1"/>
    </xf>
    <xf numFmtId="0" fontId="19" fillId="0" borderId="15" xfId="74" applyFont="1" applyFill="1" applyBorder="1" applyAlignment="1">
      <alignment wrapText="1"/>
    </xf>
    <xf numFmtId="0" fontId="20" fillId="0" borderId="41" xfId="74" applyFont="1" applyBorder="1"/>
    <xf numFmtId="3" fontId="20" fillId="0" borderId="39" xfId="74" applyNumberFormat="1" applyFont="1" applyBorder="1"/>
    <xf numFmtId="3" fontId="20" fillId="0" borderId="27" xfId="74" applyNumberFormat="1" applyFont="1" applyBorder="1"/>
    <xf numFmtId="3" fontId="19" fillId="0" borderId="39" xfId="74" applyNumberFormat="1" applyFont="1" applyBorder="1"/>
    <xf numFmtId="3" fontId="19" fillId="0" borderId="27" xfId="74" applyNumberFormat="1" applyFont="1" applyBorder="1"/>
    <xf numFmtId="0" fontId="19" fillId="0" borderId="27" xfId="74" applyFont="1" applyBorder="1" applyAlignment="1">
      <alignment wrapText="1"/>
    </xf>
    <xf numFmtId="0" fontId="20" fillId="0" borderId="42" xfId="74" applyFont="1" applyBorder="1"/>
    <xf numFmtId="3" fontId="25" fillId="0" borderId="22" xfId="74" applyNumberFormat="1" applyFont="1" applyFill="1" applyBorder="1"/>
    <xf numFmtId="0" fontId="24" fillId="0" borderId="34" xfId="81" applyFont="1" applyFill="1" applyBorder="1" applyAlignment="1">
      <alignment wrapText="1"/>
    </xf>
    <xf numFmtId="3" fontId="24" fillId="0" borderId="35" xfId="81" applyNumberFormat="1" applyFont="1" applyFill="1" applyBorder="1"/>
    <xf numFmtId="0" fontId="37" fillId="0" borderId="43" xfId="84" applyFont="1" applyFill="1" applyBorder="1" applyAlignment="1">
      <alignment horizontal="left" vertical="center" wrapText="1"/>
    </xf>
    <xf numFmtId="0" fontId="0" fillId="0" borderId="0" xfId="74" applyFont="1" applyAlignment="1">
      <alignment wrapText="1"/>
    </xf>
    <xf numFmtId="3" fontId="19" fillId="0" borderId="0" xfId="74" applyNumberFormat="1" applyFont="1"/>
    <xf numFmtId="0" fontId="38" fillId="0" borderId="11" xfId="84" applyFont="1" applyBorder="1" applyAlignment="1">
      <alignment horizontal="center" vertical="center" wrapText="1"/>
    </xf>
    <xf numFmtId="0" fontId="29" fillId="0" borderId="0" xfId="81" applyFont="1" applyFill="1" applyBorder="1" applyAlignment="1">
      <alignment wrapText="1"/>
    </xf>
    <xf numFmtId="3" fontId="25" fillId="0" borderId="0" xfId="74" applyNumberFormat="1" applyFont="1" applyFill="1" applyBorder="1"/>
    <xf numFmtId="0" fontId="29" fillId="0" borderId="44" xfId="81" applyFont="1" applyFill="1" applyBorder="1" applyAlignment="1">
      <alignment wrapText="1"/>
    </xf>
    <xf numFmtId="3" fontId="25" fillId="0" borderId="44" xfId="74" applyNumberFormat="1" applyFont="1" applyFill="1" applyBorder="1"/>
    <xf numFmtId="0" fontId="38" fillId="0" borderId="10" xfId="84" applyFont="1" applyBorder="1" applyAlignment="1">
      <alignment horizontal="center" vertical="center" wrapText="1"/>
    </xf>
    <xf numFmtId="0" fontId="20" fillId="29" borderId="10" xfId="85" applyFont="1" applyFill="1" applyBorder="1" applyAlignment="1">
      <alignment horizontal="center" vertical="center" wrapText="1"/>
    </xf>
    <xf numFmtId="3" fontId="19" fillId="29" borderId="10" xfId="85" applyNumberFormat="1" applyFont="1" applyFill="1" applyBorder="1" applyAlignment="1">
      <alignment horizontal="right" vertical="center" wrapText="1"/>
    </xf>
    <xf numFmtId="3" fontId="19" fillId="0" borderId="10" xfId="78" applyNumberFormat="1" applyFont="1" applyBorder="1"/>
    <xf numFmtId="3" fontId="19" fillId="29" borderId="10" xfId="85" applyNumberFormat="1" applyFont="1" applyFill="1" applyBorder="1" applyAlignment="1">
      <alignment horizontal="right" wrapText="1"/>
    </xf>
    <xf numFmtId="0" fontId="38" fillId="0" borderId="22" xfId="84" applyFont="1" applyBorder="1" applyAlignment="1">
      <alignment horizontal="center" vertical="center" wrapText="1"/>
    </xf>
    <xf numFmtId="0" fontId="20" fillId="29" borderId="22" xfId="85" applyFont="1" applyFill="1" applyBorder="1" applyAlignment="1">
      <alignment horizontal="center" vertical="center" wrapText="1"/>
    </xf>
    <xf numFmtId="3" fontId="19" fillId="29" borderId="22" xfId="85" applyNumberFormat="1" applyFont="1" applyFill="1" applyBorder="1" applyAlignment="1">
      <alignment horizontal="right" vertical="center" wrapText="1"/>
    </xf>
    <xf numFmtId="3" fontId="19" fillId="0" borderId="22" xfId="78" applyNumberFormat="1" applyFont="1" applyBorder="1"/>
    <xf numFmtId="3" fontId="19" fillId="29" borderId="22" xfId="85" applyNumberFormat="1" applyFont="1" applyFill="1" applyBorder="1" applyAlignment="1">
      <alignment horizontal="right" wrapText="1"/>
    </xf>
    <xf numFmtId="3" fontId="20" fillId="0" borderId="22" xfId="78" applyNumberFormat="1" applyFont="1" applyBorder="1"/>
    <xf numFmtId="0" fontId="20" fillId="0" borderId="22" xfId="78" applyFont="1" applyBorder="1"/>
    <xf numFmtId="3" fontId="19" fillId="0" borderId="10" xfId="78" applyNumberFormat="1" applyFont="1" applyBorder="1" applyAlignment="1">
      <alignment wrapText="1"/>
    </xf>
    <xf numFmtId="3" fontId="20" fillId="0" borderId="10" xfId="78" applyNumberFormat="1" applyFont="1" applyBorder="1" applyAlignment="1">
      <alignment wrapText="1"/>
    </xf>
    <xf numFmtId="0" fontId="19" fillId="0" borderId="15" xfId="76" applyFont="1" applyBorder="1" applyAlignment="1">
      <alignment wrapText="1"/>
    </xf>
    <xf numFmtId="0" fontId="19" fillId="0" borderId="17" xfId="76" applyFont="1" applyBorder="1" applyAlignment="1">
      <alignment wrapText="1"/>
    </xf>
    <xf numFmtId="0" fontId="19" fillId="0" borderId="15" xfId="78" applyFont="1" applyBorder="1" applyAlignment="1">
      <alignment wrapText="1"/>
    </xf>
    <xf numFmtId="3" fontId="20" fillId="0" borderId="22" xfId="78" applyNumberFormat="1" applyFont="1" applyBorder="1" applyAlignment="1">
      <alignment wrapText="1"/>
    </xf>
    <xf numFmtId="0" fontId="20" fillId="29" borderId="22" xfId="84" applyFont="1" applyFill="1" applyBorder="1"/>
    <xf numFmtId="0" fontId="19" fillId="0" borderId="16" xfId="84" applyFont="1" applyBorder="1"/>
    <xf numFmtId="0" fontId="19" fillId="0" borderId="12" xfId="84" applyFont="1" applyBorder="1"/>
    <xf numFmtId="0" fontId="19" fillId="0" borderId="22" xfId="84" applyFont="1" applyBorder="1" applyAlignment="1">
      <alignment horizontal="center"/>
    </xf>
    <xf numFmtId="0" fontId="25" fillId="0" borderId="25" xfId="84" applyFont="1" applyBorder="1" applyAlignment="1">
      <alignment horizontal="left" wrapText="1"/>
    </xf>
    <xf numFmtId="0" fontId="25" fillId="29" borderId="25" xfId="83" applyFont="1" applyFill="1" applyBorder="1" applyAlignment="1">
      <alignment wrapText="1"/>
    </xf>
    <xf numFmtId="0" fontId="24" fillId="0" borderId="25" xfId="84" applyFont="1" applyBorder="1" applyAlignment="1">
      <alignment horizontal="left" wrapText="1"/>
    </xf>
    <xf numFmtId="0" fontId="24" fillId="0" borderId="25" xfId="83" applyFont="1" applyBorder="1" applyAlignment="1">
      <alignment horizontal="left" wrapText="1"/>
    </xf>
    <xf numFmtId="0" fontId="24" fillId="29" borderId="25" xfId="84" applyFont="1" applyFill="1" applyBorder="1" applyAlignment="1">
      <alignment horizontal="left" wrapText="1"/>
    </xf>
    <xf numFmtId="0" fontId="24" fillId="29" borderId="25" xfId="84" applyFont="1" applyFill="1" applyBorder="1" applyAlignment="1">
      <alignment horizontal="left" vertical="top" wrapText="1"/>
    </xf>
    <xf numFmtId="0" fontId="19" fillId="0" borderId="25" xfId="84" applyFont="1" applyBorder="1" applyAlignment="1">
      <alignment horizontal="left" wrapText="1" indent="2"/>
    </xf>
    <xf numFmtId="0" fontId="36" fillId="0" borderId="45" xfId="84" applyFont="1" applyBorder="1" applyAlignment="1">
      <alignment horizontal="center" vertical="center" wrapText="1"/>
    </xf>
    <xf numFmtId="0" fontId="36" fillId="0" borderId="46" xfId="84" applyFont="1" applyBorder="1" applyAlignment="1">
      <alignment horizontal="center" vertical="center" wrapText="1"/>
    </xf>
    <xf numFmtId="0" fontId="21" fillId="29" borderId="47" xfId="84" applyFont="1" applyFill="1" applyBorder="1" applyAlignment="1">
      <alignment horizontal="center" vertical="center" wrapText="1"/>
    </xf>
    <xf numFmtId="3" fontId="19" fillId="0" borderId="22" xfId="84" applyNumberFormat="1" applyFont="1" applyBorder="1" applyAlignment="1">
      <alignment horizontal="right"/>
    </xf>
    <xf numFmtId="3" fontId="19" fillId="0" borderId="22" xfId="84" applyNumberFormat="1" applyFont="1" applyBorder="1"/>
    <xf numFmtId="3" fontId="20" fillId="0" borderId="22" xfId="84" applyNumberFormat="1" applyFont="1" applyBorder="1" applyAlignment="1">
      <alignment horizontal="right"/>
    </xf>
    <xf numFmtId="3" fontId="19" fillId="0" borderId="22" xfId="84" applyNumberFormat="1" applyFont="1" applyFill="1" applyBorder="1"/>
    <xf numFmtId="3" fontId="20" fillId="0" borderId="22" xfId="84" applyNumberFormat="1" applyFont="1" applyBorder="1"/>
    <xf numFmtId="0" fontId="19" fillId="0" borderId="22" xfId="84" applyFont="1" applyBorder="1"/>
    <xf numFmtId="0" fontId="19" fillId="0" borderId="22" xfId="84" applyFont="1" applyFill="1" applyBorder="1"/>
    <xf numFmtId="3" fontId="19" fillId="0" borderId="22" xfId="84" applyNumberFormat="1" applyFont="1" applyFill="1" applyBorder="1" applyAlignment="1">
      <alignment horizontal="right"/>
    </xf>
    <xf numFmtId="0" fontId="24" fillId="0" borderId="48" xfId="84" applyFont="1" applyFill="1" applyBorder="1" applyAlignment="1">
      <alignment horizontal="center" vertical="center" wrapText="1"/>
    </xf>
    <xf numFmtId="0" fontId="20" fillId="0" borderId="48" xfId="74" applyFont="1" applyBorder="1" applyAlignment="1">
      <alignment wrapText="1"/>
    </xf>
    <xf numFmtId="0" fontId="19" fillId="0" borderId="49" xfId="74" applyFont="1" applyBorder="1"/>
    <xf numFmtId="0" fontId="20" fillId="0" borderId="50" xfId="74" applyFont="1" applyBorder="1" applyAlignment="1">
      <alignment wrapText="1"/>
    </xf>
    <xf numFmtId="0" fontId="0" fillId="0" borderId="31" xfId="74" applyFont="1" applyFill="1" applyBorder="1" applyAlignment="1">
      <alignment wrapText="1"/>
    </xf>
    <xf numFmtId="3" fontId="24" fillId="0" borderId="10" xfId="84" applyNumberFormat="1" applyFont="1" applyFill="1" applyBorder="1" applyAlignment="1">
      <alignment horizontal="right" wrapText="1"/>
    </xf>
    <xf numFmtId="3" fontId="25" fillId="0" borderId="10" xfId="84" applyNumberFormat="1" applyFont="1" applyFill="1" applyBorder="1" applyAlignment="1">
      <alignment horizontal="right" wrapText="1"/>
    </xf>
    <xf numFmtId="3" fontId="24" fillId="0" borderId="13" xfId="84" applyNumberFormat="1" applyFont="1" applyFill="1" applyBorder="1" applyAlignment="1">
      <alignment horizontal="right" wrapText="1"/>
    </xf>
    <xf numFmtId="3" fontId="24" fillId="0" borderId="51" xfId="84" applyNumberFormat="1" applyFont="1" applyFill="1" applyBorder="1" applyAlignment="1">
      <alignment horizontal="right" wrapText="1"/>
    </xf>
    <xf numFmtId="3" fontId="29" fillId="29" borderId="12" xfId="84" applyNumberFormat="1" applyFont="1" applyFill="1" applyBorder="1" applyAlignment="1">
      <alignment horizontal="right" wrapText="1"/>
    </xf>
    <xf numFmtId="3" fontId="21" fillId="29" borderId="22" xfId="84" applyNumberFormat="1" applyFont="1" applyFill="1" applyBorder="1" applyAlignment="1">
      <alignment horizontal="right" wrapText="1"/>
    </xf>
    <xf numFmtId="3" fontId="29" fillId="29" borderId="22" xfId="84" applyNumberFormat="1" applyFont="1" applyFill="1" applyBorder="1" applyAlignment="1">
      <alignment horizontal="right" wrapText="1"/>
    </xf>
    <xf numFmtId="3" fontId="21" fillId="29" borderId="52" xfId="84" applyNumberFormat="1" applyFont="1" applyFill="1" applyBorder="1" applyAlignment="1">
      <alignment horizontal="right" wrapText="1"/>
    </xf>
    <xf numFmtId="3" fontId="31" fillId="0" borderId="22" xfId="73" applyNumberFormat="1" applyFont="1" applyBorder="1"/>
    <xf numFmtId="3" fontId="24" fillId="0" borderId="22" xfId="84" applyNumberFormat="1" applyFont="1" applyFill="1" applyBorder="1" applyAlignment="1">
      <alignment horizontal="right" wrapText="1"/>
    </xf>
    <xf numFmtId="3" fontId="25" fillId="0" borderId="22" xfId="84" applyNumberFormat="1" applyFont="1" applyFill="1" applyBorder="1" applyAlignment="1">
      <alignment horizontal="right" wrapText="1"/>
    </xf>
    <xf numFmtId="3" fontId="24" fillId="0" borderId="53" xfId="84" applyNumberFormat="1" applyFont="1" applyFill="1" applyBorder="1"/>
    <xf numFmtId="3" fontId="24" fillId="0" borderId="35" xfId="84" applyNumberFormat="1" applyFont="1" applyFill="1" applyBorder="1" applyAlignment="1">
      <alignment horizontal="right" wrapText="1"/>
    </xf>
    <xf numFmtId="3" fontId="20" fillId="0" borderId="22" xfId="73" applyNumberFormat="1" applyFont="1" applyBorder="1"/>
    <xf numFmtId="167" fontId="25" fillId="0" borderId="22" xfId="74" applyNumberFormat="1" applyFont="1" applyBorder="1" applyAlignment="1">
      <alignment horizontal="right" wrapText="1"/>
    </xf>
    <xf numFmtId="3" fontId="25" fillId="0" borderId="54" xfId="71" applyNumberFormat="1" applyFont="1" applyFill="1" applyBorder="1" applyAlignment="1">
      <alignment wrapText="1"/>
    </xf>
    <xf numFmtId="3" fontId="25" fillId="0" borderId="55" xfId="71" applyNumberFormat="1" applyFont="1" applyFill="1" applyBorder="1" applyAlignment="1"/>
    <xf numFmtId="3" fontId="25" fillId="0" borderId="56" xfId="71" applyNumberFormat="1" applyFont="1" applyFill="1" applyBorder="1" applyAlignment="1"/>
    <xf numFmtId="0" fontId="19" fillId="0" borderId="22" xfId="74" applyFont="1" applyBorder="1" applyAlignment="1">
      <alignment wrapText="1"/>
    </xf>
    <xf numFmtId="0" fontId="20" fillId="0" borderId="35" xfId="74" applyFont="1" applyBorder="1"/>
    <xf numFmtId="0" fontId="0" fillId="0" borderId="28" xfId="84" applyFont="1" applyBorder="1"/>
    <xf numFmtId="0" fontId="25" fillId="0" borderId="29" xfId="84" applyFont="1" applyFill="1" applyBorder="1" applyAlignment="1">
      <alignment horizontal="left" vertical="center" wrapText="1" indent="2"/>
    </xf>
    <xf numFmtId="0" fontId="24" fillId="0" borderId="54" xfId="84" applyFont="1" applyFill="1" applyBorder="1" applyAlignment="1">
      <alignment horizontal="left" vertical="center" wrapText="1" indent="1"/>
    </xf>
    <xf numFmtId="3" fontId="24" fillId="0" borderId="57" xfId="71" applyNumberFormat="1" applyFont="1" applyBorder="1" applyAlignment="1">
      <alignment wrapText="1"/>
    </xf>
    <xf numFmtId="3" fontId="24" fillId="0" borderId="58" xfId="71" applyNumberFormat="1" applyFont="1" applyBorder="1" applyAlignment="1"/>
    <xf numFmtId="0" fontId="20" fillId="0" borderId="22" xfId="74" applyFont="1" applyBorder="1" applyAlignment="1">
      <alignment wrapText="1"/>
    </xf>
    <xf numFmtId="0" fontId="19" fillId="0" borderId="20" xfId="74" applyFont="1" applyBorder="1" applyAlignment="1">
      <alignment wrapText="1"/>
    </xf>
    <xf numFmtId="0" fontId="25" fillId="0" borderId="59" xfId="84" applyFont="1" applyBorder="1" applyAlignment="1">
      <alignment horizontal="left" wrapText="1"/>
    </xf>
    <xf numFmtId="3" fontId="25" fillId="0" borderId="49" xfId="84" applyNumberFormat="1" applyFont="1" applyBorder="1"/>
    <xf numFmtId="3" fontId="25" fillId="0" borderId="60" xfId="84" applyNumberFormat="1" applyFont="1" applyBorder="1"/>
    <xf numFmtId="0" fontId="21" fillId="29" borderId="54" xfId="84" applyFont="1" applyFill="1" applyBorder="1" applyAlignment="1">
      <alignment wrapText="1"/>
    </xf>
    <xf numFmtId="3" fontId="29" fillId="29" borderId="36" xfId="84" applyNumberFormat="1" applyFont="1" applyFill="1" applyBorder="1" applyAlignment="1">
      <alignment horizontal="right" wrapText="1"/>
    </xf>
    <xf numFmtId="3" fontId="21" fillId="29" borderId="56" xfId="84" applyNumberFormat="1" applyFont="1" applyFill="1" applyBorder="1" applyAlignment="1">
      <alignment horizontal="right" wrapText="1"/>
    </xf>
    <xf numFmtId="0" fontId="21" fillId="29" borderId="57" xfId="84" applyFont="1" applyFill="1" applyBorder="1" applyAlignment="1">
      <alignment wrapText="1"/>
    </xf>
    <xf numFmtId="0" fontId="29" fillId="29" borderId="30" xfId="84" applyFont="1" applyFill="1" applyBorder="1" applyAlignment="1">
      <alignment wrapText="1"/>
    </xf>
    <xf numFmtId="164" fontId="29" fillId="29" borderId="30" xfId="83" applyNumberFormat="1" applyFont="1" applyFill="1" applyBorder="1" applyAlignment="1">
      <alignment wrapText="1"/>
    </xf>
    <xf numFmtId="0" fontId="29" fillId="29" borderId="30" xfId="83" applyFont="1" applyFill="1" applyBorder="1" applyAlignment="1">
      <alignment wrapText="1"/>
    </xf>
    <xf numFmtId="0" fontId="0" fillId="29" borderId="30" xfId="83" applyFont="1" applyFill="1" applyBorder="1" applyAlignment="1">
      <alignment wrapText="1"/>
    </xf>
    <xf numFmtId="0" fontId="21" fillId="29" borderId="30" xfId="84" applyFont="1" applyFill="1" applyBorder="1" applyAlignment="1">
      <alignment wrapText="1"/>
    </xf>
    <xf numFmtId="0" fontId="0" fillId="29" borderId="38" xfId="83" applyFont="1" applyFill="1" applyBorder="1" applyAlignment="1">
      <alignment wrapText="1"/>
    </xf>
    <xf numFmtId="0" fontId="21" fillId="29" borderId="54" xfId="83" applyFont="1" applyFill="1" applyBorder="1" applyAlignment="1">
      <alignment wrapText="1"/>
    </xf>
    <xf numFmtId="0" fontId="29" fillId="0" borderId="34" xfId="84" applyFont="1" applyBorder="1"/>
    <xf numFmtId="3" fontId="21" fillId="29" borderId="25" xfId="84" applyNumberFormat="1" applyFont="1" applyFill="1" applyBorder="1" applyAlignment="1">
      <alignment horizontal="right" wrapText="1"/>
    </xf>
    <xf numFmtId="3" fontId="29" fillId="29" borderId="25" xfId="84" applyNumberFormat="1" applyFont="1" applyFill="1" applyBorder="1" applyAlignment="1">
      <alignment horizontal="right" wrapText="1"/>
    </xf>
    <xf numFmtId="0" fontId="19" fillId="0" borderId="17" xfId="84" applyFont="1" applyBorder="1"/>
    <xf numFmtId="0" fontId="19" fillId="0" borderId="15" xfId="84" applyFont="1" applyBorder="1"/>
    <xf numFmtId="0" fontId="19" fillId="29" borderId="15" xfId="84" applyFont="1" applyFill="1" applyBorder="1"/>
    <xf numFmtId="0" fontId="19" fillId="0" borderId="15" xfId="84" applyFont="1" applyFill="1" applyBorder="1"/>
    <xf numFmtId="0" fontId="19" fillId="0" borderId="19" xfId="84" applyFont="1" applyBorder="1"/>
    <xf numFmtId="0" fontId="19" fillId="0" borderId="61" xfId="84" applyFont="1" applyBorder="1" applyAlignment="1">
      <alignment horizontal="center"/>
    </xf>
    <xf numFmtId="3" fontId="20" fillId="0" borderId="15" xfId="84" applyNumberFormat="1" applyFont="1" applyBorder="1" applyAlignment="1">
      <alignment horizontal="right"/>
    </xf>
    <xf numFmtId="3" fontId="19" fillId="0" borderId="15" xfId="84" applyNumberFormat="1" applyFont="1" applyBorder="1" applyAlignment="1">
      <alignment horizontal="right"/>
    </xf>
    <xf numFmtId="0" fontId="19" fillId="0" borderId="15" xfId="74" applyFont="1" applyBorder="1" applyAlignment="1">
      <alignment horizontal="right"/>
    </xf>
    <xf numFmtId="3" fontId="20" fillId="0" borderId="19" xfId="84" applyNumberFormat="1" applyFont="1" applyBorder="1"/>
    <xf numFmtId="3" fontId="19" fillId="0" borderId="39" xfId="84" applyNumberFormat="1" applyFont="1" applyBorder="1" applyAlignment="1">
      <alignment horizontal="right"/>
    </xf>
    <xf numFmtId="3" fontId="19" fillId="0" borderId="25" xfId="84" applyNumberFormat="1" applyFont="1" applyFill="1" applyBorder="1"/>
    <xf numFmtId="3" fontId="20" fillId="0" borderId="35" xfId="84" applyNumberFormat="1" applyFont="1" applyBorder="1"/>
    <xf numFmtId="0" fontId="19" fillId="0" borderId="13" xfId="84" applyFont="1" applyBorder="1"/>
    <xf numFmtId="0" fontId="19" fillId="0" borderId="23" xfId="84" applyFont="1" applyBorder="1" applyAlignment="1">
      <alignment horizontal="center"/>
    </xf>
    <xf numFmtId="0" fontId="19" fillId="29" borderId="10" xfId="84" applyFont="1" applyFill="1" applyBorder="1"/>
    <xf numFmtId="0" fontId="19" fillId="0" borderId="10" xfId="74" applyFont="1" applyBorder="1" applyAlignment="1">
      <alignment horizontal="right"/>
    </xf>
    <xf numFmtId="3" fontId="20" fillId="0" borderId="13" xfId="84" applyNumberFormat="1" applyFont="1" applyBorder="1"/>
    <xf numFmtId="0" fontId="19" fillId="0" borderId="30" xfId="72" applyFont="1" applyFill="1" applyBorder="1" applyAlignment="1">
      <alignment horizontal="left" vertical="center" wrapText="1"/>
    </xf>
    <xf numFmtId="0" fontId="19" fillId="0" borderId="38" xfId="72" applyFont="1" applyFill="1" applyBorder="1" applyAlignment="1">
      <alignment horizontal="left" vertical="center" wrapText="1"/>
    </xf>
    <xf numFmtId="164" fontId="19" fillId="0" borderId="26" xfId="74" applyNumberFormat="1" applyFont="1" applyBorder="1" applyAlignment="1">
      <alignment wrapText="1"/>
    </xf>
    <xf numFmtId="0" fontId="19" fillId="0" borderId="37" xfId="74" applyFont="1" applyBorder="1" applyAlignment="1">
      <alignment wrapText="1"/>
    </xf>
    <xf numFmtId="0" fontId="40" fillId="0" borderId="11" xfId="0" applyFont="1" applyFill="1" applyBorder="1" applyAlignment="1">
      <alignment wrapText="1"/>
    </xf>
    <xf numFmtId="3" fontId="21" fillId="29" borderId="36" xfId="84" applyNumberFormat="1" applyFont="1" applyFill="1" applyBorder="1" applyAlignment="1">
      <alignment horizontal="right" wrapText="1"/>
    </xf>
    <xf numFmtId="3" fontId="21" fillId="29" borderId="55" xfId="84" applyNumberFormat="1" applyFont="1" applyFill="1" applyBorder="1" applyAlignment="1">
      <alignment horizontal="right" wrapText="1"/>
    </xf>
    <xf numFmtId="0" fontId="21" fillId="29" borderId="62" xfId="84" applyFont="1" applyFill="1" applyBorder="1" applyAlignment="1">
      <alignment wrapText="1"/>
    </xf>
    <xf numFmtId="0" fontId="20" fillId="0" borderId="0" xfId="73" applyFont="1" applyAlignment="1">
      <alignment horizontal="center"/>
    </xf>
    <xf numFmtId="0" fontId="20" fillId="0" borderId="0" xfId="73" applyFont="1" applyAlignment="1"/>
    <xf numFmtId="3" fontId="19" fillId="0" borderId="39" xfId="73" applyNumberFormat="1" applyFont="1" applyBorder="1"/>
    <xf numFmtId="0" fontId="19" fillId="0" borderId="63" xfId="73" applyFont="1" applyBorder="1"/>
    <xf numFmtId="3" fontId="20" fillId="0" borderId="35" xfId="73" applyNumberFormat="1" applyFont="1" applyBorder="1"/>
    <xf numFmtId="0" fontId="21" fillId="0" borderId="0" xfId="84" applyFont="1" applyFill="1" applyBorder="1"/>
    <xf numFmtId="0" fontId="21" fillId="0" borderId="0" xfId="81" applyFont="1" applyFill="1"/>
    <xf numFmtId="3" fontId="25" fillId="0" borderId="64" xfId="71" applyNumberFormat="1" applyFont="1" applyFill="1" applyBorder="1" applyAlignment="1"/>
    <xf numFmtId="3" fontId="21" fillId="0" borderId="0" xfId="71" applyNumberFormat="1" applyFont="1" applyFill="1" applyBorder="1"/>
    <xf numFmtId="3" fontId="21" fillId="0" borderId="0" xfId="71" applyNumberFormat="1" applyFont="1" applyFill="1"/>
    <xf numFmtId="3" fontId="21" fillId="0" borderId="0" xfId="71" applyNumberFormat="1" applyFont="1" applyFill="1" applyAlignment="1">
      <alignment horizontal="center"/>
    </xf>
    <xf numFmtId="0" fontId="21" fillId="0" borderId="0" xfId="71" applyFont="1" applyFill="1"/>
    <xf numFmtId="3" fontId="24" fillId="0" borderId="55" xfId="71" applyNumberFormat="1" applyFont="1" applyFill="1" applyBorder="1" applyAlignment="1"/>
    <xf numFmtId="167" fontId="21" fillId="0" borderId="0" xfId="74" applyNumberFormat="1" applyFont="1" applyBorder="1" applyAlignment="1">
      <alignment horizontal="right" vertical="top" wrapText="1"/>
    </xf>
    <xf numFmtId="0" fontId="19" fillId="0" borderId="52" xfId="74" applyFont="1" applyBorder="1"/>
    <xf numFmtId="0" fontId="19" fillId="0" borderId="65" xfId="74" applyFont="1" applyBorder="1"/>
    <xf numFmtId="0" fontId="19" fillId="0" borderId="52" xfId="74" applyNumberFormat="1" applyFont="1" applyBorder="1" applyAlignment="1">
      <alignment wrapText="1"/>
    </xf>
    <xf numFmtId="0" fontId="19" fillId="0" borderId="66" xfId="74" applyFont="1" applyBorder="1"/>
    <xf numFmtId="164" fontId="19" fillId="0" borderId="19" xfId="74" applyNumberFormat="1" applyFont="1" applyBorder="1" applyAlignment="1">
      <alignment wrapText="1"/>
    </xf>
    <xf numFmtId="0" fontId="19" fillId="0" borderId="13" xfId="74" applyFont="1" applyBorder="1"/>
    <xf numFmtId="0" fontId="19" fillId="0" borderId="67" xfId="74" applyNumberFormat="1" applyFont="1" applyBorder="1" applyAlignment="1">
      <alignment wrapText="1"/>
    </xf>
    <xf numFmtId="0" fontId="19" fillId="0" borderId="68" xfId="74" applyFont="1" applyBorder="1"/>
    <xf numFmtId="0" fontId="25" fillId="0" borderId="0" xfId="0" applyFont="1" applyAlignment="1">
      <alignment wrapText="1"/>
    </xf>
    <xf numFmtId="0" fontId="0" fillId="0" borderId="0" xfId="0" applyFont="1"/>
    <xf numFmtId="3" fontId="24" fillId="0" borderId="69" xfId="71" applyNumberFormat="1" applyFont="1" applyBorder="1" applyAlignment="1">
      <alignment wrapText="1"/>
    </xf>
    <xf numFmtId="3" fontId="24" fillId="0" borderId="70" xfId="71" applyNumberFormat="1" applyFont="1" applyBorder="1" applyAlignment="1">
      <alignment wrapText="1"/>
    </xf>
    <xf numFmtId="3" fontId="20" fillId="29" borderId="22" xfId="84" applyNumberFormat="1" applyFont="1" applyFill="1" applyBorder="1" applyAlignment="1">
      <alignment horizontal="right" wrapText="1"/>
    </xf>
    <xf numFmtId="0" fontId="20" fillId="0" borderId="71" xfId="84" applyFont="1" applyBorder="1" applyAlignment="1">
      <alignment horizontal="center" vertical="center" wrapText="1"/>
    </xf>
    <xf numFmtId="0" fontId="36" fillId="0" borderId="71" xfId="84" applyFont="1" applyBorder="1" applyAlignment="1">
      <alignment horizontal="center" vertical="center" wrapText="1"/>
    </xf>
    <xf numFmtId="0" fontId="36" fillId="0" borderId="72" xfId="84" applyFont="1" applyBorder="1" applyAlignment="1">
      <alignment horizontal="center" vertical="center" wrapText="1"/>
    </xf>
    <xf numFmtId="0" fontId="20" fillId="0" borderId="73" xfId="74" applyFont="1" applyBorder="1"/>
    <xf numFmtId="0" fontId="20" fillId="0" borderId="72" xfId="74" applyFont="1" applyBorder="1"/>
    <xf numFmtId="0" fontId="20" fillId="0" borderId="71" xfId="74" applyFont="1" applyBorder="1"/>
    <xf numFmtId="0" fontId="19" fillId="29" borderId="31" xfId="84" applyFont="1" applyFill="1" applyBorder="1" applyAlignment="1">
      <alignment wrapText="1"/>
    </xf>
    <xf numFmtId="0" fontId="19" fillId="0" borderId="18" xfId="74" applyFont="1" applyBorder="1"/>
    <xf numFmtId="0" fontId="19" fillId="0" borderId="74" xfId="74" applyFont="1" applyBorder="1"/>
    <xf numFmtId="0" fontId="19" fillId="0" borderId="19" xfId="74" applyFont="1" applyBorder="1" applyAlignment="1">
      <alignment wrapText="1"/>
    </xf>
    <xf numFmtId="0" fontId="19" fillId="0" borderId="67" xfId="74" applyFont="1" applyBorder="1"/>
    <xf numFmtId="0" fontId="20" fillId="0" borderId="45" xfId="74" applyFont="1" applyBorder="1"/>
    <xf numFmtId="0" fontId="19" fillId="0" borderId="75" xfId="74" applyFont="1" applyBorder="1"/>
    <xf numFmtId="0" fontId="19" fillId="0" borderId="63" xfId="74" applyFont="1" applyBorder="1"/>
    <xf numFmtId="3" fontId="19" fillId="0" borderId="65" xfId="74" applyNumberFormat="1" applyFont="1" applyBorder="1"/>
    <xf numFmtId="3" fontId="20" fillId="0" borderId="71" xfId="74" applyNumberFormat="1" applyFont="1" applyBorder="1"/>
    <xf numFmtId="3" fontId="20" fillId="0" borderId="73" xfId="74" applyNumberFormat="1" applyFont="1" applyBorder="1"/>
    <xf numFmtId="3" fontId="20" fillId="0" borderId="45" xfId="74" applyNumberFormat="1" applyFont="1" applyBorder="1"/>
    <xf numFmtId="3" fontId="20" fillId="0" borderId="72" xfId="74" applyNumberFormat="1" applyFont="1" applyBorder="1"/>
    <xf numFmtId="3" fontId="25" fillId="0" borderId="52" xfId="74" applyNumberFormat="1" applyFont="1" applyFill="1" applyBorder="1"/>
    <xf numFmtId="0" fontId="25" fillId="0" borderId="31" xfId="74" applyFont="1" applyBorder="1" applyAlignment="1">
      <alignment horizontal="left" wrapText="1"/>
    </xf>
    <xf numFmtId="3" fontId="19" fillId="0" borderId="28" xfId="71" applyNumberFormat="1" applyFont="1" applyFill="1" applyBorder="1" applyAlignment="1">
      <alignment wrapText="1"/>
    </xf>
    <xf numFmtId="0" fontId="25" fillId="0" borderId="76" xfId="74" applyFont="1" applyBorder="1" applyAlignment="1">
      <alignment wrapText="1"/>
    </xf>
    <xf numFmtId="0" fontId="19" fillId="0" borderId="77" xfId="74" applyFont="1" applyBorder="1"/>
    <xf numFmtId="0" fontId="0" fillId="0" borderId="0" xfId="78" applyFont="1" applyAlignment="1">
      <alignment wrapText="1"/>
    </xf>
    <xf numFmtId="0" fontId="19" fillId="0" borderId="0" xfId="73" applyFont="1" applyBorder="1" applyAlignment="1">
      <alignment wrapText="1"/>
    </xf>
    <xf numFmtId="3" fontId="29" fillId="0" borderId="0" xfId="73" applyNumberFormat="1" applyFont="1"/>
    <xf numFmtId="3" fontId="19" fillId="29" borderId="22" xfId="75" applyNumberFormat="1" applyFont="1" applyFill="1" applyBorder="1"/>
    <xf numFmtId="0" fontId="19" fillId="0" borderId="25" xfId="75" applyFont="1" applyFill="1" applyBorder="1"/>
    <xf numFmtId="0" fontId="20" fillId="0" borderId="22" xfId="75" applyFont="1" applyBorder="1"/>
    <xf numFmtId="0" fontId="19" fillId="0" borderId="22" xfId="0" applyFont="1" applyBorder="1"/>
    <xf numFmtId="0" fontId="19" fillId="0" borderId="22" xfId="75" applyFont="1" applyFill="1" applyBorder="1"/>
    <xf numFmtId="0" fontId="19" fillId="0" borderId="22" xfId="75" applyNumberFormat="1" applyFont="1" applyFill="1" applyBorder="1" applyAlignment="1">
      <alignment horizontal="center"/>
    </xf>
    <xf numFmtId="0" fontId="20" fillId="0" borderId="22" xfId="75" applyFont="1" applyFill="1" applyBorder="1"/>
    <xf numFmtId="0" fontId="20" fillId="0" borderId="25" xfId="73" applyFont="1" applyBorder="1" applyAlignment="1">
      <alignment wrapText="1"/>
    </xf>
    <xf numFmtId="0" fontId="19" fillId="0" borderId="25" xfId="73" applyFont="1" applyBorder="1" applyAlignment="1">
      <alignment wrapText="1"/>
    </xf>
    <xf numFmtId="0" fontId="20" fillId="0" borderId="34" xfId="73" applyFont="1" applyBorder="1" applyAlignment="1">
      <alignment wrapText="1"/>
    </xf>
    <xf numFmtId="0" fontId="20" fillId="0" borderId="78" xfId="73" applyFont="1" applyBorder="1" applyAlignment="1">
      <alignment wrapText="1"/>
    </xf>
    <xf numFmtId="0" fontId="19" fillId="0" borderId="0" xfId="0" applyFont="1"/>
    <xf numFmtId="0" fontId="20" fillId="0" borderId="25" xfId="75" applyFont="1" applyFill="1" applyBorder="1"/>
    <xf numFmtId="3" fontId="20" fillId="0" borderId="22" xfId="75" applyNumberFormat="1" applyFont="1" applyFill="1" applyBorder="1"/>
    <xf numFmtId="3" fontId="20" fillId="29" borderId="22" xfId="75" applyNumberFormat="1" applyFont="1" applyFill="1" applyBorder="1"/>
    <xf numFmtId="4" fontId="20" fillId="0" borderId="22" xfId="75" applyNumberFormat="1" applyFont="1" applyFill="1" applyBorder="1"/>
    <xf numFmtId="4" fontId="19" fillId="0" borderId="22" xfId="75" applyNumberFormat="1" applyFont="1" applyFill="1" applyBorder="1"/>
    <xf numFmtId="0" fontId="20" fillId="0" borderId="25" xfId="77" applyFont="1" applyFill="1" applyBorder="1"/>
    <xf numFmtId="0" fontId="19" fillId="0" borderId="25" xfId="77" applyFont="1" applyFill="1" applyBorder="1"/>
    <xf numFmtId="3" fontId="19" fillId="0" borderId="22" xfId="75" applyNumberFormat="1" applyFont="1" applyFill="1" applyBorder="1"/>
    <xf numFmtId="165" fontId="19" fillId="29" borderId="22" xfId="75" applyNumberFormat="1" applyFont="1" applyFill="1" applyBorder="1"/>
    <xf numFmtId="165" fontId="20" fillId="29" borderId="22" xfId="75" applyNumberFormat="1" applyFont="1" applyFill="1" applyBorder="1"/>
    <xf numFmtId="0" fontId="20" fillId="0" borderId="25" xfId="0" applyFont="1" applyBorder="1"/>
    <xf numFmtId="0" fontId="19" fillId="0" borderId="25" xfId="0" applyFont="1" applyBorder="1"/>
    <xf numFmtId="2" fontId="19" fillId="0" borderId="22" xfId="75" applyNumberFormat="1" applyFont="1" applyFill="1" applyBorder="1"/>
    <xf numFmtId="0" fontId="19" fillId="0" borderId="22" xfId="75" applyFont="1" applyBorder="1"/>
    <xf numFmtId="0" fontId="22" fillId="0" borderId="25" xfId="75" applyFont="1" applyFill="1" applyBorder="1"/>
    <xf numFmtId="0" fontId="19" fillId="0" borderId="25" xfId="75" applyFont="1" applyFill="1" applyBorder="1" applyAlignment="1">
      <alignment wrapText="1"/>
    </xf>
    <xf numFmtId="0" fontId="22" fillId="0" borderId="22" xfId="75" applyFont="1" applyFill="1" applyBorder="1"/>
    <xf numFmtId="3" fontId="22" fillId="0" borderId="22" xfId="75" applyNumberFormat="1" applyFont="1" applyFill="1" applyBorder="1"/>
    <xf numFmtId="3" fontId="22" fillId="29" borderId="22" xfId="75" applyNumberFormat="1" applyFont="1" applyFill="1" applyBorder="1"/>
    <xf numFmtId="2" fontId="20" fillId="0" borderId="22" xfId="75" applyNumberFormat="1" applyFont="1" applyFill="1" applyBorder="1"/>
    <xf numFmtId="1" fontId="19" fillId="0" borderId="22" xfId="75" applyNumberFormat="1" applyFont="1" applyFill="1" applyBorder="1"/>
    <xf numFmtId="3" fontId="20" fillId="0" borderId="25" xfId="75" applyNumberFormat="1" applyFont="1" applyFill="1" applyBorder="1"/>
    <xf numFmtId="3" fontId="19" fillId="0" borderId="25" xfId="75" applyNumberFormat="1" applyFont="1" applyFill="1" applyBorder="1"/>
    <xf numFmtId="0" fontId="20" fillId="0" borderId="34" xfId="75" applyFont="1" applyFill="1" applyBorder="1"/>
    <xf numFmtId="0" fontId="19" fillId="0" borderId="35" xfId="75" applyFont="1" applyBorder="1"/>
    <xf numFmtId="3" fontId="20" fillId="0" borderId="41" xfId="75" applyNumberFormat="1" applyFont="1" applyBorder="1"/>
    <xf numFmtId="0" fontId="19" fillId="0" borderId="25" xfId="75" applyFont="1" applyFill="1" applyBorder="1" applyAlignment="1">
      <alignment horizontal="center"/>
    </xf>
    <xf numFmtId="165" fontId="19" fillId="0" borderId="22" xfId="75" applyNumberFormat="1" applyFont="1" applyFill="1" applyBorder="1"/>
    <xf numFmtId="0" fontId="20" fillId="0" borderId="25" xfId="75" applyFont="1" applyFill="1" applyBorder="1" applyAlignment="1">
      <alignment horizontal="center"/>
    </xf>
    <xf numFmtId="0" fontId="20" fillId="0" borderId="22" xfId="75" applyNumberFormat="1" applyFont="1" applyFill="1" applyBorder="1" applyAlignment="1">
      <alignment horizontal="center"/>
    </xf>
    <xf numFmtId="2" fontId="19" fillId="0" borderId="22" xfId="75" applyNumberFormat="1" applyFont="1" applyBorder="1"/>
    <xf numFmtId="0" fontId="20" fillId="0" borderId="25" xfId="75" applyFont="1" applyBorder="1"/>
    <xf numFmtId="3" fontId="20" fillId="0" borderId="22" xfId="75" applyNumberFormat="1" applyFont="1" applyFill="1" applyBorder="1" applyAlignment="1"/>
    <xf numFmtId="0" fontId="19" fillId="0" borderId="25" xfId="75" applyFont="1" applyBorder="1"/>
    <xf numFmtId="166" fontId="20" fillId="0" borderId="22" xfId="75" applyNumberFormat="1" applyFont="1" applyFill="1" applyBorder="1"/>
    <xf numFmtId="0" fontId="19" fillId="0" borderId="22" xfId="75" applyFont="1" applyFill="1" applyBorder="1" applyAlignment="1">
      <alignment wrapText="1"/>
    </xf>
    <xf numFmtId="0" fontId="22" fillId="0" borderId="22" xfId="75" applyFont="1" applyFill="1" applyBorder="1" applyAlignment="1">
      <alignment wrapText="1"/>
    </xf>
    <xf numFmtId="1" fontId="20" fillId="0" borderId="22" xfId="75" applyNumberFormat="1" applyFont="1" applyFill="1" applyBorder="1"/>
    <xf numFmtId="0" fontId="20" fillId="0" borderId="22" xfId="75" applyFont="1" applyFill="1" applyBorder="1" applyAlignment="1">
      <alignment horizontal="center"/>
    </xf>
    <xf numFmtId="0" fontId="19" fillId="0" borderId="22" xfId="75" applyFont="1" applyFill="1" applyBorder="1" applyAlignment="1">
      <alignment horizontal="center"/>
    </xf>
    <xf numFmtId="4" fontId="19" fillId="29" borderId="22" xfId="75" applyNumberFormat="1" applyFont="1" applyFill="1" applyBorder="1"/>
    <xf numFmtId="0" fontId="19" fillId="0" borderId="34" xfId="75" applyFont="1" applyFill="1" applyBorder="1" applyAlignment="1">
      <alignment horizontal="center"/>
    </xf>
    <xf numFmtId="0" fontId="19" fillId="0" borderId="35" xfId="75" applyNumberFormat="1" applyFont="1" applyFill="1" applyBorder="1" applyAlignment="1">
      <alignment horizontal="center"/>
    </xf>
    <xf numFmtId="0" fontId="20" fillId="0" borderId="35" xfId="75" applyFont="1" applyFill="1" applyBorder="1" applyAlignment="1">
      <alignment wrapText="1"/>
    </xf>
    <xf numFmtId="2" fontId="19" fillId="0" borderId="35" xfId="75" applyNumberFormat="1" applyFont="1" applyFill="1" applyBorder="1"/>
    <xf numFmtId="0" fontId="19" fillId="0" borderId="35" xfId="75" applyFont="1" applyFill="1" applyBorder="1"/>
    <xf numFmtId="3" fontId="19" fillId="0" borderId="35" xfId="75" applyNumberFormat="1" applyFont="1" applyFill="1" applyBorder="1"/>
    <xf numFmtId="3" fontId="19" fillId="0" borderId="22" xfId="74" applyNumberFormat="1" applyFont="1" applyBorder="1"/>
    <xf numFmtId="3" fontId="20" fillId="0" borderId="39" xfId="84" applyNumberFormat="1" applyFont="1" applyBorder="1" applyAlignment="1">
      <alignment horizontal="right"/>
    </xf>
    <xf numFmtId="3" fontId="20" fillId="0" borderId="61" xfId="84" applyNumberFormat="1" applyFont="1" applyBorder="1"/>
    <xf numFmtId="3" fontId="20" fillId="0" borderId="23" xfId="84" applyNumberFormat="1" applyFont="1" applyBorder="1"/>
    <xf numFmtId="3" fontId="19" fillId="29" borderId="22" xfId="84" applyNumberFormat="1" applyFont="1" applyFill="1" applyBorder="1" applyAlignment="1">
      <alignment horizontal="right" wrapText="1"/>
    </xf>
    <xf numFmtId="4" fontId="19" fillId="29" borderId="22" xfId="84" applyNumberFormat="1" applyFont="1" applyFill="1" applyBorder="1" applyAlignment="1">
      <alignment horizontal="right" wrapText="1"/>
    </xf>
    <xf numFmtId="3" fontId="20" fillId="29" borderId="39" xfId="84" applyNumberFormat="1" applyFont="1" applyFill="1" applyBorder="1" applyAlignment="1">
      <alignment horizontal="right" wrapText="1"/>
    </xf>
    <xf numFmtId="3" fontId="19" fillId="29" borderId="39" xfId="84" applyNumberFormat="1" applyFont="1" applyFill="1" applyBorder="1" applyAlignment="1">
      <alignment horizontal="right" wrapText="1"/>
    </xf>
    <xf numFmtId="3" fontId="19" fillId="29" borderId="35" xfId="84" applyNumberFormat="1" applyFont="1" applyFill="1" applyBorder="1" applyAlignment="1">
      <alignment horizontal="right" wrapText="1"/>
    </xf>
    <xf numFmtId="0" fontId="20" fillId="29" borderId="22" xfId="84" applyFont="1" applyFill="1" applyBorder="1" applyAlignment="1">
      <alignment vertical="center"/>
    </xf>
    <xf numFmtId="4" fontId="19" fillId="0" borderId="22" xfId="84" applyNumberFormat="1" applyFont="1" applyFill="1" applyBorder="1" applyAlignment="1">
      <alignment horizontal="right" wrapText="1"/>
    </xf>
    <xf numFmtId="3" fontId="20" fillId="29" borderId="23" xfId="84" applyNumberFormat="1" applyFont="1" applyFill="1" applyBorder="1" applyAlignment="1">
      <alignment horizontal="right" wrapText="1"/>
    </xf>
    <xf numFmtId="3" fontId="19" fillId="29" borderId="23" xfId="84" applyNumberFormat="1" applyFont="1" applyFill="1" applyBorder="1" applyAlignment="1">
      <alignment horizontal="right" wrapText="1"/>
    </xf>
    <xf numFmtId="0" fontId="25" fillId="0" borderId="25" xfId="86" applyFont="1" applyBorder="1" applyAlignment="1">
      <alignment wrapText="1"/>
    </xf>
    <xf numFmtId="0" fontId="25" fillId="0" borderId="25" xfId="86" applyFont="1" applyFill="1" applyBorder="1" applyAlignment="1">
      <alignment wrapText="1"/>
    </xf>
    <xf numFmtId="0" fontId="25" fillId="0" borderId="25" xfId="0" applyFont="1" applyFill="1" applyBorder="1" applyAlignment="1">
      <alignment wrapText="1"/>
    </xf>
    <xf numFmtId="3" fontId="24" fillId="0" borderId="22" xfId="71" applyNumberFormat="1" applyFont="1" applyBorder="1" applyAlignment="1"/>
    <xf numFmtId="0" fontId="36" fillId="0" borderId="60" xfId="84" applyFont="1" applyBorder="1" applyAlignment="1">
      <alignment horizontal="center" vertical="center" wrapText="1"/>
    </xf>
    <xf numFmtId="3" fontId="24" fillId="0" borderId="25" xfId="71" applyNumberFormat="1" applyFont="1" applyBorder="1" applyAlignment="1">
      <alignment wrapText="1"/>
    </xf>
    <xf numFmtId="3" fontId="24" fillId="0" borderId="39" xfId="71" applyNumberFormat="1" applyFont="1" applyBorder="1" applyAlignment="1"/>
    <xf numFmtId="0" fontId="25" fillId="0" borderId="25" xfId="69" applyFont="1" applyFill="1" applyBorder="1" applyAlignment="1">
      <alignment wrapText="1"/>
    </xf>
    <xf numFmtId="0" fontId="25" fillId="0" borderId="25" xfId="74" applyFont="1" applyBorder="1" applyAlignment="1">
      <alignment horizontal="left" wrapText="1"/>
    </xf>
    <xf numFmtId="0" fontId="19" fillId="0" borderId="25" xfId="74" applyFont="1" applyFill="1" applyBorder="1" applyAlignment="1">
      <alignment horizontal="left" wrapText="1"/>
    </xf>
    <xf numFmtId="4" fontId="29" fillId="0" borderId="0" xfId="84" applyNumberFormat="1" applyFont="1" applyBorder="1"/>
    <xf numFmtId="3" fontId="29" fillId="29" borderId="27" xfId="84" applyNumberFormat="1" applyFont="1" applyFill="1" applyBorder="1" applyAlignment="1">
      <alignment horizontal="right" wrapText="1"/>
    </xf>
    <xf numFmtId="3" fontId="21" fillId="29" borderId="27" xfId="84" applyNumberFormat="1" applyFont="1" applyFill="1" applyBorder="1" applyAlignment="1">
      <alignment horizontal="right" wrapText="1"/>
    </xf>
    <xf numFmtId="0" fontId="19" fillId="0" borderId="30" xfId="74" applyFont="1" applyBorder="1" applyAlignment="1">
      <alignment wrapText="1"/>
    </xf>
    <xf numFmtId="0" fontId="19" fillId="0" borderId="30" xfId="74" applyFont="1" applyFill="1" applyBorder="1" applyAlignment="1">
      <alignment wrapText="1"/>
    </xf>
    <xf numFmtId="0" fontId="20" fillId="0" borderId="30" xfId="74" applyFont="1" applyBorder="1" applyAlignment="1">
      <alignment wrapText="1"/>
    </xf>
    <xf numFmtId="0" fontId="20" fillId="0" borderId="38" xfId="74" applyFont="1" applyBorder="1" applyAlignment="1">
      <alignment wrapText="1"/>
    </xf>
    <xf numFmtId="0" fontId="29" fillId="0" borderId="79" xfId="74" applyFont="1" applyBorder="1" applyAlignment="1">
      <alignment wrapText="1"/>
    </xf>
    <xf numFmtId="0" fontId="29" fillId="0" borderId="44" xfId="74" applyFont="1" applyBorder="1"/>
    <xf numFmtId="0" fontId="29" fillId="0" borderId="80" xfId="74" applyFont="1" applyBorder="1"/>
    <xf numFmtId="0" fontId="25" fillId="0" borderId="25" xfId="84" applyFont="1" applyFill="1" applyBorder="1" applyAlignment="1">
      <alignment horizontal="left" vertical="center" wrapText="1"/>
    </xf>
    <xf numFmtId="3" fontId="24" fillId="0" borderId="81" xfId="71" applyNumberFormat="1" applyFont="1" applyBorder="1" applyAlignment="1">
      <alignment wrapText="1"/>
    </xf>
    <xf numFmtId="0" fontId="0" fillId="29" borderId="26" xfId="84" applyFont="1" applyFill="1" applyBorder="1" applyAlignment="1">
      <alignment wrapText="1"/>
    </xf>
    <xf numFmtId="3" fontId="35" fillId="29" borderId="36" xfId="84" applyNumberFormat="1" applyFont="1" applyFill="1" applyBorder="1" applyAlignment="1">
      <alignment horizontal="right" wrapText="1"/>
    </xf>
    <xf numFmtId="3" fontId="29" fillId="29" borderId="82" xfId="84" applyNumberFormat="1" applyFont="1" applyFill="1" applyBorder="1" applyAlignment="1">
      <alignment horizontal="right" wrapText="1"/>
    </xf>
    <xf numFmtId="3" fontId="43" fillId="0" borderId="0" xfId="81" applyNumberFormat="1" applyFont="1" applyFill="1"/>
    <xf numFmtId="3" fontId="20" fillId="0" borderId="39" xfId="73" applyNumberFormat="1" applyFont="1" applyBorder="1"/>
    <xf numFmtId="0" fontId="21" fillId="0" borderId="0" xfId="73" applyFont="1" applyAlignment="1">
      <alignment horizontal="center"/>
    </xf>
    <xf numFmtId="0" fontId="21" fillId="0" borderId="0" xfId="73" applyFont="1" applyAlignment="1">
      <alignment horizontal="center" wrapText="1"/>
    </xf>
    <xf numFmtId="0" fontId="29" fillId="0" borderId="0" xfId="73" applyFont="1" applyAlignment="1">
      <alignment wrapText="1"/>
    </xf>
    <xf numFmtId="0" fontId="29" fillId="0" borderId="83" xfId="73" applyFont="1" applyBorder="1"/>
    <xf numFmtId="0" fontId="0" fillId="0" borderId="0" xfId="73" applyFont="1"/>
    <xf numFmtId="0" fontId="36" fillId="0" borderId="67" xfId="84" applyFont="1" applyBorder="1" applyAlignment="1">
      <alignment horizontal="center" vertical="center" wrapText="1"/>
    </xf>
    <xf numFmtId="3" fontId="24" fillId="0" borderId="54" xfId="71" applyNumberFormat="1" applyFont="1" applyBorder="1" applyAlignment="1">
      <alignment wrapText="1"/>
    </xf>
    <xf numFmtId="0" fontId="25" fillId="0" borderId="31" xfId="74" applyFont="1" applyBorder="1" applyAlignment="1">
      <alignment wrapText="1"/>
    </xf>
    <xf numFmtId="3" fontId="25" fillId="0" borderId="53" xfId="84" applyNumberFormat="1" applyFont="1" applyBorder="1"/>
    <xf numFmtId="3" fontId="25" fillId="0" borderId="22" xfId="84" applyNumberFormat="1" applyFont="1" applyBorder="1"/>
    <xf numFmtId="3" fontId="24" fillId="0" borderId="22" xfId="84" applyNumberFormat="1" applyFont="1" applyBorder="1"/>
    <xf numFmtId="3" fontId="24" fillId="0" borderId="22" xfId="84" applyNumberFormat="1" applyFont="1" applyBorder="1" applyAlignment="1">
      <alignment horizontal="right" wrapText="1"/>
    </xf>
    <xf numFmtId="3" fontId="24" fillId="29" borderId="22" xfId="84" applyNumberFormat="1" applyFont="1" applyFill="1" applyBorder="1" applyAlignment="1">
      <alignment horizontal="right" wrapText="1"/>
    </xf>
    <xf numFmtId="3" fontId="24" fillId="29" borderId="22" xfId="84" applyNumberFormat="1" applyFont="1" applyFill="1" applyBorder="1" applyAlignment="1">
      <alignment horizontal="right" vertical="center" wrapText="1"/>
    </xf>
    <xf numFmtId="3" fontId="25" fillId="0" borderId="35" xfId="84" applyNumberFormat="1" applyFont="1" applyBorder="1"/>
    <xf numFmtId="3" fontId="21" fillId="29" borderId="69" xfId="84" applyNumberFormat="1" applyFont="1" applyFill="1" applyBorder="1" applyAlignment="1">
      <alignment horizontal="right" wrapText="1"/>
    </xf>
    <xf numFmtId="3" fontId="21" fillId="29" borderId="84" xfId="84" applyNumberFormat="1" applyFont="1" applyFill="1" applyBorder="1" applyAlignment="1">
      <alignment horizontal="right" wrapText="1"/>
    </xf>
    <xf numFmtId="3" fontId="35" fillId="29" borderId="81" xfId="84" applyNumberFormat="1" applyFont="1" applyFill="1" applyBorder="1" applyAlignment="1">
      <alignment horizontal="right" wrapText="1"/>
    </xf>
    <xf numFmtId="3" fontId="29" fillId="29" borderId="81" xfId="84" applyNumberFormat="1" applyFont="1" applyFill="1" applyBorder="1" applyAlignment="1">
      <alignment horizontal="right" wrapText="1"/>
    </xf>
    <xf numFmtId="3" fontId="21" fillId="29" borderId="70" xfId="84" applyNumberFormat="1" applyFont="1" applyFill="1" applyBorder="1" applyAlignment="1">
      <alignment horizontal="right" wrapText="1"/>
    </xf>
    <xf numFmtId="3" fontId="21" fillId="29" borderId="85" xfId="84" applyNumberFormat="1" applyFont="1" applyFill="1" applyBorder="1" applyAlignment="1">
      <alignment horizontal="right" wrapText="1"/>
    </xf>
    <xf numFmtId="3" fontId="29" fillId="29" borderId="70" xfId="84" applyNumberFormat="1" applyFont="1" applyFill="1" applyBorder="1" applyAlignment="1">
      <alignment horizontal="right" wrapText="1"/>
    </xf>
    <xf numFmtId="3" fontId="29" fillId="29" borderId="85" xfId="84" applyNumberFormat="1" applyFont="1" applyFill="1" applyBorder="1" applyAlignment="1">
      <alignment horizontal="right" wrapText="1"/>
    </xf>
    <xf numFmtId="3" fontId="26" fillId="29" borderId="36" xfId="84" applyNumberFormat="1" applyFont="1" applyFill="1" applyBorder="1" applyAlignment="1">
      <alignment horizontal="right" wrapText="1"/>
    </xf>
    <xf numFmtId="3" fontId="21" fillId="29" borderId="86" xfId="84" applyNumberFormat="1" applyFont="1" applyFill="1" applyBorder="1" applyAlignment="1">
      <alignment horizontal="right" wrapText="1"/>
    </xf>
    <xf numFmtId="3" fontId="29" fillId="29" borderId="87" xfId="84" applyNumberFormat="1" applyFont="1" applyFill="1" applyBorder="1" applyAlignment="1">
      <alignment horizontal="right" wrapText="1"/>
    </xf>
    <xf numFmtId="3" fontId="21" fillId="29" borderId="87" xfId="84" applyNumberFormat="1" applyFont="1" applyFill="1" applyBorder="1" applyAlignment="1">
      <alignment horizontal="right" wrapText="1"/>
    </xf>
    <xf numFmtId="3" fontId="21" fillId="29" borderId="88" xfId="84" applyNumberFormat="1" applyFont="1" applyFill="1" applyBorder="1" applyAlignment="1">
      <alignment horizontal="right" wrapText="1"/>
    </xf>
    <xf numFmtId="3" fontId="21" fillId="29" borderId="81" xfId="84" applyNumberFormat="1" applyFont="1" applyFill="1" applyBorder="1" applyAlignment="1">
      <alignment horizontal="right" wrapText="1"/>
    </xf>
    <xf numFmtId="4" fontId="29" fillId="29" borderId="89" xfId="84" applyNumberFormat="1" applyFont="1" applyFill="1" applyBorder="1" applyAlignment="1">
      <alignment horizontal="right" wrapText="1"/>
    </xf>
    <xf numFmtId="4" fontId="29" fillId="29" borderId="35" xfId="84" applyNumberFormat="1" applyFont="1" applyFill="1" applyBorder="1" applyAlignment="1">
      <alignment horizontal="right" wrapText="1"/>
    </xf>
    <xf numFmtId="3" fontId="21" fillId="29" borderId="43" xfId="84" applyNumberFormat="1" applyFont="1" applyFill="1" applyBorder="1" applyAlignment="1">
      <alignment horizontal="right" wrapText="1"/>
    </xf>
    <xf numFmtId="3" fontId="21" fillId="29" borderId="90" xfId="84" applyNumberFormat="1" applyFont="1" applyFill="1" applyBorder="1" applyAlignment="1">
      <alignment horizontal="right" wrapText="1"/>
    </xf>
    <xf numFmtId="4" fontId="29" fillId="29" borderId="90" xfId="84" applyNumberFormat="1" applyFont="1" applyFill="1" applyBorder="1" applyAlignment="1">
      <alignment horizontal="right" wrapText="1"/>
    </xf>
    <xf numFmtId="4" fontId="29" fillId="29" borderId="34" xfId="84" applyNumberFormat="1" applyFont="1" applyFill="1" applyBorder="1" applyAlignment="1">
      <alignment horizontal="right" wrapText="1"/>
    </xf>
    <xf numFmtId="3" fontId="21" fillId="29" borderId="92" xfId="84" applyNumberFormat="1" applyFont="1" applyFill="1" applyBorder="1" applyAlignment="1">
      <alignment horizontal="right" wrapText="1"/>
    </xf>
    <xf numFmtId="3" fontId="20" fillId="29" borderId="25" xfId="84" applyNumberFormat="1" applyFont="1" applyFill="1" applyBorder="1" applyAlignment="1">
      <alignment horizontal="right" wrapText="1"/>
    </xf>
    <xf numFmtId="3" fontId="19" fillId="29" borderId="25" xfId="84" applyNumberFormat="1" applyFont="1" applyFill="1" applyBorder="1" applyAlignment="1">
      <alignment horizontal="right" wrapText="1"/>
    </xf>
    <xf numFmtId="4" fontId="19" fillId="29" borderId="25" xfId="84" applyNumberFormat="1" applyFont="1" applyFill="1" applyBorder="1" applyAlignment="1">
      <alignment horizontal="right" wrapText="1"/>
    </xf>
    <xf numFmtId="3" fontId="19" fillId="29" borderId="34" xfId="84" applyNumberFormat="1" applyFont="1" applyFill="1" applyBorder="1" applyAlignment="1">
      <alignment horizontal="right" wrapText="1"/>
    </xf>
    <xf numFmtId="3" fontId="20" fillId="29" borderId="49" xfId="84" applyNumberFormat="1" applyFont="1" applyFill="1" applyBorder="1" applyAlignment="1">
      <alignment horizontal="right" wrapText="1"/>
    </xf>
    <xf numFmtId="3" fontId="20" fillId="29" borderId="60" xfId="84" applyNumberFormat="1" applyFont="1" applyFill="1" applyBorder="1" applyAlignment="1">
      <alignment horizontal="right" wrapText="1"/>
    </xf>
    <xf numFmtId="3" fontId="20" fillId="29" borderId="93" xfId="84" applyNumberFormat="1" applyFont="1" applyFill="1" applyBorder="1" applyAlignment="1">
      <alignment horizontal="right" wrapText="1"/>
    </xf>
    <xf numFmtId="3" fontId="19" fillId="29" borderId="49" xfId="84" applyNumberFormat="1" applyFont="1" applyFill="1" applyBorder="1" applyAlignment="1">
      <alignment horizontal="right" wrapText="1"/>
    </xf>
    <xf numFmtId="3" fontId="20" fillId="29" borderId="53" xfId="84" applyNumberFormat="1" applyFont="1" applyFill="1" applyBorder="1" applyAlignment="1">
      <alignment horizontal="right" wrapText="1"/>
    </xf>
    <xf numFmtId="3" fontId="19" fillId="0" borderId="63" xfId="84" applyNumberFormat="1" applyFont="1" applyBorder="1" applyAlignment="1">
      <alignment horizontal="right"/>
    </xf>
    <xf numFmtId="3" fontId="19" fillId="0" borderId="63" xfId="84" applyNumberFormat="1" applyFont="1" applyBorder="1"/>
    <xf numFmtId="3" fontId="19" fillId="0" borderId="49" xfId="84" applyNumberFormat="1" applyFont="1" applyBorder="1" applyAlignment="1">
      <alignment horizontal="right"/>
    </xf>
    <xf numFmtId="3" fontId="19" fillId="0" borderId="53" xfId="84" applyNumberFormat="1" applyFont="1" applyBorder="1" applyAlignment="1">
      <alignment horizontal="right"/>
    </xf>
    <xf numFmtId="3" fontId="19" fillId="0" borderId="49" xfId="84" applyNumberFormat="1" applyFont="1" applyBorder="1"/>
    <xf numFmtId="3" fontId="19" fillId="0" borderId="60" xfId="84" applyNumberFormat="1" applyFont="1" applyBorder="1" applyAlignment="1">
      <alignment horizontal="right"/>
    </xf>
    <xf numFmtId="3" fontId="19" fillId="0" borderId="93" xfId="84" applyNumberFormat="1" applyFont="1" applyBorder="1" applyAlignment="1">
      <alignment horizontal="right"/>
    </xf>
    <xf numFmtId="3" fontId="19" fillId="0" borderId="25" xfId="84" applyNumberFormat="1" applyFont="1" applyBorder="1" applyAlignment="1">
      <alignment horizontal="right"/>
    </xf>
    <xf numFmtId="3" fontId="20" fillId="0" borderId="25" xfId="84" applyNumberFormat="1" applyFont="1" applyBorder="1" applyAlignment="1">
      <alignment horizontal="right"/>
    </xf>
    <xf numFmtId="3" fontId="20" fillId="0" borderId="25" xfId="84" applyNumberFormat="1" applyFont="1" applyBorder="1"/>
    <xf numFmtId="3" fontId="19" fillId="0" borderId="25" xfId="84" applyNumberFormat="1" applyFont="1" applyBorder="1"/>
    <xf numFmtId="3" fontId="20" fillId="0" borderId="34" xfId="84" applyNumberFormat="1" applyFont="1" applyBorder="1"/>
    <xf numFmtId="3" fontId="19" fillId="0" borderId="94" xfId="84" applyNumberFormat="1" applyFont="1" applyBorder="1"/>
    <xf numFmtId="3" fontId="19" fillId="0" borderId="61" xfId="84" applyNumberFormat="1" applyFont="1" applyBorder="1"/>
    <xf numFmtId="3" fontId="20" fillId="0" borderId="61" xfId="84" applyNumberFormat="1" applyFont="1" applyBorder="1" applyAlignment="1">
      <alignment horizontal="right"/>
    </xf>
    <xf numFmtId="3" fontId="20" fillId="0" borderId="95" xfId="84" applyNumberFormat="1" applyFont="1" applyBorder="1"/>
    <xf numFmtId="3" fontId="19" fillId="0" borderId="93" xfId="84" applyNumberFormat="1" applyFont="1" applyBorder="1"/>
    <xf numFmtId="3" fontId="20" fillId="0" borderId="49" xfId="84" applyNumberFormat="1" applyFont="1" applyBorder="1" applyAlignment="1">
      <alignment horizontal="right"/>
    </xf>
    <xf numFmtId="3" fontId="20" fillId="0" borderId="49" xfId="84" applyNumberFormat="1" applyFont="1" applyBorder="1"/>
    <xf numFmtId="3" fontId="19" fillId="0" borderId="75" xfId="84" applyNumberFormat="1" applyFont="1" applyBorder="1" applyAlignment="1">
      <alignment horizontal="right"/>
    </xf>
    <xf numFmtId="3" fontId="19" fillId="0" borderId="59" xfId="84" applyNumberFormat="1" applyFont="1" applyBorder="1" applyAlignment="1">
      <alignment horizontal="right"/>
    </xf>
    <xf numFmtId="3" fontId="20" fillId="0" borderId="75" xfId="84" applyNumberFormat="1" applyFont="1" applyBorder="1" applyAlignment="1">
      <alignment horizontal="right"/>
    </xf>
    <xf numFmtId="3" fontId="24" fillId="0" borderId="13" xfId="84" applyNumberFormat="1" applyFont="1" applyFill="1" applyBorder="1" applyAlignment="1">
      <alignment vertical="center" wrapText="1"/>
    </xf>
    <xf numFmtId="3" fontId="25" fillId="0" borderId="58" xfId="84" applyNumberFormat="1" applyFont="1" applyFill="1" applyBorder="1" applyAlignment="1">
      <alignment horizontal="right" wrapText="1"/>
    </xf>
    <xf numFmtId="3" fontId="25" fillId="0" borderId="88" xfId="84" applyNumberFormat="1" applyFont="1" applyFill="1" applyBorder="1" applyAlignment="1">
      <alignment horizontal="right" wrapText="1"/>
    </xf>
    <xf numFmtId="168" fontId="25" fillId="0" borderId="88" xfId="53" applyNumberFormat="1" applyFont="1" applyFill="1" applyBorder="1" applyAlignment="1">
      <alignment horizontal="right" wrapText="1"/>
    </xf>
    <xf numFmtId="3" fontId="25" fillId="0" borderId="88" xfId="84" applyNumberFormat="1" applyFont="1" applyFill="1" applyBorder="1" applyAlignment="1">
      <alignment horizontal="right" vertical="center" wrapText="1"/>
    </xf>
    <xf numFmtId="3" fontId="25" fillId="0" borderId="86" xfId="84" applyNumberFormat="1" applyFont="1" applyFill="1" applyBorder="1" applyAlignment="1">
      <alignment horizontal="right" vertical="center" wrapText="1"/>
    </xf>
    <xf numFmtId="3" fontId="27" fillId="0" borderId="22" xfId="71" applyNumberFormat="1" applyFont="1" applyFill="1" applyBorder="1" applyAlignment="1"/>
    <xf numFmtId="3" fontId="27" fillId="0" borderId="96" xfId="71" applyNumberFormat="1" applyFont="1" applyFill="1" applyBorder="1" applyAlignment="1"/>
    <xf numFmtId="3" fontId="25" fillId="0" borderId="96" xfId="71" applyNumberFormat="1" applyFont="1" applyFill="1" applyBorder="1" applyAlignment="1"/>
    <xf numFmtId="0" fontId="36" fillId="0" borderId="97" xfId="84" applyFont="1" applyBorder="1" applyAlignment="1">
      <alignment horizontal="center" vertical="center" wrapText="1"/>
    </xf>
    <xf numFmtId="3" fontId="25" fillId="0" borderId="97" xfId="71" applyNumberFormat="1" applyFont="1" applyFill="1" applyBorder="1" applyAlignment="1"/>
    <xf numFmtId="3" fontId="25" fillId="0" borderId="88" xfId="71" applyNumberFormat="1" applyFont="1" applyFill="1" applyBorder="1" applyAlignment="1"/>
    <xf numFmtId="3" fontId="24" fillId="0" borderId="96" xfId="71" applyNumberFormat="1" applyFont="1" applyBorder="1" applyAlignment="1"/>
    <xf numFmtId="3" fontId="24" fillId="0" borderId="98" xfId="71" applyNumberFormat="1" applyFont="1" applyBorder="1" applyAlignment="1"/>
    <xf numFmtId="3" fontId="24" fillId="0" borderId="99" xfId="71" applyNumberFormat="1" applyFont="1" applyBorder="1" applyAlignment="1"/>
    <xf numFmtId="3" fontId="25" fillId="0" borderId="85" xfId="71" applyNumberFormat="1" applyFont="1" applyFill="1" applyBorder="1" applyAlignment="1"/>
    <xf numFmtId="3" fontId="25" fillId="0" borderId="100" xfId="71" applyNumberFormat="1" applyFont="1" applyFill="1" applyBorder="1" applyAlignment="1"/>
    <xf numFmtId="3" fontId="25" fillId="0" borderId="101" xfId="71" applyNumberFormat="1" applyFont="1" applyFill="1" applyBorder="1" applyAlignment="1"/>
    <xf numFmtId="3" fontId="25" fillId="0" borderId="102" xfId="71" applyNumberFormat="1" applyFont="1" applyFill="1" applyBorder="1" applyAlignment="1"/>
    <xf numFmtId="3" fontId="27" fillId="0" borderId="103" xfId="71" applyNumberFormat="1" applyFont="1" applyFill="1" applyBorder="1" applyAlignment="1"/>
    <xf numFmtId="3" fontId="24" fillId="0" borderId="56" xfId="71" applyNumberFormat="1" applyFont="1" applyFill="1" applyBorder="1" applyAlignment="1"/>
    <xf numFmtId="3" fontId="25" fillId="0" borderId="86" xfId="71" applyNumberFormat="1" applyFont="1" applyFill="1" applyBorder="1" applyAlignment="1"/>
    <xf numFmtId="3" fontId="24" fillId="0" borderId="84" xfId="71" applyNumberFormat="1" applyFont="1" applyBorder="1" applyAlignment="1"/>
    <xf numFmtId="3" fontId="25" fillId="0" borderId="87" xfId="71" applyNumberFormat="1" applyFont="1" applyFill="1" applyBorder="1" applyAlignment="1"/>
    <xf numFmtId="0" fontId="25" fillId="0" borderId="85" xfId="71" applyFont="1" applyFill="1" applyBorder="1"/>
    <xf numFmtId="3" fontId="24" fillId="0" borderId="89" xfId="71" applyNumberFormat="1" applyFont="1" applyBorder="1" applyAlignment="1"/>
    <xf numFmtId="3" fontId="24" fillId="0" borderId="103" xfId="71" applyNumberFormat="1" applyFont="1" applyBorder="1" applyAlignment="1"/>
    <xf numFmtId="3" fontId="19" fillId="0" borderId="23" xfId="75" applyNumberFormat="1" applyFont="1" applyFill="1" applyBorder="1"/>
    <xf numFmtId="3" fontId="20" fillId="0" borderId="23" xfId="75" applyNumberFormat="1" applyFont="1" applyFill="1" applyBorder="1"/>
    <xf numFmtId="3" fontId="19" fillId="0" borderId="23" xfId="75" applyNumberFormat="1" applyFont="1" applyBorder="1"/>
    <xf numFmtId="3" fontId="19" fillId="29" borderId="23" xfId="75" applyNumberFormat="1" applyFont="1" applyFill="1" applyBorder="1"/>
    <xf numFmtId="3" fontId="20" fillId="0" borderId="23" xfId="75" applyNumberFormat="1" applyFont="1" applyFill="1" applyBorder="1" applyAlignment="1"/>
    <xf numFmtId="0" fontId="19" fillId="0" borderId="23" xfId="75" applyFont="1" applyBorder="1"/>
    <xf numFmtId="3" fontId="23" fillId="29" borderId="23" xfId="75" applyNumberFormat="1" applyFont="1" applyFill="1" applyBorder="1"/>
    <xf numFmtId="3" fontId="22" fillId="29" borderId="23" xfId="75" applyNumberFormat="1" applyFont="1" applyFill="1" applyBorder="1"/>
    <xf numFmtId="3" fontId="20" fillId="29" borderId="23" xfId="75" applyNumberFormat="1" applyFont="1" applyFill="1" applyBorder="1"/>
    <xf numFmtId="3" fontId="20" fillId="0" borderId="23" xfId="75" applyNumberFormat="1" applyFont="1" applyBorder="1"/>
    <xf numFmtId="3" fontId="20" fillId="0" borderId="104" xfId="75" applyNumberFormat="1" applyFont="1" applyBorder="1"/>
    <xf numFmtId="3" fontId="20" fillId="29" borderId="23" xfId="75" applyNumberFormat="1" applyFont="1" applyFill="1" applyBorder="1" applyAlignment="1">
      <alignment horizontal="right"/>
    </xf>
    <xf numFmtId="3" fontId="20" fillId="0" borderId="23" xfId="0" applyNumberFormat="1" applyFont="1" applyBorder="1" applyAlignment="1">
      <alignment horizontal="right"/>
    </xf>
    <xf numFmtId="3" fontId="19" fillId="0" borderId="23" xfId="0" applyNumberFormat="1" applyFont="1" applyBorder="1" applyAlignment="1">
      <alignment horizontal="right"/>
    </xf>
    <xf numFmtId="3" fontId="19" fillId="29" borderId="23" xfId="75" applyNumberFormat="1" applyFont="1" applyFill="1" applyBorder="1" applyAlignment="1">
      <alignment horizontal="right"/>
    </xf>
    <xf numFmtId="3" fontId="19" fillId="0" borderId="23" xfId="0" applyNumberFormat="1" applyFont="1" applyBorder="1"/>
    <xf numFmtId="3" fontId="20" fillId="0" borderId="22" xfId="75" applyNumberFormat="1" applyFont="1" applyBorder="1"/>
    <xf numFmtId="3" fontId="19" fillId="0" borderId="22" xfId="0" applyNumberFormat="1" applyFont="1" applyBorder="1"/>
    <xf numFmtId="3" fontId="19" fillId="0" borderId="25" xfId="0" applyNumberFormat="1" applyFont="1" applyBorder="1"/>
    <xf numFmtId="3" fontId="20" fillId="0" borderId="25" xfId="0" applyNumberFormat="1" applyFont="1" applyBorder="1"/>
    <xf numFmtId="3" fontId="19" fillId="0" borderId="0" xfId="0" applyNumberFormat="1" applyFont="1"/>
    <xf numFmtId="3" fontId="20" fillId="29" borderId="105" xfId="75" applyNumberFormat="1" applyFont="1" applyFill="1" applyBorder="1"/>
    <xf numFmtId="3" fontId="20" fillId="0" borderId="106" xfId="75" applyNumberFormat="1" applyFont="1" applyBorder="1"/>
    <xf numFmtId="0" fontId="19" fillId="0" borderId="61" xfId="75" applyFont="1" applyFill="1" applyBorder="1" applyAlignment="1">
      <alignment wrapText="1"/>
    </xf>
    <xf numFmtId="3" fontId="19" fillId="0" borderId="105" xfId="0" applyNumberFormat="1" applyFont="1" applyBorder="1"/>
    <xf numFmtId="3" fontId="19" fillId="29" borderId="105" xfId="75" applyNumberFormat="1" applyFont="1" applyFill="1" applyBorder="1"/>
    <xf numFmtId="0" fontId="19" fillId="0" borderId="61" xfId="77" applyFont="1" applyFill="1" applyBorder="1"/>
    <xf numFmtId="3" fontId="20" fillId="0" borderId="22" xfId="0" applyNumberFormat="1" applyFont="1" applyBorder="1"/>
    <xf numFmtId="3" fontId="20" fillId="0" borderId="23" xfId="0" applyNumberFormat="1" applyFont="1" applyBorder="1"/>
    <xf numFmtId="0" fontId="21" fillId="0" borderId="0" xfId="0" applyFont="1"/>
    <xf numFmtId="3" fontId="19" fillId="0" borderId="23" xfId="84" applyNumberFormat="1" applyFont="1" applyBorder="1" applyAlignment="1">
      <alignment horizontal="right"/>
    </xf>
    <xf numFmtId="3" fontId="20" fillId="0" borderId="23" xfId="84" applyNumberFormat="1" applyFont="1" applyBorder="1" applyAlignment="1">
      <alignment horizontal="right"/>
    </xf>
    <xf numFmtId="3" fontId="19" fillId="0" borderId="39" xfId="84" applyNumberFormat="1" applyFont="1" applyBorder="1"/>
    <xf numFmtId="3" fontId="20" fillId="0" borderId="39" xfId="84" applyNumberFormat="1" applyFont="1" applyBorder="1"/>
    <xf numFmtId="2" fontId="29" fillId="0" borderId="35" xfId="84" applyNumberFormat="1" applyFont="1" applyBorder="1"/>
    <xf numFmtId="2" fontId="29" fillId="0" borderId="0" xfId="84" applyNumberFormat="1" applyFont="1" applyBorder="1"/>
    <xf numFmtId="3" fontId="20" fillId="0" borderId="41" xfId="84" applyNumberFormat="1" applyFont="1" applyBorder="1" applyAlignment="1">
      <alignment horizontal="right"/>
    </xf>
    <xf numFmtId="3" fontId="29" fillId="29" borderId="10" xfId="84" applyNumberFormat="1" applyFont="1" applyFill="1" applyBorder="1" applyAlignment="1">
      <alignment horizontal="right" wrapText="1"/>
    </xf>
    <xf numFmtId="0" fontId="24" fillId="0" borderId="32" xfId="83" applyFont="1" applyFill="1" applyBorder="1" applyAlignment="1">
      <alignment horizontal="left" vertical="center" wrapText="1"/>
    </xf>
    <xf numFmtId="3" fontId="24" fillId="0" borderId="16" xfId="84" applyNumberFormat="1" applyFont="1" applyFill="1" applyBorder="1" applyAlignment="1">
      <alignment horizontal="right" wrapText="1"/>
    </xf>
    <xf numFmtId="0" fontId="25" fillId="0" borderId="107" xfId="83" applyFont="1" applyFill="1" applyBorder="1" applyAlignment="1">
      <alignment horizontal="left" vertical="center" wrapText="1"/>
    </xf>
    <xf numFmtId="3" fontId="25" fillId="0" borderId="108" xfId="84" applyNumberFormat="1" applyFont="1" applyFill="1" applyBorder="1" applyAlignment="1">
      <alignment horizontal="right" wrapText="1"/>
    </xf>
    <xf numFmtId="3" fontId="25" fillId="0" borderId="109" xfId="84" applyNumberFormat="1" applyFont="1" applyFill="1" applyBorder="1" applyAlignment="1">
      <alignment horizontal="right" vertical="center" wrapText="1"/>
    </xf>
    <xf numFmtId="3" fontId="25" fillId="0" borderId="22" xfId="84" applyNumberFormat="1" applyFont="1" applyFill="1" applyBorder="1" applyAlignment="1">
      <alignment horizontal="right" vertical="center" wrapText="1"/>
    </xf>
    <xf numFmtId="0" fontId="19" fillId="0" borderId="25" xfId="84" applyFont="1" applyFill="1" applyBorder="1" applyAlignment="1">
      <alignment horizontal="left" wrapText="1" indent="2"/>
    </xf>
    <xf numFmtId="0" fontId="19" fillId="0" borderId="22" xfId="0" applyFont="1" applyFill="1" applyBorder="1" applyAlignment="1">
      <alignment wrapText="1"/>
    </xf>
    <xf numFmtId="0" fontId="19" fillId="0" borderId="61" xfId="0" applyFont="1" applyFill="1" applyBorder="1" applyAlignment="1">
      <alignment wrapText="1"/>
    </xf>
    <xf numFmtId="0" fontId="24" fillId="0" borderId="110" xfId="74" applyFont="1" applyFill="1" applyBorder="1" applyAlignment="1">
      <alignment horizontal="left" vertical="center" wrapText="1"/>
    </xf>
    <xf numFmtId="0" fontId="36" fillId="0" borderId="111" xfId="84" applyFont="1" applyBorder="1" applyAlignment="1">
      <alignment horizontal="center" vertical="center" wrapText="1"/>
    </xf>
    <xf numFmtId="0" fontId="25" fillId="30" borderId="16" xfId="0" applyFont="1" applyFill="1" applyBorder="1" applyAlignment="1">
      <alignment wrapText="1"/>
    </xf>
    <xf numFmtId="3" fontId="25" fillId="30" borderId="11" xfId="0" applyNumberFormat="1" applyFont="1" applyFill="1" applyBorder="1"/>
    <xf numFmtId="0" fontId="29" fillId="30" borderId="0" xfId="0" applyFont="1" applyFill="1"/>
    <xf numFmtId="0" fontId="25" fillId="30" borderId="11" xfId="0" applyFont="1" applyFill="1" applyBorder="1" applyAlignment="1">
      <alignment wrapText="1"/>
    </xf>
    <xf numFmtId="3" fontId="29" fillId="30" borderId="0" xfId="0" applyNumberFormat="1" applyFont="1" applyFill="1"/>
    <xf numFmtId="0" fontId="27" fillId="30" borderId="11" xfId="0" applyFont="1" applyFill="1" applyBorder="1" applyAlignment="1">
      <alignment wrapText="1"/>
    </xf>
    <xf numFmtId="3" fontId="27" fillId="30" borderId="11" xfId="0" applyNumberFormat="1" applyFont="1" applyFill="1" applyBorder="1"/>
    <xf numFmtId="0" fontId="35" fillId="30" borderId="0" xfId="0" applyFont="1" applyFill="1"/>
    <xf numFmtId="3" fontId="25" fillId="0" borderId="112" xfId="84" applyNumberFormat="1" applyFont="1" applyBorder="1"/>
    <xf numFmtId="3" fontId="25" fillId="0" borderId="75" xfId="84" applyNumberFormat="1" applyFont="1" applyBorder="1"/>
    <xf numFmtId="3" fontId="25" fillId="0" borderId="23" xfId="84" applyNumberFormat="1" applyFont="1" applyBorder="1"/>
    <xf numFmtId="3" fontId="24" fillId="0" borderId="23" xfId="84" applyNumberFormat="1" applyFont="1" applyBorder="1"/>
    <xf numFmtId="3" fontId="24" fillId="0" borderId="49" xfId="84" applyNumberFormat="1" applyFont="1" applyBorder="1"/>
    <xf numFmtId="0" fontId="20" fillId="0" borderId="59" xfId="75" applyFont="1" applyFill="1" applyBorder="1"/>
    <xf numFmtId="0" fontId="20" fillId="0" borderId="63" xfId="75" applyFont="1" applyFill="1" applyBorder="1"/>
    <xf numFmtId="3" fontId="20" fillId="0" borderId="63" xfId="75" applyNumberFormat="1" applyFont="1" applyFill="1" applyBorder="1"/>
    <xf numFmtId="3" fontId="20" fillId="29" borderId="63" xfId="75" applyNumberFormat="1" applyFont="1" applyFill="1" applyBorder="1"/>
    <xf numFmtId="3" fontId="20" fillId="29" borderId="75" xfId="75" applyNumberFormat="1" applyFont="1" applyFill="1" applyBorder="1" applyAlignment="1">
      <alignment horizontal="right"/>
    </xf>
    <xf numFmtId="3" fontId="19" fillId="0" borderId="63" xfId="0" applyNumberFormat="1" applyFont="1" applyBorder="1"/>
    <xf numFmtId="3" fontId="20" fillId="29" borderId="22" xfId="75" applyNumberFormat="1" applyFont="1" applyFill="1" applyBorder="1" applyAlignment="1">
      <alignment horizontal="right"/>
    </xf>
    <xf numFmtId="3" fontId="20" fillId="0" borderId="22" xfId="0" applyNumberFormat="1" applyFont="1" applyBorder="1" applyAlignment="1">
      <alignment horizontal="right"/>
    </xf>
    <xf numFmtId="3" fontId="20" fillId="0" borderId="35" xfId="75" applyNumberFormat="1" applyFont="1" applyBorder="1"/>
    <xf numFmtId="3" fontId="20" fillId="29" borderId="25" xfId="75" applyNumberFormat="1" applyFont="1" applyFill="1" applyBorder="1"/>
    <xf numFmtId="3" fontId="20" fillId="0" borderId="25" xfId="75" applyNumberFormat="1" applyFont="1" applyBorder="1"/>
    <xf numFmtId="3" fontId="20" fillId="0" borderId="34" xfId="75" applyNumberFormat="1" applyFont="1" applyBorder="1"/>
    <xf numFmtId="0" fontId="20" fillId="0" borderId="59" xfId="75" applyFont="1" applyFill="1" applyBorder="1" applyAlignment="1">
      <alignment horizontal="center" wrapText="1"/>
    </xf>
    <xf numFmtId="0" fontId="20" fillId="0" borderId="63" xfId="75" applyFont="1" applyFill="1" applyBorder="1" applyAlignment="1">
      <alignment vertical="center"/>
    </xf>
    <xf numFmtId="0" fontId="19" fillId="0" borderId="44" xfId="75" applyFont="1" applyBorder="1"/>
    <xf numFmtId="0" fontId="19" fillId="0" borderId="44" xfId="75" applyNumberFormat="1" applyFont="1" applyBorder="1"/>
    <xf numFmtId="2" fontId="19" fillId="0" borderId="44" xfId="75" applyNumberFormat="1" applyFont="1" applyBorder="1"/>
    <xf numFmtId="3" fontId="19" fillId="0" borderId="44" xfId="0" applyNumberFormat="1" applyFont="1" applyBorder="1"/>
    <xf numFmtId="0" fontId="20" fillId="0" borderId="22" xfId="0" applyFont="1" applyBorder="1"/>
    <xf numFmtId="3" fontId="35" fillId="29" borderId="12" xfId="84" applyNumberFormat="1" applyFont="1" applyFill="1" applyBorder="1" applyAlignment="1">
      <alignment horizontal="right" wrapText="1"/>
    </xf>
    <xf numFmtId="3" fontId="21" fillId="29" borderId="12" xfId="84" applyNumberFormat="1" applyFont="1" applyFill="1" applyBorder="1" applyAlignment="1">
      <alignment horizontal="right" wrapText="1"/>
    </xf>
    <xf numFmtId="3" fontId="21" fillId="29" borderId="113" xfId="84" applyNumberFormat="1" applyFont="1" applyFill="1" applyBorder="1" applyAlignment="1">
      <alignment horizontal="right" wrapText="1"/>
    </xf>
    <xf numFmtId="3" fontId="21" fillId="29" borderId="114" xfId="84" applyNumberFormat="1" applyFont="1" applyFill="1" applyBorder="1" applyAlignment="1">
      <alignment horizontal="right" wrapText="1"/>
    </xf>
    <xf numFmtId="3" fontId="29" fillId="29" borderId="114" xfId="84" applyNumberFormat="1" applyFont="1" applyFill="1" applyBorder="1" applyAlignment="1">
      <alignment horizontal="right" wrapText="1"/>
    </xf>
    <xf numFmtId="3" fontId="35" fillId="29" borderId="23" xfId="84" applyNumberFormat="1" applyFont="1" applyFill="1" applyBorder="1" applyAlignment="1">
      <alignment horizontal="right" wrapText="1"/>
    </xf>
    <xf numFmtId="3" fontId="29" fillId="29" borderId="23" xfId="84" applyNumberFormat="1" applyFont="1" applyFill="1" applyBorder="1" applyAlignment="1">
      <alignment horizontal="right" wrapText="1"/>
    </xf>
    <xf numFmtId="3" fontId="21" fillId="29" borderId="23" xfId="84" applyNumberFormat="1" applyFont="1" applyFill="1" applyBorder="1" applyAlignment="1">
      <alignment horizontal="right" wrapText="1"/>
    </xf>
    <xf numFmtId="3" fontId="35" fillId="29" borderId="22" xfId="84" applyNumberFormat="1" applyFont="1" applyFill="1" applyBorder="1" applyAlignment="1">
      <alignment horizontal="right" wrapText="1"/>
    </xf>
    <xf numFmtId="3" fontId="29" fillId="29" borderId="104" xfId="84" applyNumberFormat="1" applyFont="1" applyFill="1" applyBorder="1" applyAlignment="1">
      <alignment horizontal="right" wrapText="1"/>
    </xf>
    <xf numFmtId="3" fontId="21" fillId="29" borderId="30" xfId="84" applyNumberFormat="1" applyFont="1" applyFill="1" applyBorder="1" applyAlignment="1">
      <alignment horizontal="right" wrapText="1"/>
    </xf>
    <xf numFmtId="3" fontId="21" fillId="29" borderId="75" xfId="84" applyNumberFormat="1" applyFont="1" applyFill="1" applyBorder="1" applyAlignment="1">
      <alignment horizontal="right" wrapText="1"/>
    </xf>
    <xf numFmtId="3" fontId="29" fillId="29" borderId="115" xfId="84" applyNumberFormat="1" applyFont="1" applyFill="1" applyBorder="1" applyAlignment="1">
      <alignment horizontal="right" wrapText="1"/>
    </xf>
    <xf numFmtId="2" fontId="29" fillId="0" borderId="22" xfId="84" applyNumberFormat="1" applyFont="1" applyBorder="1"/>
    <xf numFmtId="3" fontId="21" fillId="29" borderId="115" xfId="84" applyNumberFormat="1" applyFont="1" applyFill="1" applyBorder="1" applyAlignment="1">
      <alignment horizontal="right" wrapText="1"/>
    </xf>
    <xf numFmtId="3" fontId="20" fillId="29" borderId="75" xfId="84" applyNumberFormat="1" applyFont="1" applyFill="1" applyBorder="1" applyAlignment="1">
      <alignment horizontal="right" wrapText="1"/>
    </xf>
    <xf numFmtId="0" fontId="20" fillId="0" borderId="23" xfId="84" applyFont="1" applyBorder="1"/>
    <xf numFmtId="4" fontId="19" fillId="29" borderId="23" xfId="84" applyNumberFormat="1" applyFont="1" applyFill="1" applyBorder="1" applyAlignment="1">
      <alignment horizontal="right" wrapText="1"/>
    </xf>
    <xf numFmtId="4" fontId="19" fillId="29" borderId="104" xfId="84" applyNumberFormat="1" applyFont="1" applyFill="1" applyBorder="1" applyAlignment="1">
      <alignment horizontal="right" wrapText="1"/>
    </xf>
    <xf numFmtId="3" fontId="20" fillId="29" borderId="114" xfId="84" applyNumberFormat="1" applyFont="1" applyFill="1" applyBorder="1" applyAlignment="1">
      <alignment horizontal="right" wrapText="1"/>
    </xf>
    <xf numFmtId="4" fontId="19" fillId="29" borderId="114" xfId="84" applyNumberFormat="1" applyFont="1" applyFill="1" applyBorder="1" applyAlignment="1">
      <alignment horizontal="right" wrapText="1"/>
    </xf>
    <xf numFmtId="3" fontId="19" fillId="29" borderId="75" xfId="84" applyNumberFormat="1" applyFont="1" applyFill="1" applyBorder="1" applyAlignment="1">
      <alignment horizontal="right" wrapText="1"/>
    </xf>
    <xf numFmtId="4" fontId="19" fillId="29" borderId="75" xfId="84" applyNumberFormat="1" applyFont="1" applyFill="1" applyBorder="1" applyAlignment="1">
      <alignment horizontal="right" wrapText="1"/>
    </xf>
    <xf numFmtId="4" fontId="19" fillId="29" borderId="116" xfId="84" applyNumberFormat="1" applyFont="1" applyFill="1" applyBorder="1" applyAlignment="1">
      <alignment horizontal="right" wrapText="1"/>
    </xf>
    <xf numFmtId="0" fontId="20" fillId="0" borderId="75" xfId="84" applyFont="1" applyBorder="1"/>
    <xf numFmtId="3" fontId="19" fillId="0" borderId="23" xfId="84" applyNumberFormat="1" applyFont="1" applyFill="1" applyBorder="1" applyAlignment="1">
      <alignment horizontal="right" wrapText="1"/>
    </xf>
    <xf numFmtId="3" fontId="20" fillId="0" borderId="23" xfId="84" applyNumberFormat="1" applyFont="1" applyFill="1" applyBorder="1" applyAlignment="1">
      <alignment horizontal="right" wrapText="1"/>
    </xf>
    <xf numFmtId="0" fontId="19" fillId="0" borderId="23" xfId="84" applyNumberFormat="1" applyFont="1" applyFill="1" applyBorder="1" applyAlignment="1">
      <alignment horizontal="right" wrapText="1"/>
    </xf>
    <xf numFmtId="0" fontId="20" fillId="0" borderId="23" xfId="84" applyFont="1" applyFill="1" applyBorder="1"/>
    <xf numFmtId="4" fontId="19" fillId="0" borderId="23" xfId="84" applyNumberFormat="1" applyFont="1" applyFill="1" applyBorder="1" applyAlignment="1">
      <alignment horizontal="right" wrapText="1"/>
    </xf>
    <xf numFmtId="4" fontId="19" fillId="0" borderId="104" xfId="84" applyNumberFormat="1" applyFont="1" applyFill="1" applyBorder="1" applyAlignment="1">
      <alignment horizontal="right" wrapText="1"/>
    </xf>
    <xf numFmtId="0" fontId="19" fillId="29" borderId="23" xfId="84" applyFont="1" applyFill="1" applyBorder="1"/>
    <xf numFmtId="0" fontId="20" fillId="29" borderId="23" xfId="84" applyFont="1" applyFill="1" applyBorder="1" applyAlignment="1">
      <alignment vertical="center"/>
    </xf>
    <xf numFmtId="0" fontId="19" fillId="29" borderId="23" xfId="84" applyFont="1" applyFill="1" applyBorder="1" applyAlignment="1">
      <alignment vertical="center" wrapText="1"/>
    </xf>
    <xf numFmtId="0" fontId="19" fillId="29" borderId="23" xfId="84" applyFont="1" applyFill="1" applyBorder="1" applyAlignment="1">
      <alignment vertical="center"/>
    </xf>
    <xf numFmtId="3" fontId="19" fillId="29" borderId="23" xfId="84" applyNumberFormat="1" applyFont="1" applyFill="1" applyBorder="1"/>
    <xf numFmtId="0" fontId="19" fillId="0" borderId="23" xfId="84" applyFont="1" applyBorder="1"/>
    <xf numFmtId="0" fontId="19" fillId="0" borderId="75" xfId="84" applyFont="1" applyBorder="1"/>
    <xf numFmtId="0" fontId="19" fillId="0" borderId="23" xfId="84" applyFont="1" applyFill="1" applyBorder="1"/>
    <xf numFmtId="3" fontId="19" fillId="0" borderId="23" xfId="84" applyNumberFormat="1" applyFont="1" applyFill="1" applyBorder="1" applyAlignment="1">
      <alignment horizontal="right"/>
    </xf>
    <xf numFmtId="3" fontId="19" fillId="0" borderId="23" xfId="74" applyNumberFormat="1" applyFont="1" applyBorder="1" applyAlignment="1">
      <alignment horizontal="right"/>
    </xf>
    <xf numFmtId="0" fontId="19" fillId="0" borderId="75" xfId="74" applyFont="1" applyFill="1" applyBorder="1"/>
    <xf numFmtId="3" fontId="19" fillId="0" borderId="75" xfId="84" applyNumberFormat="1" applyFont="1" applyBorder="1"/>
    <xf numFmtId="3" fontId="19" fillId="0" borderId="75" xfId="84" applyNumberFormat="1" applyFont="1" applyFill="1" applyBorder="1"/>
    <xf numFmtId="3" fontId="19" fillId="0" borderId="75" xfId="74" applyNumberFormat="1" applyFont="1" applyBorder="1" applyAlignment="1">
      <alignment horizontal="right"/>
    </xf>
    <xf numFmtId="3" fontId="19" fillId="0" borderId="23" xfId="84" applyNumberFormat="1" applyFont="1" applyFill="1" applyBorder="1"/>
    <xf numFmtId="3" fontId="19" fillId="0" borderId="23" xfId="73" applyNumberFormat="1" applyFont="1" applyBorder="1"/>
    <xf numFmtId="0" fontId="19" fillId="0" borderId="23" xfId="73" applyFont="1" applyBorder="1"/>
    <xf numFmtId="0" fontId="19" fillId="0" borderId="74" xfId="73" applyFont="1" applyBorder="1"/>
    <xf numFmtId="0" fontId="19" fillId="0" borderId="75" xfId="73" applyFont="1" applyBorder="1"/>
    <xf numFmtId="3" fontId="25" fillId="0" borderId="68" xfId="84" applyNumberFormat="1" applyFont="1" applyFill="1" applyBorder="1" applyAlignment="1">
      <alignment horizontal="right" wrapText="1"/>
    </xf>
    <xf numFmtId="3" fontId="25" fillId="0" borderId="10" xfId="71" applyNumberFormat="1" applyFont="1" applyFill="1" applyBorder="1" applyAlignment="1"/>
    <xf numFmtId="3" fontId="25" fillId="0" borderId="13" xfId="71" applyNumberFormat="1" applyFont="1" applyFill="1" applyBorder="1" applyAlignment="1"/>
    <xf numFmtId="3" fontId="25" fillId="0" borderId="51" xfId="71" applyNumberFormat="1" applyFont="1" applyFill="1" applyBorder="1" applyAlignment="1"/>
    <xf numFmtId="3" fontId="24" fillId="0" borderId="22" xfId="84" applyNumberFormat="1" applyFont="1" applyFill="1" applyBorder="1" applyAlignment="1">
      <alignment vertical="center" wrapText="1"/>
    </xf>
    <xf numFmtId="3" fontId="24" fillId="0" borderId="117" xfId="84" applyNumberFormat="1" applyFont="1" applyFill="1" applyBorder="1"/>
    <xf numFmtId="3" fontId="24" fillId="0" borderId="63" xfId="84" applyNumberFormat="1" applyFont="1" applyFill="1" applyBorder="1"/>
    <xf numFmtId="0" fontId="36" fillId="0" borderId="78" xfId="84" applyFont="1" applyBorder="1" applyAlignment="1">
      <alignment horizontal="center" vertical="center" wrapText="1"/>
    </xf>
    <xf numFmtId="3" fontId="25" fillId="0" borderId="64" xfId="84" applyNumberFormat="1" applyFont="1" applyFill="1" applyBorder="1" applyAlignment="1">
      <alignment horizontal="right" wrapText="1"/>
    </xf>
    <xf numFmtId="0" fontId="25" fillId="0" borderId="22" xfId="84" applyFont="1" applyBorder="1"/>
    <xf numFmtId="3" fontId="24" fillId="0" borderId="56" xfId="84" applyNumberFormat="1" applyFont="1" applyFill="1" applyBorder="1" applyAlignment="1">
      <alignment horizontal="right" wrapText="1"/>
    </xf>
    <xf numFmtId="3" fontId="24" fillId="0" borderId="118" xfId="84" applyNumberFormat="1" applyFont="1" applyFill="1" applyBorder="1" applyAlignment="1">
      <alignment horizontal="right" wrapText="1"/>
    </xf>
    <xf numFmtId="3" fontId="24" fillId="0" borderId="55" xfId="84" applyNumberFormat="1" applyFont="1" applyFill="1" applyBorder="1" applyAlignment="1">
      <alignment horizontal="right" wrapText="1"/>
    </xf>
    <xf numFmtId="3" fontId="25" fillId="0" borderId="22" xfId="74" applyNumberFormat="1" applyFont="1" applyFill="1" applyBorder="1" applyAlignment="1">
      <alignment vertical="center"/>
    </xf>
    <xf numFmtId="0" fontId="19" fillId="0" borderId="0" xfId="0" applyFont="1" applyBorder="1"/>
    <xf numFmtId="3" fontId="24" fillId="0" borderId="23" xfId="71" applyNumberFormat="1" applyFont="1" applyBorder="1" applyAlignment="1"/>
    <xf numFmtId="167" fontId="25" fillId="0" borderId="23" xfId="74" applyNumberFormat="1" applyFont="1" applyFill="1" applyBorder="1" applyAlignment="1">
      <alignment horizontal="right" wrapText="1"/>
    </xf>
    <xf numFmtId="167" fontId="25" fillId="0" borderId="23" xfId="74" applyNumberFormat="1" applyFont="1" applyBorder="1" applyAlignment="1">
      <alignment horizontal="right" wrapText="1"/>
    </xf>
    <xf numFmtId="3" fontId="25" fillId="0" borderId="23" xfId="71" applyNumberFormat="1" applyFont="1" applyFill="1" applyBorder="1" applyAlignment="1"/>
    <xf numFmtId="0" fontId="25" fillId="0" borderId="21" xfId="71" applyFont="1" applyFill="1" applyBorder="1"/>
    <xf numFmtId="3" fontId="25" fillId="0" borderId="21" xfId="71" applyNumberFormat="1" applyFont="1" applyBorder="1" applyAlignment="1"/>
    <xf numFmtId="3" fontId="24" fillId="0" borderId="64" xfId="71" applyNumberFormat="1" applyFont="1" applyFill="1" applyBorder="1" applyAlignment="1"/>
    <xf numFmtId="3" fontId="24" fillId="0" borderId="27" xfId="71" applyNumberFormat="1" applyFont="1" applyFill="1" applyBorder="1" applyAlignment="1"/>
    <xf numFmtId="3" fontId="24" fillId="0" borderId="117" xfId="71" applyNumberFormat="1" applyFont="1" applyBorder="1" applyAlignment="1"/>
    <xf numFmtId="0" fontId="19" fillId="0" borderId="23" xfId="74" applyFont="1" applyBorder="1" applyAlignment="1">
      <alignment wrapText="1"/>
    </xf>
    <xf numFmtId="0" fontId="19" fillId="0" borderId="23" xfId="74" applyNumberFormat="1" applyFont="1" applyBorder="1" applyAlignment="1">
      <alignment wrapText="1"/>
    </xf>
    <xf numFmtId="0" fontId="29" fillId="0" borderId="23" xfId="74" applyFont="1" applyBorder="1"/>
    <xf numFmtId="0" fontId="19" fillId="0" borderId="74" xfId="74" applyNumberFormat="1" applyFont="1" applyBorder="1" applyAlignment="1">
      <alignment wrapText="1"/>
    </xf>
    <xf numFmtId="0" fontId="19" fillId="0" borderId="23" xfId="74" applyFont="1" applyFill="1" applyBorder="1"/>
    <xf numFmtId="3" fontId="20" fillId="0" borderId="22" xfId="74" applyNumberFormat="1" applyFont="1" applyBorder="1"/>
    <xf numFmtId="3" fontId="20" fillId="0" borderId="35" xfId="74" applyNumberFormat="1" applyFont="1" applyBorder="1"/>
    <xf numFmtId="0" fontId="19" fillId="0" borderId="119" xfId="74" applyFont="1" applyBorder="1"/>
    <xf numFmtId="3" fontId="19" fillId="0" borderId="59" xfId="84" applyNumberFormat="1" applyFont="1" applyBorder="1"/>
    <xf numFmtId="0" fontId="36" fillId="0" borderId="120" xfId="84" applyFont="1" applyBorder="1" applyAlignment="1">
      <alignment horizontal="center" vertical="center" wrapText="1"/>
    </xf>
    <xf numFmtId="1" fontId="19" fillId="0" borderId="22" xfId="53" applyNumberFormat="1" applyFont="1" applyBorder="1"/>
    <xf numFmtId="0" fontId="19" fillId="0" borderId="25" xfId="0" applyFont="1" applyBorder="1" applyAlignment="1">
      <alignment wrapText="1"/>
    </xf>
    <xf numFmtId="0" fontId="36" fillId="0" borderId="121" xfId="84" applyFont="1" applyBorder="1" applyAlignment="1">
      <alignment horizontal="center" vertical="center" wrapText="1"/>
    </xf>
    <xf numFmtId="0" fontId="21" fillId="29" borderId="122" xfId="83" applyFont="1" applyFill="1" applyBorder="1" applyAlignment="1">
      <alignment wrapText="1"/>
    </xf>
    <xf numFmtId="0" fontId="29" fillId="29" borderId="105" xfId="83" applyFont="1" applyFill="1" applyBorder="1" applyAlignment="1">
      <alignment wrapText="1"/>
    </xf>
    <xf numFmtId="0" fontId="21" fillId="29" borderId="105" xfId="83" applyFont="1" applyFill="1" applyBorder="1" applyAlignment="1">
      <alignment wrapText="1"/>
    </xf>
    <xf numFmtId="0" fontId="21" fillId="29" borderId="105" xfId="84" applyFont="1" applyFill="1" applyBorder="1" applyAlignment="1">
      <alignment wrapText="1"/>
    </xf>
    <xf numFmtId="0" fontId="29" fillId="29" borderId="105" xfId="84" applyFont="1" applyFill="1" applyBorder="1" applyAlignment="1">
      <alignment wrapText="1"/>
    </xf>
    <xf numFmtId="164" fontId="29" fillId="29" borderId="105" xfId="84" applyNumberFormat="1" applyFont="1" applyFill="1" applyBorder="1" applyAlignment="1">
      <alignment wrapText="1"/>
    </xf>
    <xf numFmtId="164" fontId="29" fillId="29" borderId="30" xfId="84" applyNumberFormat="1" applyFont="1" applyFill="1" applyBorder="1" applyAlignment="1">
      <alignment wrapText="1"/>
    </xf>
    <xf numFmtId="0" fontId="29" fillId="29" borderId="105" xfId="83" applyFont="1" applyFill="1" applyBorder="1" applyAlignment="1">
      <alignment horizontal="left" wrapText="1"/>
    </xf>
    <xf numFmtId="0" fontId="21" fillId="0" borderId="105" xfId="84" applyFont="1" applyBorder="1"/>
    <xf numFmtId="0" fontId="29" fillId="0" borderId="105" xfId="84" applyFont="1" applyBorder="1"/>
    <xf numFmtId="0" fontId="29" fillId="0" borderId="106" xfId="84" applyFont="1" applyBorder="1"/>
    <xf numFmtId="3" fontId="19" fillId="29" borderId="123" xfId="84" applyNumberFormat="1" applyFont="1" applyFill="1" applyBorder="1" applyAlignment="1">
      <alignment horizontal="right" wrapText="1"/>
    </xf>
    <xf numFmtId="3" fontId="19" fillId="29" borderId="41" xfId="84" applyNumberFormat="1" applyFont="1" applyFill="1" applyBorder="1" applyAlignment="1">
      <alignment horizontal="right" wrapText="1"/>
    </xf>
    <xf numFmtId="0" fontId="21" fillId="29" borderId="124" xfId="83" applyFont="1" applyFill="1" applyBorder="1" applyAlignment="1">
      <alignment wrapText="1"/>
    </xf>
    <xf numFmtId="0" fontId="29" fillId="29" borderId="125" xfId="83" applyFont="1" applyFill="1" applyBorder="1" applyAlignment="1">
      <alignment wrapText="1"/>
    </xf>
    <xf numFmtId="0" fontId="21" fillId="29" borderId="125" xfId="83" applyFont="1" applyFill="1" applyBorder="1" applyAlignment="1">
      <alignment wrapText="1"/>
    </xf>
    <xf numFmtId="0" fontId="21" fillId="29" borderId="125" xfId="84" applyFont="1" applyFill="1" applyBorder="1" applyAlignment="1">
      <alignment wrapText="1"/>
    </xf>
    <xf numFmtId="0" fontId="29" fillId="29" borderId="125" xfId="84" applyFont="1" applyFill="1" applyBorder="1" applyAlignment="1">
      <alignment wrapText="1"/>
    </xf>
    <xf numFmtId="164" fontId="29" fillId="29" borderId="125" xfId="84" applyNumberFormat="1" applyFont="1" applyFill="1" applyBorder="1" applyAlignment="1">
      <alignment wrapText="1"/>
    </xf>
    <xf numFmtId="0" fontId="29" fillId="29" borderId="125" xfId="83" applyFont="1" applyFill="1" applyBorder="1" applyAlignment="1">
      <alignment horizontal="left" wrapText="1"/>
    </xf>
    <xf numFmtId="0" fontId="21" fillId="0" borderId="125" xfId="84" applyFont="1" applyBorder="1"/>
    <xf numFmtId="0" fontId="29" fillId="0" borderId="125" xfId="84" applyFont="1" applyBorder="1"/>
    <xf numFmtId="0" fontId="29" fillId="0" borderId="126" xfId="84" applyFont="1" applyBorder="1"/>
    <xf numFmtId="0" fontId="19" fillId="29" borderId="127" xfId="84" applyFont="1" applyFill="1" applyBorder="1"/>
    <xf numFmtId="4" fontId="19" fillId="0" borderId="25" xfId="84" applyNumberFormat="1" applyFont="1" applyFill="1" applyBorder="1" applyAlignment="1">
      <alignment horizontal="right" wrapText="1"/>
    </xf>
    <xf numFmtId="0" fontId="20" fillId="29" borderId="128" xfId="84" applyFont="1" applyFill="1" applyBorder="1"/>
    <xf numFmtId="3" fontId="20" fillId="29" borderId="83" xfId="84" applyNumberFormat="1" applyFont="1" applyFill="1" applyBorder="1" applyAlignment="1">
      <alignment horizontal="right" wrapText="1"/>
    </xf>
    <xf numFmtId="0" fontId="19" fillId="29" borderId="114" xfId="84" applyFont="1" applyFill="1" applyBorder="1"/>
    <xf numFmtId="3" fontId="19" fillId="29" borderId="114" xfId="84" applyNumberFormat="1" applyFont="1" applyFill="1" applyBorder="1" applyAlignment="1">
      <alignment horizontal="right" wrapText="1"/>
    </xf>
    <xf numFmtId="0" fontId="19" fillId="29" borderId="114" xfId="84" applyFont="1" applyFill="1" applyBorder="1" applyAlignment="1">
      <alignment vertical="center"/>
    </xf>
    <xf numFmtId="0" fontId="20" fillId="29" borderId="114" xfId="84" applyFont="1" applyFill="1" applyBorder="1" applyAlignment="1">
      <alignment vertical="center"/>
    </xf>
    <xf numFmtId="0" fontId="20" fillId="0" borderId="114" xfId="84" applyFont="1" applyBorder="1"/>
    <xf numFmtId="4" fontId="19" fillId="29" borderId="129" xfId="84" applyNumberFormat="1" applyFont="1" applyFill="1" applyBorder="1" applyAlignment="1">
      <alignment horizontal="right" wrapText="1"/>
    </xf>
    <xf numFmtId="0" fontId="20" fillId="29" borderId="25" xfId="84" applyFont="1" applyFill="1" applyBorder="1"/>
    <xf numFmtId="0" fontId="20" fillId="29" borderId="25" xfId="84" applyFont="1" applyFill="1" applyBorder="1" applyAlignment="1">
      <alignment vertical="center"/>
    </xf>
    <xf numFmtId="4" fontId="19" fillId="29" borderId="34" xfId="84" applyNumberFormat="1" applyFont="1" applyFill="1" applyBorder="1" applyAlignment="1">
      <alignment horizontal="right" wrapText="1"/>
    </xf>
    <xf numFmtId="3" fontId="20" fillId="29" borderId="105" xfId="84" applyNumberFormat="1" applyFont="1" applyFill="1" applyBorder="1" applyAlignment="1">
      <alignment horizontal="right" wrapText="1"/>
    </xf>
    <xf numFmtId="4" fontId="19" fillId="29" borderId="105" xfId="84" applyNumberFormat="1" applyFont="1" applyFill="1" applyBorder="1" applyAlignment="1">
      <alignment horizontal="right" wrapText="1"/>
    </xf>
    <xf numFmtId="3" fontId="19" fillId="0" borderId="61" xfId="84" applyNumberFormat="1" applyFont="1" applyBorder="1" applyAlignment="1">
      <alignment horizontal="right"/>
    </xf>
    <xf numFmtId="0" fontId="19" fillId="0" borderId="125" xfId="84" applyFont="1" applyBorder="1"/>
    <xf numFmtId="0" fontId="19" fillId="0" borderId="125" xfId="84" applyFont="1" applyBorder="1" applyAlignment="1">
      <alignment wrapText="1"/>
    </xf>
    <xf numFmtId="0" fontId="20" fillId="0" borderId="125" xfId="84" applyFont="1" applyBorder="1" applyAlignment="1">
      <alignment wrapText="1"/>
    </xf>
    <xf numFmtId="0" fontId="19" fillId="29" borderId="125" xfId="84" applyFont="1" applyFill="1" applyBorder="1"/>
    <xf numFmtId="0" fontId="19" fillId="0" borderId="125" xfId="84" applyFont="1" applyFill="1" applyBorder="1"/>
    <xf numFmtId="3" fontId="19" fillId="0" borderId="125" xfId="84" applyNumberFormat="1" applyFont="1" applyFill="1" applyBorder="1"/>
    <xf numFmtId="0" fontId="20" fillId="0" borderId="125" xfId="84" applyFont="1" applyBorder="1"/>
    <xf numFmtId="0" fontId="20" fillId="0" borderId="126" xfId="84" applyFont="1" applyBorder="1"/>
    <xf numFmtId="3" fontId="19" fillId="0" borderId="94" xfId="84" applyNumberFormat="1" applyFont="1" applyBorder="1" applyAlignment="1">
      <alignment horizontal="right"/>
    </xf>
    <xf numFmtId="0" fontId="19" fillId="0" borderId="130" xfId="84" applyFont="1" applyBorder="1"/>
    <xf numFmtId="3" fontId="19" fillId="0" borderId="53" xfId="84" applyNumberFormat="1" applyFont="1" applyBorder="1"/>
    <xf numFmtId="0" fontId="19" fillId="0" borderId="124" xfId="84" applyFont="1" applyBorder="1"/>
    <xf numFmtId="0" fontId="19" fillId="0" borderId="53" xfId="84" applyFont="1" applyBorder="1"/>
    <xf numFmtId="3" fontId="19" fillId="0" borderId="60" xfId="84" applyNumberFormat="1" applyFont="1" applyBorder="1"/>
    <xf numFmtId="3" fontId="20" fillId="0" borderId="41" xfId="84" applyNumberFormat="1" applyFont="1" applyBorder="1"/>
    <xf numFmtId="3" fontId="19" fillId="0" borderId="112" xfId="84" applyNumberFormat="1" applyFont="1" applyBorder="1" applyAlignment="1">
      <alignment horizontal="right"/>
    </xf>
    <xf numFmtId="0" fontId="19" fillId="0" borderId="131" xfId="84" applyFont="1" applyBorder="1"/>
    <xf numFmtId="3" fontId="19" fillId="0" borderId="43" xfId="84" applyNumberFormat="1" applyFont="1" applyBorder="1" applyAlignment="1">
      <alignment horizontal="right"/>
    </xf>
    <xf numFmtId="3" fontId="19" fillId="0" borderId="74" xfId="84" applyNumberFormat="1" applyFont="1" applyBorder="1"/>
    <xf numFmtId="3" fontId="19" fillId="0" borderId="65" xfId="84" applyNumberFormat="1" applyFont="1" applyBorder="1" applyAlignment="1">
      <alignment horizontal="right"/>
    </xf>
    <xf numFmtId="3" fontId="19" fillId="0" borderId="91" xfId="84" applyNumberFormat="1" applyFont="1" applyBorder="1"/>
    <xf numFmtId="3" fontId="19" fillId="0" borderId="91" xfId="84" applyNumberFormat="1" applyFont="1" applyBorder="1" applyAlignment="1">
      <alignment horizontal="right"/>
    </xf>
    <xf numFmtId="3" fontId="19" fillId="0" borderId="132" xfId="84" applyNumberFormat="1" applyFont="1" applyBorder="1" applyAlignment="1">
      <alignment horizontal="right"/>
    </xf>
    <xf numFmtId="3" fontId="19" fillId="0" borderId="19" xfId="84" applyNumberFormat="1" applyFont="1" applyBorder="1"/>
    <xf numFmtId="3" fontId="19" fillId="0" borderId="18" xfId="84" applyNumberFormat="1" applyFont="1" applyBorder="1"/>
    <xf numFmtId="3" fontId="19" fillId="0" borderId="13" xfId="84" applyNumberFormat="1" applyFont="1" applyBorder="1"/>
    <xf numFmtId="3" fontId="19" fillId="0" borderId="133" xfId="84" applyNumberFormat="1" applyFont="1" applyBorder="1" applyAlignment="1">
      <alignment horizontal="right"/>
    </xf>
    <xf numFmtId="1" fontId="19" fillId="0" borderId="91" xfId="84" applyNumberFormat="1" applyFont="1" applyBorder="1"/>
    <xf numFmtId="0" fontId="19" fillId="0" borderId="91" xfId="84" applyFont="1" applyBorder="1"/>
    <xf numFmtId="3" fontId="19" fillId="0" borderId="43" xfId="84" applyNumberFormat="1" applyFont="1" applyBorder="1"/>
    <xf numFmtId="3" fontId="19" fillId="0" borderId="133" xfId="84" applyNumberFormat="1" applyFont="1" applyBorder="1"/>
    <xf numFmtId="3" fontId="19" fillId="0" borderId="132" xfId="84" applyNumberFormat="1" applyFont="1" applyBorder="1"/>
    <xf numFmtId="0" fontId="20" fillId="0" borderId="134" xfId="84" applyFont="1" applyBorder="1"/>
    <xf numFmtId="3" fontId="20" fillId="0" borderId="78" xfId="84" applyNumberFormat="1" applyFont="1" applyBorder="1"/>
    <xf numFmtId="3" fontId="20" fillId="0" borderId="46" xfId="84" applyNumberFormat="1" applyFont="1" applyBorder="1"/>
    <xf numFmtId="3" fontId="20" fillId="0" borderId="45" xfId="84" applyNumberFormat="1" applyFont="1" applyBorder="1" applyAlignment="1">
      <alignment horizontal="right"/>
    </xf>
    <xf numFmtId="3" fontId="20" fillId="0" borderId="120" xfId="84" applyNumberFormat="1" applyFont="1" applyBorder="1" applyAlignment="1">
      <alignment horizontal="right"/>
    </xf>
    <xf numFmtId="3" fontId="20" fillId="0" borderId="50" xfId="84" applyNumberFormat="1" applyFont="1" applyBorder="1"/>
    <xf numFmtId="3" fontId="20" fillId="0" borderId="71" xfId="84" applyNumberFormat="1" applyFont="1" applyBorder="1"/>
    <xf numFmtId="3" fontId="20" fillId="0" borderId="73" xfId="84" applyNumberFormat="1" applyFont="1" applyBorder="1"/>
    <xf numFmtId="3" fontId="20" fillId="0" borderId="121" xfId="84" applyNumberFormat="1" applyFont="1" applyBorder="1"/>
    <xf numFmtId="3" fontId="20" fillId="0" borderId="45" xfId="84" applyNumberFormat="1" applyFont="1" applyBorder="1"/>
    <xf numFmtId="0" fontId="20" fillId="0" borderId="125" xfId="84" applyFont="1" applyBorder="1" applyAlignment="1">
      <alignment horizontal="left" wrapText="1"/>
    </xf>
    <xf numFmtId="3" fontId="20" fillId="0" borderId="91" xfId="73" applyNumberFormat="1" applyFont="1" applyBorder="1"/>
    <xf numFmtId="0" fontId="21" fillId="0" borderId="134" xfId="73" applyFont="1" applyBorder="1" applyAlignment="1">
      <alignment horizontal="center" vertical="center"/>
    </xf>
    <xf numFmtId="0" fontId="21" fillId="0" borderId="135" xfId="73" applyFont="1" applyBorder="1" applyAlignment="1">
      <alignment horizontal="center" vertical="center" wrapText="1"/>
    </xf>
    <xf numFmtId="0" fontId="21" fillId="0" borderId="124" xfId="73" applyFont="1" applyBorder="1"/>
    <xf numFmtId="0" fontId="21" fillId="0" borderId="130" xfId="73" applyFont="1" applyBorder="1"/>
    <xf numFmtId="0" fontId="29" fillId="0" borderId="125" xfId="73" applyFont="1" applyBorder="1"/>
    <xf numFmtId="0" fontId="21" fillId="0" borderId="125" xfId="73" applyFont="1" applyBorder="1"/>
    <xf numFmtId="0" fontId="21" fillId="0" borderId="136" xfId="73" applyFont="1" applyBorder="1"/>
    <xf numFmtId="0" fontId="29" fillId="0" borderId="137" xfId="73" applyFont="1" applyBorder="1"/>
    <xf numFmtId="0" fontId="21" fillId="0" borderId="137" xfId="73" applyFont="1" applyBorder="1"/>
    <xf numFmtId="0" fontId="29" fillId="0" borderId="136" xfId="73" applyFont="1" applyBorder="1"/>
    <xf numFmtId="0" fontId="21" fillId="0" borderId="137" xfId="73" applyFont="1" applyBorder="1" applyAlignment="1">
      <alignment wrapText="1"/>
    </xf>
    <xf numFmtId="0" fontId="44" fillId="0" borderId="137" xfId="73" applyFont="1" applyBorder="1" applyAlignment="1">
      <alignment wrapText="1"/>
    </xf>
    <xf numFmtId="0" fontId="21" fillId="0" borderId="138" xfId="73" applyFont="1" applyBorder="1"/>
    <xf numFmtId="0" fontId="45" fillId="0" borderId="124" xfId="73" applyFont="1" applyBorder="1" applyAlignment="1">
      <alignment wrapText="1"/>
    </xf>
    <xf numFmtId="0" fontId="44" fillId="0" borderId="130" xfId="73" applyFont="1" applyBorder="1" applyAlignment="1">
      <alignment wrapText="1"/>
    </xf>
    <xf numFmtId="0" fontId="44" fillId="0" borderId="125" xfId="73" applyFont="1" applyBorder="1" applyAlignment="1">
      <alignment wrapText="1"/>
    </xf>
    <xf numFmtId="0" fontId="45" fillId="0" borderId="125" xfId="73" applyFont="1" applyBorder="1" applyAlignment="1">
      <alignment wrapText="1"/>
    </xf>
    <xf numFmtId="0" fontId="45" fillId="0" borderId="136" xfId="73" applyFont="1" applyBorder="1" applyAlignment="1">
      <alignment wrapText="1"/>
    </xf>
    <xf numFmtId="0" fontId="44" fillId="0" borderId="136" xfId="73" applyFont="1" applyBorder="1" applyAlignment="1">
      <alignment wrapText="1"/>
    </xf>
    <xf numFmtId="0" fontId="45" fillId="0" borderId="137" xfId="73" applyFont="1" applyBorder="1" applyAlignment="1">
      <alignment wrapText="1"/>
    </xf>
    <xf numFmtId="0" fontId="44" fillId="0" borderId="139" xfId="73" applyFont="1" applyBorder="1" applyAlignment="1">
      <alignment wrapText="1"/>
    </xf>
    <xf numFmtId="0" fontId="29" fillId="0" borderId="136" xfId="73" applyFont="1" applyBorder="1" applyAlignment="1">
      <alignment wrapText="1"/>
    </xf>
    <xf numFmtId="0" fontId="45" fillId="0" borderId="138" xfId="73" applyFont="1" applyBorder="1" applyAlignment="1">
      <alignment wrapText="1"/>
    </xf>
    <xf numFmtId="3" fontId="21" fillId="29" borderId="140" xfId="84" applyNumberFormat="1" applyFont="1" applyFill="1" applyBorder="1" applyAlignment="1">
      <alignment horizontal="right" wrapText="1"/>
    </xf>
    <xf numFmtId="3" fontId="29" fillId="29" borderId="80" xfId="84" applyNumberFormat="1" applyFont="1" applyFill="1" applyBorder="1" applyAlignment="1">
      <alignment horizontal="right" wrapText="1"/>
    </xf>
    <xf numFmtId="3" fontId="21" fillId="29" borderId="32" xfId="84" applyNumberFormat="1" applyFont="1" applyFill="1" applyBorder="1" applyAlignment="1">
      <alignment horizontal="right" wrapText="1"/>
    </xf>
    <xf numFmtId="3" fontId="21" fillId="29" borderId="54" xfId="84" applyNumberFormat="1" applyFont="1" applyFill="1" applyBorder="1" applyAlignment="1">
      <alignment horizontal="right" wrapText="1"/>
    </xf>
    <xf numFmtId="3" fontId="29" fillId="29" borderId="31" xfId="84" applyNumberFormat="1" applyFont="1" applyFill="1" applyBorder="1" applyAlignment="1">
      <alignment horizontal="right" wrapText="1"/>
    </xf>
    <xf numFmtId="3" fontId="21" fillId="29" borderId="26" xfId="84" applyNumberFormat="1" applyFont="1" applyFill="1" applyBorder="1" applyAlignment="1">
      <alignment horizontal="right" wrapText="1"/>
    </xf>
    <xf numFmtId="3" fontId="21" fillId="29" borderId="59" xfId="84" applyNumberFormat="1" applyFont="1" applyFill="1" applyBorder="1" applyAlignment="1">
      <alignment horizontal="right" wrapText="1"/>
    </xf>
    <xf numFmtId="0" fontId="21" fillId="29" borderId="141" xfId="84" applyFont="1" applyFill="1" applyBorder="1" applyAlignment="1">
      <alignment horizontal="center" vertical="center" wrapText="1"/>
    </xf>
    <xf numFmtId="3" fontId="35" fillId="29" borderId="25" xfId="84" applyNumberFormat="1" applyFont="1" applyFill="1" applyBorder="1" applyAlignment="1">
      <alignment horizontal="right" wrapText="1"/>
    </xf>
    <xf numFmtId="3" fontId="35" fillId="29" borderId="115" xfId="84" applyNumberFormat="1" applyFont="1" applyFill="1" applyBorder="1" applyAlignment="1">
      <alignment horizontal="right" wrapText="1"/>
    </xf>
    <xf numFmtId="3" fontId="29" fillId="29" borderId="34" xfId="84" applyNumberFormat="1" applyFont="1" applyFill="1" applyBorder="1" applyAlignment="1">
      <alignment horizontal="right" wrapText="1"/>
    </xf>
    <xf numFmtId="3" fontId="29" fillId="29" borderId="35" xfId="84" applyNumberFormat="1" applyFont="1" applyFill="1" applyBorder="1" applyAlignment="1">
      <alignment horizontal="right" wrapText="1"/>
    </xf>
    <xf numFmtId="3" fontId="35" fillId="29" borderId="31" xfId="84" applyNumberFormat="1" applyFont="1" applyFill="1" applyBorder="1" applyAlignment="1">
      <alignment horizontal="right" wrapText="1"/>
    </xf>
    <xf numFmtId="3" fontId="29" fillId="29" borderId="26" xfId="84" applyNumberFormat="1" applyFont="1" applyFill="1" applyBorder="1" applyAlignment="1">
      <alignment horizontal="right" wrapText="1"/>
    </xf>
    <xf numFmtId="3" fontId="29" fillId="29" borderId="129" xfId="84" applyNumberFormat="1" applyFont="1" applyFill="1" applyBorder="1" applyAlignment="1">
      <alignment horizontal="right" wrapText="1"/>
    </xf>
    <xf numFmtId="3" fontId="20" fillId="0" borderId="41" xfId="73" applyNumberFormat="1" applyFont="1" applyBorder="1"/>
    <xf numFmtId="3" fontId="20" fillId="0" borderId="90" xfId="73" applyNumberFormat="1" applyFont="1" applyBorder="1"/>
    <xf numFmtId="3" fontId="19" fillId="0" borderId="25" xfId="73" applyNumberFormat="1" applyFont="1" applyBorder="1"/>
    <xf numFmtId="3" fontId="20" fillId="0" borderId="25" xfId="73" applyNumberFormat="1" applyFont="1" applyBorder="1"/>
    <xf numFmtId="0" fontId="20" fillId="0" borderId="25" xfId="73" applyFont="1" applyBorder="1"/>
    <xf numFmtId="0" fontId="19" fillId="0" borderId="25" xfId="73" applyFont="1" applyBorder="1"/>
    <xf numFmtId="3" fontId="31" fillId="0" borderId="25" xfId="73" applyNumberFormat="1" applyFont="1" applyBorder="1"/>
    <xf numFmtId="3" fontId="20" fillId="0" borderId="34" xfId="73" applyNumberFormat="1" applyFont="1" applyBorder="1"/>
    <xf numFmtId="3" fontId="25" fillId="0" borderId="142" xfId="84" applyNumberFormat="1" applyFont="1" applyFill="1" applyBorder="1" applyAlignment="1">
      <alignment horizontal="right" wrapText="1"/>
    </xf>
    <xf numFmtId="3" fontId="25" fillId="0" borderId="44" xfId="84" applyNumberFormat="1" applyFont="1" applyFill="1" applyBorder="1" applyAlignment="1">
      <alignment horizontal="right" wrapText="1"/>
    </xf>
    <xf numFmtId="3" fontId="25" fillId="0" borderId="44" xfId="71" applyNumberFormat="1" applyFont="1" applyFill="1" applyBorder="1" applyAlignment="1"/>
    <xf numFmtId="3" fontId="25" fillId="0" borderId="80" xfId="84" applyNumberFormat="1" applyFont="1" applyFill="1" applyBorder="1" applyAlignment="1">
      <alignment horizontal="right" wrapText="1"/>
    </xf>
    <xf numFmtId="0" fontId="19" fillId="0" borderId="34" xfId="84" applyFont="1" applyFill="1" applyBorder="1" applyAlignment="1">
      <alignment horizontal="left" wrapText="1" indent="2"/>
    </xf>
    <xf numFmtId="3" fontId="24" fillId="0" borderId="49" xfId="84" applyNumberFormat="1" applyFont="1" applyFill="1" applyBorder="1"/>
    <xf numFmtId="3" fontId="24" fillId="0" borderId="39" xfId="84" applyNumberFormat="1" applyFont="1" applyFill="1" applyBorder="1"/>
    <xf numFmtId="3" fontId="25" fillId="0" borderId="39" xfId="84" applyNumberFormat="1" applyFont="1" applyFill="1" applyBorder="1"/>
    <xf numFmtId="3" fontId="25" fillId="0" borderId="63" xfId="74" applyNumberFormat="1" applyFont="1" applyFill="1" applyBorder="1"/>
    <xf numFmtId="0" fontId="0" fillId="0" borderId="26" xfId="81" applyFont="1" applyBorder="1" applyAlignment="1">
      <alignment wrapText="1"/>
    </xf>
    <xf numFmtId="3" fontId="25" fillId="0" borderId="52" xfId="84" applyNumberFormat="1" applyFont="1" applyFill="1" applyBorder="1" applyAlignment="1">
      <alignment horizontal="right" vertical="center" wrapText="1"/>
    </xf>
    <xf numFmtId="3" fontId="25" fillId="0" borderId="39" xfId="84" applyNumberFormat="1" applyFont="1" applyFill="1" applyBorder="1" applyAlignment="1">
      <alignment horizontal="right" vertical="center" wrapText="1"/>
    </xf>
    <xf numFmtId="0" fontId="19" fillId="0" borderId="23" xfId="0" applyFont="1" applyBorder="1"/>
    <xf numFmtId="3" fontId="24" fillId="0" borderId="143" xfId="71" applyNumberFormat="1" applyFont="1" applyFill="1" applyBorder="1" applyAlignment="1"/>
    <xf numFmtId="3" fontId="25" fillId="0" borderId="39" xfId="71" applyNumberFormat="1" applyFont="1" applyFill="1" applyBorder="1" applyAlignment="1"/>
    <xf numFmtId="3" fontId="25" fillId="0" borderId="144" xfId="71" applyNumberFormat="1" applyFont="1" applyFill="1" applyBorder="1" applyAlignment="1"/>
    <xf numFmtId="3" fontId="25" fillId="0" borderId="85" xfId="70" applyNumberFormat="1" applyFont="1" applyFill="1" applyBorder="1" applyAlignment="1"/>
    <xf numFmtId="0" fontId="25" fillId="0" borderId="145" xfId="71" applyFont="1" applyFill="1" applyBorder="1"/>
    <xf numFmtId="0" fontId="20" fillId="0" borderId="146" xfId="74" applyFont="1" applyBorder="1"/>
    <xf numFmtId="0" fontId="20" fillId="0" borderId="47" xfId="74" applyFont="1" applyBorder="1" applyAlignment="1">
      <alignment wrapText="1"/>
    </xf>
    <xf numFmtId="0" fontId="20" fillId="0" borderId="62" xfId="74" applyFont="1" applyBorder="1" applyAlignment="1">
      <alignment wrapText="1"/>
    </xf>
    <xf numFmtId="0" fontId="19" fillId="0" borderId="57" xfId="74" applyFont="1" applyBorder="1" applyAlignment="1">
      <alignment wrapText="1"/>
    </xf>
    <xf numFmtId="0" fontId="19" fillId="0" borderId="62" xfId="74" applyFont="1" applyBorder="1" applyAlignment="1">
      <alignment wrapText="1"/>
    </xf>
    <xf numFmtId="0" fontId="19" fillId="0" borderId="112" xfId="74" applyFont="1" applyBorder="1"/>
    <xf numFmtId="3" fontId="20" fillId="0" borderId="23" xfId="74" applyNumberFormat="1" applyFont="1" applyBorder="1"/>
    <xf numFmtId="3" fontId="19" fillId="0" borderId="23" xfId="74" applyNumberFormat="1" applyFont="1" applyBorder="1"/>
    <xf numFmtId="3" fontId="20" fillId="0" borderId="104" xfId="74" applyNumberFormat="1" applyFont="1" applyBorder="1"/>
    <xf numFmtId="0" fontId="19" fillId="0" borderId="25" xfId="74" applyFont="1" applyBorder="1"/>
    <xf numFmtId="3" fontId="20" fillId="0" borderId="25" xfId="74" applyNumberFormat="1" applyFont="1" applyBorder="1"/>
    <xf numFmtId="3" fontId="19" fillId="0" borderId="25" xfId="74" applyNumberFormat="1" applyFont="1" applyBorder="1"/>
    <xf numFmtId="3" fontId="20" fillId="0" borderId="34" xfId="74" applyNumberFormat="1" applyFont="1" applyBorder="1"/>
    <xf numFmtId="0" fontId="19" fillId="0" borderId="123" xfId="74" applyFont="1" applyBorder="1"/>
    <xf numFmtId="0" fontId="20" fillId="0" borderId="25" xfId="74" applyFont="1" applyBorder="1" applyAlignment="1">
      <alignment wrapText="1"/>
    </xf>
    <xf numFmtId="0" fontId="20" fillId="0" borderId="25" xfId="74" applyFont="1" applyBorder="1"/>
    <xf numFmtId="3" fontId="25" fillId="0" borderId="33" xfId="0" applyNumberFormat="1" applyFont="1" applyFill="1" applyBorder="1"/>
    <xf numFmtId="3" fontId="0" fillId="0" borderId="33" xfId="0" applyNumberFormat="1" applyFont="1" applyFill="1" applyBorder="1"/>
    <xf numFmtId="3" fontId="0" fillId="0" borderId="0" xfId="0" applyNumberFormat="1" applyFont="1"/>
    <xf numFmtId="3" fontId="43" fillId="0" borderId="0" xfId="0" applyNumberFormat="1" applyFont="1"/>
    <xf numFmtId="0" fontId="0" fillId="30" borderId="0" xfId="0" applyFont="1" applyFill="1"/>
    <xf numFmtId="3" fontId="0" fillId="30" borderId="0" xfId="0" applyNumberFormat="1" applyFont="1" applyFill="1"/>
    <xf numFmtId="3" fontId="0" fillId="0" borderId="14" xfId="0" applyNumberFormat="1" applyFont="1" applyFill="1" applyBorder="1"/>
    <xf numFmtId="3" fontId="46" fillId="0" borderId="0" xfId="0" applyNumberFormat="1" applyFont="1"/>
    <xf numFmtId="3" fontId="47" fillId="0" borderId="0" xfId="0" applyNumberFormat="1" applyFont="1"/>
    <xf numFmtId="3" fontId="0" fillId="0" borderId="0" xfId="0" applyNumberFormat="1" applyFont="1" applyFill="1" applyBorder="1"/>
    <xf numFmtId="0" fontId="19" fillId="0" borderId="0" xfId="78" applyFont="1"/>
    <xf numFmtId="0" fontId="20" fillId="0" borderId="11" xfId="84" applyFont="1" applyBorder="1" applyAlignment="1">
      <alignment horizontal="center" vertical="center" wrapText="1"/>
    </xf>
    <xf numFmtId="0" fontId="36" fillId="0" borderId="11" xfId="84" applyFont="1" applyBorder="1" applyAlignment="1">
      <alignment horizontal="center" vertical="center" wrapText="1"/>
    </xf>
    <xf numFmtId="0" fontId="36" fillId="0" borderId="10" xfId="84" applyFont="1" applyBorder="1" applyAlignment="1">
      <alignment horizontal="center" vertical="center" wrapText="1"/>
    </xf>
    <xf numFmtId="0" fontId="36" fillId="0" borderId="22" xfId="84" applyFont="1" applyBorder="1" applyAlignment="1">
      <alignment horizontal="center" vertical="center" wrapText="1"/>
    </xf>
    <xf numFmtId="0" fontId="19" fillId="0" borderId="22" xfId="78" applyFont="1" applyBorder="1" applyAlignment="1">
      <alignment wrapText="1"/>
    </xf>
    <xf numFmtId="0" fontId="19" fillId="0" borderId="0" xfId="78" applyFont="1" applyBorder="1"/>
    <xf numFmtId="0" fontId="19" fillId="0" borderId="22" xfId="78" applyFont="1" applyBorder="1"/>
    <xf numFmtId="3" fontId="19" fillId="0" borderId="0" xfId="78" applyNumberFormat="1" applyFont="1"/>
    <xf numFmtId="0" fontId="19" fillId="0" borderId="11" xfId="78" applyFont="1" applyBorder="1"/>
    <xf numFmtId="0" fontId="19" fillId="0" borderId="10" xfId="78" applyFont="1" applyBorder="1"/>
    <xf numFmtId="0" fontId="36" fillId="0" borderId="127" xfId="84" applyFont="1" applyBorder="1" applyAlignment="1">
      <alignment horizontal="center" vertical="center" wrapText="1"/>
    </xf>
    <xf numFmtId="3" fontId="24" fillId="0" borderId="75" xfId="84" applyNumberFormat="1" applyFont="1" applyBorder="1"/>
    <xf numFmtId="0" fontId="24" fillId="0" borderId="47" xfId="84" applyFont="1" applyBorder="1" applyAlignment="1">
      <alignment horizontal="center" vertical="center" wrapText="1"/>
    </xf>
    <xf numFmtId="3" fontId="21" fillId="29" borderId="118" xfId="84" applyNumberFormat="1" applyFont="1" applyFill="1" applyBorder="1" applyAlignment="1">
      <alignment horizontal="right" wrapText="1"/>
    </xf>
    <xf numFmtId="3" fontId="21" fillId="29" borderId="10" xfId="84" applyNumberFormat="1" applyFont="1" applyFill="1" applyBorder="1" applyAlignment="1">
      <alignment horizontal="right" wrapText="1"/>
    </xf>
    <xf numFmtId="3" fontId="21" fillId="29" borderId="147" xfId="84" applyNumberFormat="1" applyFont="1" applyFill="1" applyBorder="1" applyAlignment="1">
      <alignment horizontal="right" wrapText="1"/>
    </xf>
    <xf numFmtId="3" fontId="35" fillId="29" borderId="148" xfId="84" applyNumberFormat="1" applyFont="1" applyFill="1" applyBorder="1" applyAlignment="1">
      <alignment horizontal="right" wrapText="1"/>
    </xf>
    <xf numFmtId="3" fontId="21" fillId="29" borderId="63" xfId="84" applyNumberFormat="1" applyFont="1" applyFill="1" applyBorder="1" applyAlignment="1">
      <alignment horizontal="right" wrapText="1"/>
    </xf>
    <xf numFmtId="3" fontId="26" fillId="29" borderId="115" xfId="84" applyNumberFormat="1" applyFont="1" applyFill="1" applyBorder="1" applyAlignment="1">
      <alignment horizontal="right" wrapText="1"/>
    </xf>
    <xf numFmtId="3" fontId="26" fillId="29" borderId="148" xfId="84" applyNumberFormat="1" applyFont="1" applyFill="1" applyBorder="1" applyAlignment="1">
      <alignment horizontal="right" wrapText="1"/>
    </xf>
    <xf numFmtId="0" fontId="29" fillId="29" borderId="57" xfId="84" applyFont="1" applyFill="1" applyBorder="1" applyAlignment="1">
      <alignment wrapText="1"/>
    </xf>
    <xf numFmtId="3" fontId="29" fillId="29" borderId="37" xfId="84" applyNumberFormat="1" applyFont="1" applyFill="1" applyBorder="1" applyAlignment="1">
      <alignment horizontal="right" wrapText="1"/>
    </xf>
    <xf numFmtId="3" fontId="21" fillId="29" borderId="37" xfId="84" applyNumberFormat="1" applyFont="1" applyFill="1" applyBorder="1" applyAlignment="1">
      <alignment horizontal="right" wrapText="1"/>
    </xf>
    <xf numFmtId="3" fontId="21" fillId="29" borderId="149" xfId="84" applyNumberFormat="1" applyFont="1" applyFill="1" applyBorder="1" applyAlignment="1">
      <alignment horizontal="right" wrapText="1"/>
    </xf>
    <xf numFmtId="3" fontId="21" fillId="29" borderId="150" xfId="84" applyNumberFormat="1" applyFont="1" applyFill="1" applyBorder="1" applyAlignment="1">
      <alignment horizontal="right" wrapText="1"/>
    </xf>
    <xf numFmtId="3" fontId="29" fillId="29" borderId="14" xfId="84" applyNumberFormat="1" applyFont="1" applyFill="1" applyBorder="1" applyAlignment="1">
      <alignment horizontal="right" wrapText="1"/>
    </xf>
    <xf numFmtId="3" fontId="29" fillId="29" borderId="52" xfId="84" applyNumberFormat="1" applyFont="1" applyFill="1" applyBorder="1" applyAlignment="1">
      <alignment horizontal="right" wrapText="1"/>
    </xf>
    <xf numFmtId="3" fontId="29" fillId="29" borderId="90" xfId="84" applyNumberFormat="1" applyFont="1" applyFill="1" applyBorder="1" applyAlignment="1">
      <alignment horizontal="right" wrapText="1"/>
    </xf>
    <xf numFmtId="3" fontId="29" fillId="29" borderId="43" xfId="84" applyNumberFormat="1" applyFont="1" applyFill="1" applyBorder="1" applyAlignment="1">
      <alignment horizontal="right" wrapText="1"/>
    </xf>
    <xf numFmtId="3" fontId="29" fillId="29" borderId="74" xfId="84" applyNumberFormat="1" applyFont="1" applyFill="1" applyBorder="1" applyAlignment="1">
      <alignment horizontal="right" wrapText="1"/>
    </xf>
    <xf numFmtId="3" fontId="29" fillId="29" borderId="28" xfId="84" applyNumberFormat="1" applyFont="1" applyFill="1" applyBorder="1" applyAlignment="1">
      <alignment horizontal="right" wrapText="1"/>
    </xf>
    <xf numFmtId="3" fontId="29" fillId="29" borderId="18" xfId="84" applyNumberFormat="1" applyFont="1" applyFill="1" applyBorder="1" applyAlignment="1">
      <alignment horizontal="right" wrapText="1"/>
    </xf>
    <xf numFmtId="3" fontId="29" fillId="29" borderId="151" xfId="84" applyNumberFormat="1" applyFont="1" applyFill="1" applyBorder="1" applyAlignment="1">
      <alignment horizontal="right" wrapText="1"/>
    </xf>
    <xf numFmtId="3" fontId="35" fillId="29" borderId="146" xfId="84" applyNumberFormat="1" applyFont="1" applyFill="1" applyBorder="1" applyAlignment="1">
      <alignment horizontal="right" wrapText="1"/>
    </xf>
    <xf numFmtId="3" fontId="29" fillId="29" borderId="152" xfId="84" applyNumberFormat="1" applyFont="1" applyFill="1" applyBorder="1" applyAlignment="1">
      <alignment horizontal="right" wrapText="1"/>
    </xf>
    <xf numFmtId="3" fontId="29" fillId="29" borderId="153" xfId="84" applyNumberFormat="1" applyFont="1" applyFill="1" applyBorder="1" applyAlignment="1">
      <alignment horizontal="right" wrapText="1"/>
    </xf>
    <xf numFmtId="0" fontId="29" fillId="29" borderId="28" xfId="83" applyFont="1" applyFill="1" applyBorder="1" applyAlignment="1">
      <alignment wrapText="1"/>
    </xf>
    <xf numFmtId="3" fontId="29" fillId="29" borderId="33" xfId="84" applyNumberFormat="1" applyFont="1" applyFill="1" applyBorder="1" applyAlignment="1">
      <alignment horizontal="right" wrapText="1"/>
    </xf>
    <xf numFmtId="3" fontId="29" fillId="29" borderId="32" xfId="84" applyNumberFormat="1" applyFont="1" applyFill="1" applyBorder="1" applyAlignment="1">
      <alignment horizontal="right" wrapText="1"/>
    </xf>
    <xf numFmtId="3" fontId="29" fillId="29" borderId="154" xfId="84" applyNumberFormat="1" applyFont="1" applyFill="1" applyBorder="1" applyAlignment="1">
      <alignment horizontal="right" wrapText="1"/>
    </xf>
    <xf numFmtId="3" fontId="29" fillId="29" borderId="144" xfId="84" applyNumberFormat="1" applyFont="1" applyFill="1" applyBorder="1" applyAlignment="1">
      <alignment horizontal="right" wrapText="1"/>
    </xf>
    <xf numFmtId="0" fontId="21" fillId="29" borderId="155" xfId="84" applyFont="1" applyFill="1" applyBorder="1" applyAlignment="1">
      <alignment horizontal="center" vertical="center" wrapText="1"/>
    </xf>
    <xf numFmtId="0" fontId="29" fillId="29" borderId="152" xfId="83" applyFont="1" applyFill="1" applyBorder="1" applyAlignment="1">
      <alignment wrapText="1"/>
    </xf>
    <xf numFmtId="3" fontId="29" fillId="29" borderId="106" xfId="84" applyNumberFormat="1" applyFont="1" applyFill="1" applyBorder="1" applyAlignment="1">
      <alignment horizontal="right" wrapText="1"/>
    </xf>
    <xf numFmtId="3" fontId="29" fillId="29" borderId="30" xfId="84" applyNumberFormat="1" applyFont="1" applyFill="1" applyBorder="1" applyAlignment="1">
      <alignment horizontal="right" wrapText="1"/>
    </xf>
    <xf numFmtId="0" fontId="21" fillId="29" borderId="134" xfId="84" applyFont="1" applyFill="1" applyBorder="1" applyAlignment="1">
      <alignment horizontal="center" vertical="center" wrapText="1"/>
    </xf>
    <xf numFmtId="3" fontId="21" fillId="29" borderId="102" xfId="84" applyNumberFormat="1" applyFont="1" applyFill="1" applyBorder="1" applyAlignment="1">
      <alignment horizontal="right" wrapText="1"/>
    </xf>
    <xf numFmtId="3" fontId="21" fillId="29" borderId="156" xfId="84" applyNumberFormat="1" applyFont="1" applyFill="1" applyBorder="1" applyAlignment="1">
      <alignment horizontal="right" wrapText="1"/>
    </xf>
    <xf numFmtId="3" fontId="20" fillId="0" borderId="60" xfId="73" applyNumberFormat="1" applyFont="1" applyBorder="1"/>
    <xf numFmtId="0" fontId="24" fillId="0" borderId="47" xfId="84" applyFont="1" applyFill="1" applyBorder="1" applyAlignment="1">
      <alignment horizontal="center" vertical="center" wrapText="1"/>
    </xf>
    <xf numFmtId="0" fontId="36" fillId="0" borderId="157" xfId="84" applyFont="1" applyBorder="1" applyAlignment="1">
      <alignment horizontal="center" vertical="center" wrapText="1"/>
    </xf>
    <xf numFmtId="3" fontId="24" fillId="0" borderId="158" xfId="71" applyNumberFormat="1" applyFont="1" applyBorder="1" applyAlignment="1">
      <alignment horizontal="center" wrapText="1"/>
    </xf>
    <xf numFmtId="0" fontId="24" fillId="0" borderId="47" xfId="74" applyFont="1" applyFill="1" applyBorder="1" applyAlignment="1">
      <alignment horizontal="center" vertical="center" wrapText="1"/>
    </xf>
    <xf numFmtId="0" fontId="36" fillId="0" borderId="53" xfId="84" applyFont="1" applyBorder="1" applyAlignment="1">
      <alignment horizontal="center" vertical="center" wrapText="1"/>
    </xf>
    <xf numFmtId="0" fontId="24" fillId="0" borderId="79" xfId="74" applyFont="1" applyFill="1" applyBorder="1" applyAlignment="1">
      <alignment horizontal="center" vertical="center" wrapText="1"/>
    </xf>
    <xf numFmtId="0" fontId="19" fillId="29" borderId="57" xfId="84" applyFont="1" applyFill="1" applyBorder="1" applyAlignment="1">
      <alignment wrapText="1"/>
    </xf>
    <xf numFmtId="0" fontId="19" fillId="0" borderId="159" xfId="74" applyFont="1" applyBorder="1"/>
    <xf numFmtId="0" fontId="19" fillId="0" borderId="160" xfId="74" applyFont="1" applyBorder="1"/>
    <xf numFmtId="0" fontId="20" fillId="0" borderId="160" xfId="74" applyFont="1" applyBorder="1"/>
    <xf numFmtId="0" fontId="20" fillId="0" borderId="161" xfId="74" applyFont="1" applyBorder="1"/>
    <xf numFmtId="0" fontId="19" fillId="29" borderId="30" xfId="84" applyFont="1" applyFill="1" applyBorder="1" applyAlignment="1">
      <alignment wrapText="1"/>
    </xf>
    <xf numFmtId="0" fontId="19" fillId="29" borderId="30" xfId="83" applyFont="1" applyFill="1" applyBorder="1" applyAlignment="1">
      <alignment wrapText="1"/>
    </xf>
    <xf numFmtId="0" fontId="20" fillId="0" borderId="37" xfId="74" applyFont="1" applyBorder="1" applyAlignment="1">
      <alignment wrapText="1"/>
    </xf>
    <xf numFmtId="0" fontId="36" fillId="0" borderId="162" xfId="84" applyFont="1" applyBorder="1" applyAlignment="1">
      <alignment horizontal="center" vertical="center" wrapText="1"/>
    </xf>
    <xf numFmtId="0" fontId="19" fillId="0" borderId="163" xfId="74" applyFont="1" applyBorder="1"/>
    <xf numFmtId="0" fontId="19" fillId="0" borderId="164" xfId="74" applyFont="1" applyBorder="1"/>
    <xf numFmtId="0" fontId="20" fillId="0" borderId="164" xfId="74" applyFont="1" applyBorder="1"/>
    <xf numFmtId="0" fontId="20" fillId="0" borderId="164" xfId="74" applyFont="1" applyBorder="1" applyAlignment="1">
      <alignment wrapText="1"/>
    </xf>
    <xf numFmtId="0" fontId="20" fillId="0" borderId="165" xfId="74" applyFont="1" applyBorder="1"/>
    <xf numFmtId="164" fontId="19" fillId="0" borderId="30" xfId="74" applyNumberFormat="1" applyFont="1" applyBorder="1" applyAlignment="1">
      <alignment wrapText="1"/>
    </xf>
    <xf numFmtId="164" fontId="19" fillId="0" borderId="62" xfId="74" applyNumberFormat="1" applyFont="1" applyBorder="1" applyAlignment="1">
      <alignment wrapText="1"/>
    </xf>
    <xf numFmtId="0" fontId="19" fillId="0" borderId="93" xfId="74" applyFont="1" applyBorder="1"/>
    <xf numFmtId="0" fontId="19" fillId="0" borderId="43" xfId="74" applyFont="1" applyBorder="1"/>
    <xf numFmtId="0" fontId="20" fillId="0" borderId="34" xfId="74" applyFont="1" applyBorder="1"/>
    <xf numFmtId="3" fontId="19" fillId="0" borderId="74" xfId="75" applyNumberFormat="1" applyFont="1" applyFill="1" applyBorder="1"/>
    <xf numFmtId="3" fontId="19" fillId="0" borderId="134" xfId="75" applyNumberFormat="1" applyFont="1" applyFill="1" applyBorder="1"/>
    <xf numFmtId="3" fontId="19" fillId="0" borderId="75" xfId="75" applyNumberFormat="1" applyFont="1" applyFill="1" applyBorder="1"/>
    <xf numFmtId="0" fontId="19" fillId="0" borderId="61" xfId="0" applyFont="1" applyBorder="1" applyAlignment="1">
      <alignment wrapText="1"/>
    </xf>
    <xf numFmtId="3" fontId="20" fillId="0" borderId="104" xfId="0" applyNumberFormat="1" applyFont="1" applyBorder="1"/>
    <xf numFmtId="3" fontId="22" fillId="0" borderId="25" xfId="0" applyNumberFormat="1" applyFont="1" applyBorder="1"/>
    <xf numFmtId="0" fontId="0" fillId="0" borderId="25" xfId="0" applyFont="1" applyBorder="1"/>
    <xf numFmtId="2" fontId="19" fillId="0" borderId="105" xfId="75" applyNumberFormat="1" applyFont="1" applyFill="1" applyBorder="1"/>
    <xf numFmtId="2" fontId="20" fillId="0" borderId="105" xfId="75" applyNumberFormat="1" applyFont="1" applyFill="1" applyBorder="1"/>
    <xf numFmtId="2" fontId="19" fillId="0" borderId="105" xfId="75" applyNumberFormat="1" applyFont="1" applyBorder="1"/>
    <xf numFmtId="1" fontId="19" fillId="0" borderId="105" xfId="75" applyNumberFormat="1" applyFont="1" applyFill="1" applyBorder="1"/>
    <xf numFmtId="3" fontId="19" fillId="0" borderId="105" xfId="75" applyNumberFormat="1" applyFont="1" applyFill="1" applyBorder="1"/>
    <xf numFmtId="3" fontId="22" fillId="0" borderId="105" xfId="75" applyNumberFormat="1" applyFont="1" applyFill="1" applyBorder="1"/>
    <xf numFmtId="1" fontId="20" fillId="0" borderId="105" xfId="75" applyNumberFormat="1" applyFont="1" applyFill="1" applyBorder="1"/>
    <xf numFmtId="3" fontId="20" fillId="0" borderId="105" xfId="0" applyNumberFormat="1" applyFont="1" applyBorder="1"/>
    <xf numFmtId="3" fontId="20" fillId="0" borderId="106" xfId="0" applyNumberFormat="1" applyFont="1" applyBorder="1"/>
    <xf numFmtId="0" fontId="20" fillId="0" borderId="43" xfId="75" applyFont="1" applyFill="1" applyBorder="1" applyAlignment="1">
      <alignment horizontal="center"/>
    </xf>
    <xf numFmtId="0" fontId="19" fillId="0" borderId="52" xfId="75" applyNumberFormat="1" applyFont="1" applyFill="1" applyBorder="1" applyAlignment="1">
      <alignment horizontal="center"/>
    </xf>
    <xf numFmtId="0" fontId="19" fillId="0" borderId="52" xfId="75" applyFont="1" applyFill="1" applyBorder="1"/>
    <xf numFmtId="2" fontId="19" fillId="0" borderId="52" xfId="75" applyNumberFormat="1" applyFont="1" applyFill="1" applyBorder="1"/>
    <xf numFmtId="3" fontId="19" fillId="0" borderId="52" xfId="75" applyNumberFormat="1" applyFont="1" applyFill="1" applyBorder="1"/>
    <xf numFmtId="3" fontId="19" fillId="29" borderId="74" xfId="75" applyNumberFormat="1" applyFont="1" applyFill="1" applyBorder="1"/>
    <xf numFmtId="3" fontId="19" fillId="0" borderId="43" xfId="0" applyNumberFormat="1" applyFont="1" applyBorder="1"/>
    <xf numFmtId="3" fontId="19" fillId="0" borderId="74" xfId="0" applyNumberFormat="1" applyFont="1" applyBorder="1"/>
    <xf numFmtId="0" fontId="19" fillId="0" borderId="43" xfId="0" applyFont="1" applyBorder="1"/>
    <xf numFmtId="2" fontId="19" fillId="0" borderId="166" xfId="75" applyNumberFormat="1" applyFont="1" applyFill="1" applyBorder="1"/>
    <xf numFmtId="0" fontId="19" fillId="0" borderId="59" xfId="75" applyFont="1" applyFill="1" applyBorder="1" applyAlignment="1">
      <alignment horizontal="center"/>
    </xf>
    <xf numFmtId="0" fontId="19" fillId="0" borderId="63" xfId="75" applyNumberFormat="1" applyFont="1" applyFill="1" applyBorder="1" applyAlignment="1">
      <alignment horizontal="center"/>
    </xf>
    <xf numFmtId="0" fontId="20" fillId="0" borderId="63" xfId="75" applyFont="1" applyFill="1" applyBorder="1" applyAlignment="1">
      <alignment wrapText="1"/>
    </xf>
    <xf numFmtId="2" fontId="19" fillId="0" borderId="63" xfId="75" applyNumberFormat="1" applyFont="1" applyFill="1" applyBorder="1"/>
    <xf numFmtId="0" fontId="19" fillId="0" borderId="63" xfId="75" applyFont="1" applyFill="1" applyBorder="1"/>
    <xf numFmtId="3" fontId="19" fillId="0" borderId="63" xfId="75" applyNumberFormat="1" applyFont="1" applyFill="1" applyBorder="1"/>
    <xf numFmtId="3" fontId="20" fillId="29" borderId="75" xfId="75" applyNumberFormat="1" applyFont="1" applyFill="1" applyBorder="1"/>
    <xf numFmtId="3" fontId="19" fillId="0" borderId="59" xfId="0" applyNumberFormat="1" applyFont="1" applyBorder="1"/>
    <xf numFmtId="3" fontId="19" fillId="0" borderId="75" xfId="0" applyNumberFormat="1" applyFont="1" applyBorder="1"/>
    <xf numFmtId="0" fontId="19" fillId="0" borderId="59" xfId="0" applyFont="1" applyBorder="1"/>
    <xf numFmtId="2" fontId="19" fillId="0" borderId="122" xfId="75" applyNumberFormat="1" applyFont="1" applyFill="1" applyBorder="1"/>
    <xf numFmtId="0" fontId="20" fillId="0" borderId="78" xfId="75" applyFont="1" applyFill="1" applyBorder="1" applyAlignment="1">
      <alignment horizontal="center" wrapText="1"/>
    </xf>
    <xf numFmtId="0" fontId="20" fillId="0" borderId="46" xfId="75" applyNumberFormat="1" applyFont="1" applyFill="1" applyBorder="1" applyAlignment="1">
      <alignment horizontal="center" wrapText="1"/>
    </xf>
    <xf numFmtId="0" fontId="20" fillId="0" borderId="46" xfId="75" applyFont="1" applyFill="1" applyBorder="1" applyAlignment="1">
      <alignment horizontal="center" wrapText="1"/>
    </xf>
    <xf numFmtId="2" fontId="20" fillId="0" borderId="46" xfId="75" applyNumberFormat="1" applyFont="1" applyFill="1" applyBorder="1" applyAlignment="1">
      <alignment horizontal="center" wrapText="1"/>
    </xf>
    <xf numFmtId="0" fontId="20" fillId="0" borderId="46" xfId="75" applyFont="1" applyFill="1" applyBorder="1" applyAlignment="1">
      <alignment horizontal="center" vertical="center"/>
    </xf>
    <xf numFmtId="0" fontId="20" fillId="29" borderId="46" xfId="75" applyFont="1" applyFill="1" applyBorder="1" applyAlignment="1">
      <alignment horizontal="center" vertical="center"/>
    </xf>
    <xf numFmtId="0" fontId="20" fillId="29" borderId="120" xfId="75" applyFont="1" applyFill="1" applyBorder="1" applyAlignment="1">
      <alignment horizontal="center" vertical="center"/>
    </xf>
    <xf numFmtId="3" fontId="20" fillId="0" borderId="78" xfId="0" applyNumberFormat="1" applyFont="1" applyBorder="1" applyAlignment="1">
      <alignment vertical="center"/>
    </xf>
    <xf numFmtId="3" fontId="20" fillId="0" borderId="120" xfId="0" applyNumberFormat="1" applyFont="1" applyBorder="1" applyAlignment="1">
      <alignment horizontal="center" vertical="center" wrapText="1"/>
    </xf>
    <xf numFmtId="3" fontId="20" fillId="0" borderId="120" xfId="0" applyNumberFormat="1" applyFont="1" applyBorder="1" applyAlignment="1">
      <alignment vertical="center" wrapText="1"/>
    </xf>
    <xf numFmtId="2" fontId="20" fillId="0" borderId="47" xfId="75" applyNumberFormat="1" applyFont="1" applyFill="1" applyBorder="1" applyAlignment="1">
      <alignment vertical="center" wrapText="1"/>
    </xf>
    <xf numFmtId="3" fontId="20" fillId="0" borderId="78" xfId="0" applyNumberFormat="1" applyFont="1" applyBorder="1" applyAlignment="1">
      <alignment vertical="center" wrapText="1"/>
    </xf>
    <xf numFmtId="3" fontId="20" fillId="0" borderId="45" xfId="0" applyNumberFormat="1" applyFont="1" applyBorder="1" applyAlignment="1">
      <alignment vertical="center" wrapText="1"/>
    </xf>
    <xf numFmtId="0" fontId="19" fillId="0" borderId="43" xfId="75" applyFont="1" applyFill="1" applyBorder="1" applyAlignment="1">
      <alignment horizontal="center"/>
    </xf>
    <xf numFmtId="0" fontId="20" fillId="0" borderId="52" xfId="75" applyNumberFormat="1" applyFont="1" applyFill="1" applyBorder="1" applyAlignment="1">
      <alignment horizontal="center"/>
    </xf>
    <xf numFmtId="0" fontId="20" fillId="0" borderId="52" xfId="75" applyFont="1" applyFill="1" applyBorder="1"/>
    <xf numFmtId="2" fontId="20" fillId="0" borderId="52" xfId="75" applyNumberFormat="1" applyFont="1" applyFill="1" applyBorder="1"/>
    <xf numFmtId="3" fontId="20" fillId="0" borderId="52" xfId="75" applyNumberFormat="1" applyFont="1" applyFill="1" applyBorder="1"/>
    <xf numFmtId="3" fontId="20" fillId="0" borderId="74" xfId="75" applyNumberFormat="1" applyFont="1" applyFill="1" applyBorder="1"/>
    <xf numFmtId="3" fontId="20" fillId="0" borderId="43" xfId="0" applyNumberFormat="1" applyFont="1" applyBorder="1"/>
    <xf numFmtId="3" fontId="20" fillId="0" borderId="43" xfId="75" applyNumberFormat="1" applyFont="1" applyFill="1" applyBorder="1"/>
    <xf numFmtId="3" fontId="20" fillId="0" borderId="74" xfId="0" applyNumberFormat="1" applyFont="1" applyBorder="1"/>
    <xf numFmtId="2" fontId="20" fillId="0" borderId="166" xfId="75" applyNumberFormat="1" applyFont="1" applyFill="1" applyBorder="1"/>
    <xf numFmtId="2" fontId="20" fillId="0" borderId="63" xfId="75" applyNumberFormat="1" applyFont="1" applyFill="1" applyBorder="1" applyAlignment="1">
      <alignment horizontal="center" wrapText="1"/>
    </xf>
    <xf numFmtId="0" fontId="19" fillId="29" borderId="63" xfId="75" applyFont="1" applyFill="1" applyBorder="1" applyAlignment="1">
      <alignment vertical="center"/>
    </xf>
    <xf numFmtId="3" fontId="19" fillId="29" borderId="75" xfId="75" applyNumberFormat="1" applyFont="1" applyFill="1" applyBorder="1"/>
    <xf numFmtId="2" fontId="20" fillId="0" borderId="122" xfId="75" applyNumberFormat="1" applyFont="1" applyFill="1" applyBorder="1" applyAlignment="1">
      <alignment horizontal="center" wrapText="1"/>
    </xf>
    <xf numFmtId="0" fontId="19" fillId="0" borderId="63" xfId="75" applyFont="1" applyFill="1" applyBorder="1" applyAlignment="1">
      <alignment vertical="center"/>
    </xf>
    <xf numFmtId="3" fontId="19" fillId="29" borderId="63" xfId="75" applyNumberFormat="1" applyFont="1" applyFill="1" applyBorder="1"/>
    <xf numFmtId="3" fontId="19" fillId="29" borderId="75" xfId="75" applyNumberFormat="1" applyFont="1" applyFill="1" applyBorder="1" applyAlignment="1">
      <alignment vertical="center"/>
    </xf>
    <xf numFmtId="2" fontId="20" fillId="0" borderId="46" xfId="75" applyNumberFormat="1" applyFont="1" applyFill="1" applyBorder="1" applyAlignment="1">
      <alignment vertical="center" wrapText="1"/>
    </xf>
    <xf numFmtId="0" fontId="20" fillId="0" borderId="46" xfId="75" applyFont="1" applyFill="1" applyBorder="1" applyAlignment="1">
      <alignment vertical="center"/>
    </xf>
    <xf numFmtId="0" fontId="20" fillId="29" borderId="46" xfId="75" applyFont="1" applyFill="1" applyBorder="1" applyAlignment="1">
      <alignment vertical="center"/>
    </xf>
    <xf numFmtId="0" fontId="19" fillId="0" borderId="32" xfId="84" applyFont="1" applyFill="1" applyBorder="1" applyAlignment="1">
      <alignment horizontal="left" wrapText="1" indent="2"/>
    </xf>
    <xf numFmtId="0" fontId="19" fillId="0" borderId="22" xfId="84" applyFont="1" applyFill="1" applyBorder="1" applyAlignment="1">
      <alignment horizontal="left" wrapText="1" indent="2"/>
    </xf>
    <xf numFmtId="0" fontId="19" fillId="0" borderId="61" xfId="84" applyFont="1" applyFill="1" applyBorder="1" applyAlignment="1">
      <alignment horizontal="left" wrapText="1" indent="2"/>
    </xf>
    <xf numFmtId="3" fontId="25" fillId="0" borderId="167" xfId="71" applyNumberFormat="1" applyFont="1" applyFill="1" applyBorder="1" applyAlignment="1"/>
    <xf numFmtId="0" fontId="19" fillId="0" borderId="25" xfId="0" applyFont="1" applyFill="1" applyBorder="1" applyAlignment="1">
      <alignment wrapText="1"/>
    </xf>
    <xf numFmtId="3" fontId="29" fillId="29" borderId="168" xfId="84" applyNumberFormat="1" applyFont="1" applyFill="1" applyBorder="1" applyAlignment="1">
      <alignment horizontal="right" wrapText="1"/>
    </xf>
    <xf numFmtId="3" fontId="29" fillId="29" borderId="68" xfId="84" applyNumberFormat="1" applyFont="1" applyFill="1" applyBorder="1" applyAlignment="1">
      <alignment horizontal="right" wrapText="1"/>
    </xf>
    <xf numFmtId="0" fontId="19" fillId="0" borderId="169" xfId="84" applyFont="1" applyFill="1" applyBorder="1" applyAlignment="1">
      <alignment horizontal="left" wrapText="1" indent="2"/>
    </xf>
    <xf numFmtId="3" fontId="24" fillId="0" borderId="22" xfId="84" applyNumberFormat="1" applyFont="1" applyFill="1" applyBorder="1" applyAlignment="1">
      <alignment horizontal="right" vertical="center" wrapText="1"/>
    </xf>
    <xf numFmtId="0" fontId="24" fillId="0" borderId="25" xfId="81" applyFont="1" applyFill="1" applyBorder="1" applyAlignment="1">
      <alignment horizontal="left" vertical="center" wrapText="1"/>
    </xf>
    <xf numFmtId="3" fontId="24" fillId="0" borderId="39" xfId="84" applyNumberFormat="1" applyFont="1" applyFill="1" applyBorder="1" applyAlignment="1">
      <alignment horizontal="right" vertical="center" wrapText="1"/>
    </xf>
    <xf numFmtId="0" fontId="29" fillId="0" borderId="25" xfId="81" applyFont="1" applyBorder="1" applyAlignment="1">
      <alignment wrapText="1"/>
    </xf>
    <xf numFmtId="0" fontId="29" fillId="0" borderId="25" xfId="81" applyFont="1" applyFill="1" applyBorder="1" applyAlignment="1">
      <alignment wrapText="1"/>
    </xf>
    <xf numFmtId="0" fontId="0" fillId="0" borderId="25" xfId="74" applyFont="1" applyFill="1" applyBorder="1" applyAlignment="1">
      <alignment wrapText="1"/>
    </xf>
    <xf numFmtId="0" fontId="39" fillId="0" borderId="25" xfId="0" applyFont="1" applyBorder="1"/>
    <xf numFmtId="0" fontId="29" fillId="0" borderId="34" xfId="81" applyFont="1" applyFill="1" applyBorder="1" applyAlignment="1">
      <alignment wrapText="1"/>
    </xf>
    <xf numFmtId="3" fontId="25" fillId="0" borderId="35" xfId="84" applyNumberFormat="1" applyFont="1" applyFill="1" applyBorder="1" applyAlignment="1">
      <alignment horizontal="right" vertical="center" wrapText="1"/>
    </xf>
    <xf numFmtId="3" fontId="25" fillId="0" borderId="35" xfId="74" applyNumberFormat="1" applyFont="1" applyFill="1" applyBorder="1"/>
    <xf numFmtId="3" fontId="25" fillId="0" borderId="41" xfId="84" applyNumberFormat="1" applyFont="1" applyFill="1" applyBorder="1" applyAlignment="1">
      <alignment horizontal="right" vertical="center" wrapText="1"/>
    </xf>
    <xf numFmtId="3" fontId="19" fillId="0" borderId="22" xfId="73" applyNumberFormat="1" applyFont="1" applyBorder="1"/>
    <xf numFmtId="0" fontId="20" fillId="0" borderId="22" xfId="84" applyFont="1" applyBorder="1" applyAlignment="1">
      <alignment horizontal="center" vertical="center" wrapText="1"/>
    </xf>
    <xf numFmtId="0" fontId="19" fillId="0" borderId="22" xfId="79" applyFont="1" applyBorder="1"/>
    <xf numFmtId="3" fontId="20" fillId="0" borderId="22" xfId="79" applyNumberFormat="1" applyFont="1" applyBorder="1"/>
    <xf numFmtId="0" fontId="19" fillId="0" borderId="39" xfId="73" applyFont="1" applyBorder="1"/>
    <xf numFmtId="0" fontId="20" fillId="0" borderId="39" xfId="73" applyFont="1" applyBorder="1"/>
    <xf numFmtId="0" fontId="19" fillId="0" borderId="25" xfId="73" applyFont="1" applyFill="1" applyBorder="1" applyAlignment="1">
      <alignment wrapText="1"/>
    </xf>
    <xf numFmtId="0" fontId="19" fillId="0" borderId="25" xfId="79" applyFont="1" applyBorder="1" applyAlignment="1">
      <alignment wrapText="1"/>
    </xf>
    <xf numFmtId="0" fontId="20" fillId="0" borderId="25" xfId="79" applyFont="1" applyBorder="1" applyAlignment="1">
      <alignment wrapText="1"/>
    </xf>
    <xf numFmtId="0" fontId="19" fillId="0" borderId="59" xfId="73" applyFont="1" applyBorder="1" applyAlignment="1">
      <alignment wrapText="1"/>
    </xf>
    <xf numFmtId="0" fontId="19" fillId="0" borderId="49" xfId="73" applyFont="1" applyBorder="1"/>
    <xf numFmtId="0" fontId="19" fillId="0" borderId="81" xfId="0" applyFont="1" applyBorder="1" applyAlignment="1">
      <alignment wrapText="1"/>
    </xf>
    <xf numFmtId="0" fontId="29" fillId="0" borderId="0" xfId="73" applyFont="1" applyBorder="1"/>
    <xf numFmtId="0" fontId="19" fillId="0" borderId="22" xfId="73" applyFont="1" applyBorder="1" applyAlignment="1">
      <alignment wrapText="1"/>
    </xf>
    <xf numFmtId="0" fontId="19" fillId="0" borderId="26" xfId="73" applyFont="1" applyBorder="1" applyAlignment="1">
      <alignment wrapText="1"/>
    </xf>
    <xf numFmtId="0" fontId="0" fillId="0" borderId="0" xfId="78" applyFont="1"/>
    <xf numFmtId="0" fontId="25" fillId="0" borderId="58" xfId="71" applyFont="1" applyFill="1" applyBorder="1"/>
    <xf numFmtId="3" fontId="21" fillId="29" borderId="127" xfId="84" applyNumberFormat="1" applyFont="1" applyFill="1" applyBorder="1" applyAlignment="1">
      <alignment horizontal="right" wrapText="1"/>
    </xf>
    <xf numFmtId="2" fontId="29" fillId="0" borderId="23" xfId="84" applyNumberFormat="1" applyFont="1" applyBorder="1"/>
    <xf numFmtId="3" fontId="21" fillId="29" borderId="170" xfId="84" applyNumberFormat="1" applyFont="1" applyFill="1" applyBorder="1" applyAlignment="1">
      <alignment horizontal="right" wrapText="1"/>
    </xf>
    <xf numFmtId="3" fontId="21" fillId="29" borderId="171" xfId="84" applyNumberFormat="1" applyFont="1" applyFill="1" applyBorder="1" applyAlignment="1">
      <alignment horizontal="right" wrapText="1"/>
    </xf>
    <xf numFmtId="3" fontId="35" fillId="29" borderId="80" xfId="84" applyNumberFormat="1" applyFont="1" applyFill="1" applyBorder="1" applyAlignment="1">
      <alignment horizontal="right" wrapText="1"/>
    </xf>
    <xf numFmtId="3" fontId="35" fillId="29" borderId="82" xfId="84" applyNumberFormat="1" applyFont="1" applyFill="1" applyBorder="1" applyAlignment="1">
      <alignment horizontal="right" wrapText="1"/>
    </xf>
    <xf numFmtId="3" fontId="29" fillId="29" borderId="64" xfId="84" applyNumberFormat="1" applyFont="1" applyFill="1" applyBorder="1" applyAlignment="1">
      <alignment horizontal="right" wrapText="1"/>
    </xf>
    <xf numFmtId="3" fontId="29" fillId="29" borderId="172" xfId="84" applyNumberFormat="1" applyFont="1" applyFill="1" applyBorder="1" applyAlignment="1">
      <alignment horizontal="right" wrapText="1"/>
    </xf>
    <xf numFmtId="3" fontId="21" fillId="29" borderId="64" xfId="84" applyNumberFormat="1" applyFont="1" applyFill="1" applyBorder="1" applyAlignment="1">
      <alignment horizontal="right" wrapText="1"/>
    </xf>
    <xf numFmtId="3" fontId="21" fillId="29" borderId="62" xfId="84" applyNumberFormat="1" applyFont="1" applyFill="1" applyBorder="1" applyAlignment="1">
      <alignment horizontal="right" wrapText="1"/>
    </xf>
    <xf numFmtId="3" fontId="21" fillId="29" borderId="105" xfId="84" applyNumberFormat="1" applyFont="1" applyFill="1" applyBorder="1" applyAlignment="1">
      <alignment horizontal="right" wrapText="1"/>
    </xf>
    <xf numFmtId="3" fontId="29" fillId="29" borderId="105" xfId="84" applyNumberFormat="1" applyFont="1" applyFill="1" applyBorder="1" applyAlignment="1">
      <alignment horizontal="right" wrapText="1"/>
    </xf>
    <xf numFmtId="4" fontId="29" fillId="29" borderId="105" xfId="84" applyNumberFormat="1" applyFont="1" applyFill="1" applyBorder="1" applyAlignment="1">
      <alignment horizontal="right" wrapText="1"/>
    </xf>
    <xf numFmtId="4" fontId="29" fillId="29" borderId="79" xfId="84" applyNumberFormat="1" applyFont="1" applyFill="1" applyBorder="1" applyAlignment="1">
      <alignment horizontal="right" wrapText="1"/>
    </xf>
    <xf numFmtId="4" fontId="29" fillId="29" borderId="22" xfId="84" applyNumberFormat="1" applyFont="1" applyFill="1" applyBorder="1" applyAlignment="1">
      <alignment horizontal="right" wrapText="1"/>
    </xf>
    <xf numFmtId="4" fontId="19" fillId="29" borderId="83" xfId="84" applyNumberFormat="1" applyFont="1" applyFill="1" applyBorder="1" applyAlignment="1">
      <alignment horizontal="right" wrapText="1"/>
    </xf>
    <xf numFmtId="3" fontId="19" fillId="29" borderId="104" xfId="84" applyNumberFormat="1" applyFont="1" applyFill="1" applyBorder="1" applyAlignment="1">
      <alignment horizontal="right" wrapText="1"/>
    </xf>
    <xf numFmtId="0" fontId="30" fillId="0" borderId="44" xfId="84" applyFont="1" applyBorder="1"/>
    <xf numFmtId="3" fontId="19" fillId="0" borderId="23" xfId="84" applyNumberFormat="1" applyFont="1" applyBorder="1"/>
    <xf numFmtId="3" fontId="20" fillId="0" borderId="104" xfId="84" applyNumberFormat="1" applyFont="1" applyBorder="1"/>
    <xf numFmtId="0" fontId="19" fillId="0" borderId="112" xfId="84" applyFont="1" applyBorder="1"/>
    <xf numFmtId="3" fontId="20" fillId="0" borderId="120" xfId="84" applyNumberFormat="1" applyFont="1" applyBorder="1"/>
    <xf numFmtId="3" fontId="20" fillId="0" borderId="75" xfId="84" applyNumberFormat="1" applyFont="1" applyBorder="1"/>
    <xf numFmtId="3" fontId="20" fillId="0" borderId="47" xfId="84" applyNumberFormat="1" applyFont="1" applyBorder="1"/>
    <xf numFmtId="3" fontId="19" fillId="0" borderId="83" xfId="84" applyNumberFormat="1" applyFont="1" applyBorder="1"/>
    <xf numFmtId="3" fontId="20" fillId="0" borderId="23" xfId="73" applyNumberFormat="1" applyFont="1" applyBorder="1"/>
    <xf numFmtId="0" fontId="20" fillId="0" borderId="23" xfId="73" applyFont="1" applyBorder="1"/>
    <xf numFmtId="3" fontId="20" fillId="0" borderId="104" xfId="73" applyNumberFormat="1" applyFont="1" applyBorder="1"/>
    <xf numFmtId="3" fontId="24" fillId="0" borderId="75" xfId="84" applyNumberFormat="1" applyFont="1" applyFill="1" applyBorder="1"/>
    <xf numFmtId="3" fontId="24" fillId="0" borderId="23" xfId="84" applyNumberFormat="1" applyFont="1" applyFill="1" applyBorder="1" applyAlignment="1">
      <alignment horizontal="right" wrapText="1"/>
    </xf>
    <xf numFmtId="3" fontId="25" fillId="0" borderId="23" xfId="84" applyNumberFormat="1" applyFont="1" applyFill="1" applyBorder="1" applyAlignment="1">
      <alignment horizontal="right" wrapText="1"/>
    </xf>
    <xf numFmtId="3" fontId="25" fillId="0" borderId="13" xfId="84" applyNumberFormat="1" applyFont="1" applyFill="1" applyBorder="1" applyAlignment="1">
      <alignment horizontal="right" wrapText="1"/>
    </xf>
    <xf numFmtId="3" fontId="24" fillId="0" borderId="12" xfId="84" applyNumberFormat="1" applyFont="1" applyFill="1" applyBorder="1" applyAlignment="1">
      <alignment horizontal="right" wrapText="1"/>
    </xf>
    <xf numFmtId="3" fontId="24" fillId="0" borderId="27" xfId="84" applyNumberFormat="1" applyFont="1" applyFill="1" applyBorder="1" applyAlignment="1">
      <alignment horizontal="right" wrapText="1"/>
    </xf>
    <xf numFmtId="3" fontId="25" fillId="0" borderId="173" xfId="84" applyNumberFormat="1" applyFont="1" applyFill="1" applyBorder="1" applyAlignment="1">
      <alignment horizontal="right" wrapText="1"/>
    </xf>
    <xf numFmtId="3" fontId="24" fillId="0" borderId="64" xfId="84" applyNumberFormat="1" applyFont="1" applyFill="1" applyBorder="1" applyAlignment="1">
      <alignment horizontal="right" wrapText="1"/>
    </xf>
    <xf numFmtId="3" fontId="25" fillId="0" borderId="12" xfId="84" applyNumberFormat="1" applyFont="1" applyFill="1" applyBorder="1" applyAlignment="1">
      <alignment horizontal="right" wrapText="1"/>
    </xf>
    <xf numFmtId="3" fontId="25" fillId="0" borderId="42" xfId="84" applyNumberFormat="1" applyFont="1" applyFill="1" applyBorder="1" applyAlignment="1">
      <alignment horizontal="right" wrapText="1"/>
    </xf>
    <xf numFmtId="3" fontId="25" fillId="0" borderId="174" xfId="84" applyNumberFormat="1" applyFont="1" applyFill="1" applyBorder="1" applyAlignment="1">
      <alignment horizontal="right" wrapText="1"/>
    </xf>
    <xf numFmtId="3" fontId="25" fillId="0" borderId="175" xfId="84" applyNumberFormat="1" applyFont="1" applyFill="1" applyBorder="1" applyAlignment="1">
      <alignment horizontal="right" wrapText="1"/>
    </xf>
    <xf numFmtId="3" fontId="24" fillId="0" borderId="41" xfId="84" applyNumberFormat="1" applyFont="1" applyFill="1" applyBorder="1" applyAlignment="1">
      <alignment horizontal="right" wrapText="1"/>
    </xf>
    <xf numFmtId="3" fontId="25" fillId="0" borderId="23" xfId="74" applyNumberFormat="1" applyFont="1" applyFill="1" applyBorder="1"/>
    <xf numFmtId="0" fontId="24" fillId="0" borderId="59" xfId="81" applyFont="1" applyFill="1" applyBorder="1" applyAlignment="1">
      <alignment horizontal="left" vertical="center" wrapText="1"/>
    </xf>
    <xf numFmtId="3" fontId="24" fillId="0" borderId="63" xfId="84" applyNumberFormat="1" applyFont="1" applyFill="1" applyBorder="1" applyAlignment="1">
      <alignment horizontal="right" vertical="center" wrapText="1"/>
    </xf>
    <xf numFmtId="3" fontId="24" fillId="0" borderId="49" xfId="84" applyNumberFormat="1" applyFont="1" applyFill="1" applyBorder="1" applyAlignment="1">
      <alignment horizontal="right" vertical="center" wrapText="1"/>
    </xf>
    <xf numFmtId="0" fontId="24" fillId="0" borderId="78" xfId="84" applyFont="1" applyFill="1" applyBorder="1" applyAlignment="1">
      <alignment horizontal="center" vertical="center" wrapText="1"/>
    </xf>
    <xf numFmtId="3" fontId="25" fillId="0" borderId="60" xfId="84" applyNumberFormat="1" applyFont="1" applyFill="1" applyBorder="1" applyAlignment="1">
      <alignment horizontal="right" vertical="center" wrapText="1"/>
    </xf>
    <xf numFmtId="3" fontId="25" fillId="0" borderId="132" xfId="84" applyNumberFormat="1" applyFont="1" applyFill="1" applyBorder="1" applyAlignment="1">
      <alignment horizontal="right" vertical="center" wrapText="1"/>
    </xf>
    <xf numFmtId="0" fontId="20" fillId="0" borderId="23" xfId="84" applyFont="1" applyBorder="1" applyAlignment="1">
      <alignment horizontal="center" vertical="center" wrapText="1"/>
    </xf>
    <xf numFmtId="0" fontId="19" fillId="0" borderId="23" xfId="79" applyFont="1" applyBorder="1"/>
    <xf numFmtId="0" fontId="20" fillId="0" borderId="43" xfId="73" applyFont="1" applyBorder="1" applyAlignment="1">
      <alignment wrapText="1"/>
    </xf>
    <xf numFmtId="0" fontId="20" fillId="0" borderId="52" xfId="73" applyFont="1" applyBorder="1"/>
    <xf numFmtId="0" fontId="20" fillId="0" borderId="65" xfId="73" applyFont="1" applyBorder="1"/>
    <xf numFmtId="0" fontId="19" fillId="0" borderId="52" xfId="73" applyFont="1" applyBorder="1"/>
    <xf numFmtId="3" fontId="20" fillId="0" borderId="52" xfId="73" applyNumberFormat="1" applyFont="1" applyBorder="1"/>
    <xf numFmtId="3" fontId="20" fillId="0" borderId="74" xfId="73" applyNumberFormat="1" applyFont="1" applyBorder="1"/>
    <xf numFmtId="3" fontId="24" fillId="0" borderId="100" xfId="71" applyNumberFormat="1" applyFont="1" applyBorder="1" applyAlignment="1"/>
    <xf numFmtId="3" fontId="25" fillId="0" borderId="20" xfId="71" applyNumberFormat="1" applyFont="1" applyFill="1" applyBorder="1" applyAlignment="1"/>
    <xf numFmtId="3" fontId="24" fillId="0" borderId="36" xfId="71" applyNumberFormat="1" applyFont="1" applyFill="1" applyBorder="1" applyAlignment="1"/>
    <xf numFmtId="3" fontId="24" fillId="0" borderId="82" xfId="71" applyNumberFormat="1" applyFont="1" applyFill="1" applyBorder="1" applyAlignment="1"/>
    <xf numFmtId="0" fontId="20" fillId="0" borderId="119" xfId="74" applyFont="1" applyBorder="1"/>
    <xf numFmtId="0" fontId="20" fillId="0" borderId="49" xfId="74" applyFont="1" applyBorder="1"/>
    <xf numFmtId="3" fontId="25" fillId="0" borderId="39" xfId="84" applyNumberFormat="1" applyFont="1" applyBorder="1"/>
    <xf numFmtId="3" fontId="0" fillId="0" borderId="0" xfId="0" applyNumberFormat="1"/>
    <xf numFmtId="3" fontId="0" fillId="0" borderId="25" xfId="0" applyNumberFormat="1" applyBorder="1"/>
    <xf numFmtId="3" fontId="21" fillId="0" borderId="39" xfId="0" applyNumberFormat="1" applyFont="1" applyBorder="1"/>
    <xf numFmtId="3" fontId="21" fillId="0" borderId="25" xfId="0" applyNumberFormat="1" applyFont="1" applyBorder="1"/>
    <xf numFmtId="3" fontId="0" fillId="0" borderId="39" xfId="0" applyNumberFormat="1" applyBorder="1"/>
    <xf numFmtId="3" fontId="0" fillId="0" borderId="39" xfId="0" applyNumberFormat="1" applyFont="1" applyBorder="1"/>
    <xf numFmtId="3" fontId="0" fillId="0" borderId="25" xfId="0" applyNumberFormat="1" applyFont="1" applyBorder="1"/>
    <xf numFmtId="3" fontId="21" fillId="0" borderId="34" xfId="0" applyNumberFormat="1" applyFont="1" applyBorder="1"/>
    <xf numFmtId="3" fontId="20" fillId="0" borderId="177" xfId="0" applyNumberFormat="1" applyFont="1" applyBorder="1" applyAlignment="1">
      <alignment vertical="center" wrapText="1"/>
    </xf>
    <xf numFmtId="3" fontId="20" fillId="0" borderId="178" xfId="0" applyNumberFormat="1" applyFont="1" applyBorder="1" applyAlignment="1">
      <alignment vertical="center" wrapText="1"/>
    </xf>
    <xf numFmtId="3" fontId="0" fillId="0" borderId="93" xfId="0" applyNumberFormat="1" applyBorder="1"/>
    <xf numFmtId="3" fontId="19" fillId="0" borderId="25" xfId="0" applyNumberFormat="1" applyFont="1" applyFill="1" applyBorder="1"/>
    <xf numFmtId="3" fontId="20" fillId="0" borderId="25" xfId="0" applyNumberFormat="1" applyFont="1" applyBorder="1" applyAlignment="1">
      <alignment vertical="center" wrapText="1"/>
    </xf>
    <xf numFmtId="3" fontId="20" fillId="0" borderId="39" xfId="0" applyNumberFormat="1" applyFont="1" applyBorder="1" applyAlignment="1">
      <alignment vertical="center" wrapText="1"/>
    </xf>
    <xf numFmtId="3" fontId="29" fillId="0" borderId="25" xfId="0" applyNumberFormat="1" applyFont="1" applyFill="1" applyBorder="1"/>
    <xf numFmtId="3" fontId="29" fillId="0" borderId="39" xfId="0" applyNumberFormat="1" applyFont="1" applyBorder="1"/>
    <xf numFmtId="0" fontId="29" fillId="0" borderId="16" xfId="84" applyFont="1" applyBorder="1" applyAlignment="1">
      <alignment wrapText="1"/>
    </xf>
    <xf numFmtId="3" fontId="25" fillId="0" borderId="16" xfId="84" applyNumberFormat="1" applyFont="1" applyBorder="1"/>
    <xf numFmtId="0" fontId="19" fillId="0" borderId="153" xfId="84" applyFont="1" applyBorder="1" applyAlignment="1">
      <alignment wrapText="1"/>
    </xf>
    <xf numFmtId="3" fontId="25" fillId="0" borderId="153" xfId="84" applyNumberFormat="1" applyFont="1" applyBorder="1"/>
    <xf numFmtId="3" fontId="25" fillId="0" borderId="129" xfId="84" applyNumberFormat="1" applyFont="1" applyBorder="1"/>
    <xf numFmtId="3" fontId="0" fillId="0" borderId="43" xfId="0" applyNumberFormat="1" applyBorder="1"/>
    <xf numFmtId="3" fontId="0" fillId="0" borderId="65" xfId="0" applyNumberFormat="1" applyBorder="1"/>
    <xf numFmtId="3" fontId="0" fillId="0" borderId="59" xfId="0" applyNumberFormat="1" applyBorder="1"/>
    <xf numFmtId="3" fontId="0" fillId="0" borderId="49" xfId="0" applyNumberFormat="1" applyBorder="1"/>
    <xf numFmtId="3" fontId="21" fillId="0" borderId="41" xfId="0" applyNumberFormat="1" applyFont="1" applyBorder="1"/>
    <xf numFmtId="3" fontId="24" fillId="0" borderId="41" xfId="84" applyNumberFormat="1" applyFont="1" applyFill="1" applyBorder="1"/>
    <xf numFmtId="3" fontId="19" fillId="0" borderId="75" xfId="74" applyNumberFormat="1" applyFont="1" applyBorder="1"/>
    <xf numFmtId="0" fontId="19" fillId="0" borderId="105" xfId="84" applyFont="1" applyFill="1" applyBorder="1" applyAlignment="1">
      <alignment horizontal="left" wrapText="1" indent="2"/>
    </xf>
    <xf numFmtId="3" fontId="24" fillId="0" borderId="41" xfId="84" applyNumberFormat="1" applyFont="1" applyFill="1" applyBorder="1" applyAlignment="1">
      <alignment horizontal="right" vertical="center" wrapText="1"/>
    </xf>
    <xf numFmtId="0" fontId="20" fillId="0" borderId="41" xfId="73" applyFont="1" applyBorder="1"/>
    <xf numFmtId="3" fontId="24" fillId="0" borderId="41" xfId="71" applyNumberFormat="1" applyFont="1" applyFill="1" applyBorder="1" applyAlignment="1"/>
    <xf numFmtId="3" fontId="24" fillId="0" borderId="156" xfId="71" applyNumberFormat="1" applyFont="1" applyBorder="1" applyAlignment="1"/>
    <xf numFmtId="3" fontId="24" fillId="0" borderId="183" xfId="71" applyNumberFormat="1" applyFont="1" applyBorder="1" applyAlignment="1"/>
    <xf numFmtId="3" fontId="25" fillId="0" borderId="156" xfId="71" applyNumberFormat="1" applyFont="1" applyBorder="1" applyAlignment="1"/>
    <xf numFmtId="0" fontId="25" fillId="0" borderId="186" xfId="71" applyFont="1" applyFill="1" applyBorder="1"/>
    <xf numFmtId="3" fontId="25" fillId="0" borderId="186" xfId="71" applyNumberFormat="1" applyFont="1" applyBorder="1" applyAlignment="1"/>
    <xf numFmtId="3" fontId="24" fillId="0" borderId="186" xfId="71" applyNumberFormat="1" applyFont="1" applyBorder="1" applyAlignment="1"/>
    <xf numFmtId="3" fontId="21" fillId="29" borderId="0" xfId="84" applyNumberFormat="1" applyFont="1" applyFill="1"/>
    <xf numFmtId="3" fontId="19" fillId="0" borderId="74" xfId="74" applyNumberFormat="1" applyFont="1" applyBorder="1"/>
    <xf numFmtId="3" fontId="19" fillId="0" borderId="23" xfId="74" applyNumberFormat="1" applyFont="1" applyBorder="1" applyAlignment="1">
      <alignment wrapText="1"/>
    </xf>
    <xf numFmtId="3" fontId="29" fillId="0" borderId="23" xfId="74" applyNumberFormat="1" applyFont="1" applyBorder="1"/>
    <xf numFmtId="3" fontId="19" fillId="0" borderId="23" xfId="74" applyNumberFormat="1" applyFont="1" applyFill="1" applyBorder="1"/>
    <xf numFmtId="3" fontId="19" fillId="0" borderId="12" xfId="74" applyNumberFormat="1" applyFont="1" applyBorder="1"/>
    <xf numFmtId="3" fontId="19" fillId="0" borderId="14" xfId="74" applyNumberFormat="1" applyFont="1" applyBorder="1"/>
    <xf numFmtId="3" fontId="19" fillId="0" borderId="16" xfId="74" applyNumberFormat="1" applyFont="1" applyBorder="1"/>
    <xf numFmtId="3" fontId="19" fillId="0" borderId="12" xfId="74" applyNumberFormat="1" applyFont="1" applyBorder="1" applyAlignment="1">
      <alignment wrapText="1"/>
    </xf>
    <xf numFmtId="3" fontId="19" fillId="0" borderId="22" xfId="74" applyNumberFormat="1" applyFont="1" applyBorder="1" applyAlignment="1">
      <alignment wrapText="1"/>
    </xf>
    <xf numFmtId="3" fontId="19" fillId="0" borderId="22" xfId="74" applyNumberFormat="1" applyFont="1" applyFill="1" applyBorder="1"/>
    <xf numFmtId="3" fontId="35" fillId="30" borderId="0" xfId="0" applyNumberFormat="1" applyFont="1" applyFill="1"/>
    <xf numFmtId="3" fontId="24" fillId="0" borderId="187" xfId="84" applyNumberFormat="1" applyFont="1" applyFill="1" applyBorder="1" applyAlignment="1">
      <alignment horizontal="right" wrapText="1"/>
    </xf>
    <xf numFmtId="3" fontId="25" fillId="0" borderId="41" xfId="84" applyNumberFormat="1" applyFont="1" applyBorder="1"/>
    <xf numFmtId="0" fontId="29" fillId="0" borderId="0" xfId="93" applyFont="1"/>
    <xf numFmtId="0" fontId="29" fillId="0" borderId="0" xfId="93"/>
    <xf numFmtId="0" fontId="21" fillId="0" borderId="18" xfId="86" applyFont="1" applyBorder="1" applyAlignment="1">
      <alignment horizontal="center"/>
    </xf>
    <xf numFmtId="0" fontId="21" fillId="0" borderId="19" xfId="86" applyFont="1" applyBorder="1" applyAlignment="1">
      <alignment horizontal="center"/>
    </xf>
    <xf numFmtId="0" fontId="49" fillId="0" borderId="18" xfId="86" applyFont="1" applyBorder="1" applyAlignment="1">
      <alignment horizontal="center"/>
    </xf>
    <xf numFmtId="0" fontId="29" fillId="0" borderId="33" xfId="86" applyFont="1" applyBorder="1" applyAlignment="1">
      <alignment horizontal="center"/>
    </xf>
    <xf numFmtId="0" fontId="29" fillId="0" borderId="183" xfId="86" applyFont="1" applyBorder="1" applyAlignment="1">
      <alignment horizontal="center"/>
    </xf>
    <xf numFmtId="0" fontId="21" fillId="0" borderId="183" xfId="86" applyFont="1" applyBorder="1" applyAlignment="1">
      <alignment horizontal="center"/>
    </xf>
    <xf numFmtId="0" fontId="49" fillId="0" borderId="183" xfId="86" applyFont="1" applyBorder="1" applyAlignment="1">
      <alignment horizontal="center"/>
    </xf>
    <xf numFmtId="0" fontId="49" fillId="0" borderId="33" xfId="86" applyFont="1" applyBorder="1" applyAlignment="1">
      <alignment horizontal="center" wrapText="1"/>
    </xf>
    <xf numFmtId="0" fontId="29" fillId="0" borderId="16" xfId="86" applyFont="1" applyBorder="1" applyAlignment="1">
      <alignment horizontal="center"/>
    </xf>
    <xf numFmtId="0" fontId="29" fillId="0" borderId="17" xfId="86" applyFont="1" applyBorder="1" applyAlignment="1">
      <alignment horizontal="center"/>
    </xf>
    <xf numFmtId="0" fontId="21" fillId="0" borderId="17" xfId="86" applyFont="1" applyBorder="1" applyAlignment="1">
      <alignment horizontal="center"/>
    </xf>
    <xf numFmtId="0" fontId="29" fillId="0" borderId="17" xfId="86" applyFont="1" applyBorder="1" applyAlignment="1">
      <alignment horizontal="center" wrapText="1"/>
    </xf>
    <xf numFmtId="0" fontId="49" fillId="0" borderId="17" xfId="86" applyFont="1" applyBorder="1" applyAlignment="1">
      <alignment horizontal="center"/>
    </xf>
    <xf numFmtId="0" fontId="49" fillId="0" borderId="16" xfId="86" applyFont="1" applyBorder="1" applyAlignment="1">
      <alignment wrapText="1"/>
    </xf>
    <xf numFmtId="0" fontId="21" fillId="0" borderId="11" xfId="86" applyFont="1" applyBorder="1" applyAlignment="1">
      <alignment horizontal="center"/>
    </xf>
    <xf numFmtId="0" fontId="21" fillId="0" borderId="15" xfId="86" applyFont="1" applyBorder="1" applyAlignment="1">
      <alignment horizontal="center"/>
    </xf>
    <xf numFmtId="0" fontId="49" fillId="0" borderId="15" xfId="86" applyFont="1" applyBorder="1" applyAlignment="1">
      <alignment horizontal="center"/>
    </xf>
    <xf numFmtId="0" fontId="49" fillId="0" borderId="20" xfId="86" applyFont="1" applyBorder="1" applyAlignment="1">
      <alignment horizontal="center"/>
    </xf>
    <xf numFmtId="0" fontId="21" fillId="0" borderId="11" xfId="93" applyFont="1" applyBorder="1" applyAlignment="1">
      <alignment horizontal="center"/>
    </xf>
    <xf numFmtId="0" fontId="21" fillId="0" borderId="19" xfId="86" applyFont="1" applyBorder="1"/>
    <xf numFmtId="0" fontId="29" fillId="31" borderId="19" xfId="86" applyFont="1" applyFill="1" applyBorder="1"/>
    <xf numFmtId="0" fontId="29" fillId="0" borderId="108" xfId="86" applyFont="1" applyBorder="1"/>
    <xf numFmtId="0" fontId="29" fillId="0" borderId="188" xfId="86" applyFont="1" applyBorder="1"/>
    <xf numFmtId="0" fontId="14" fillId="0" borderId="188" xfId="86" applyFont="1" applyBorder="1"/>
    <xf numFmtId="0" fontId="29" fillId="0" borderId="11" xfId="93" applyFont="1" applyBorder="1"/>
    <xf numFmtId="0" fontId="21" fillId="0" borderId="183" xfId="86" applyFont="1" applyBorder="1"/>
    <xf numFmtId="0" fontId="29" fillId="31" borderId="183" xfId="86" applyFont="1" applyFill="1" applyBorder="1"/>
    <xf numFmtId="0" fontId="29" fillId="0" borderId="183" xfId="86" applyFont="1" applyBorder="1"/>
    <xf numFmtId="0" fontId="14" fillId="0" borderId="183" xfId="86" applyFont="1" applyBorder="1"/>
    <xf numFmtId="0" fontId="14" fillId="0" borderId="0" xfId="86" applyFont="1" applyBorder="1"/>
    <xf numFmtId="0" fontId="29" fillId="0" borderId="11" xfId="86" applyFont="1" applyBorder="1" applyAlignment="1">
      <alignment horizontal="center"/>
    </xf>
    <xf numFmtId="0" fontId="29" fillId="0" borderId="11" xfId="86" applyFont="1" applyBorder="1"/>
    <xf numFmtId="0" fontId="14" fillId="0" borderId="11" xfId="86" applyFont="1" applyBorder="1"/>
    <xf numFmtId="0" fontId="14" fillId="0" borderId="10" xfId="86" applyFont="1" applyBorder="1"/>
    <xf numFmtId="0" fontId="21" fillId="0" borderId="108" xfId="86" applyFont="1" applyBorder="1"/>
    <xf numFmtId="0" fontId="29" fillId="0" borderId="19" xfId="86" applyFont="1" applyBorder="1"/>
    <xf numFmtId="0" fontId="14" fillId="0" borderId="19" xfId="86" applyFont="1" applyBorder="1"/>
    <xf numFmtId="0" fontId="14" fillId="0" borderId="24" xfId="86" applyFont="1" applyBorder="1"/>
    <xf numFmtId="0" fontId="21" fillId="0" borderId="189" xfId="86" applyFont="1" applyBorder="1"/>
    <xf numFmtId="169" fontId="21" fillId="0" borderId="11" xfId="86" applyNumberFormat="1" applyFont="1" applyBorder="1"/>
    <xf numFmtId="0" fontId="29" fillId="0" borderId="16" xfId="93" applyFont="1" applyBorder="1" applyAlignment="1">
      <alignment wrapText="1"/>
    </xf>
    <xf numFmtId="0" fontId="29" fillId="0" borderId="16" xfId="93" applyFont="1" applyBorder="1" applyAlignment="1">
      <alignment horizontal="center"/>
    </xf>
    <xf numFmtId="3" fontId="29" fillId="0" borderId="11" xfId="86" applyNumberFormat="1" applyFont="1" applyBorder="1"/>
    <xf numFmtId="3" fontId="14" fillId="0" borderId="11" xfId="86" applyNumberFormat="1" applyFont="1" applyBorder="1"/>
    <xf numFmtId="169" fontId="49" fillId="0" borderId="11" xfId="86" applyNumberFormat="1" applyFont="1" applyBorder="1"/>
    <xf numFmtId="3" fontId="49" fillId="0" borderId="10" xfId="86" applyNumberFormat="1" applyFont="1" applyBorder="1"/>
    <xf numFmtId="3" fontId="29" fillId="0" borderId="11" xfId="93" applyNumberFormat="1" applyFont="1" applyBorder="1"/>
    <xf numFmtId="0" fontId="29" fillId="0" borderId="11" xfId="93" applyFont="1" applyBorder="1" applyAlignment="1">
      <alignment wrapText="1"/>
    </xf>
    <xf numFmtId="0" fontId="29" fillId="0" borderId="11" xfId="93" applyFont="1" applyBorder="1" applyAlignment="1">
      <alignment horizontal="center"/>
    </xf>
    <xf numFmtId="169" fontId="50" fillId="0" borderId="11" xfId="86" applyNumberFormat="1" applyFont="1" applyBorder="1"/>
    <xf numFmtId="3" fontId="50" fillId="0" borderId="10" xfId="86" applyNumberFormat="1" applyFont="1" applyBorder="1"/>
    <xf numFmtId="0" fontId="21" fillId="0" borderId="11" xfId="93" applyFont="1" applyBorder="1" applyAlignment="1">
      <alignment wrapText="1"/>
    </xf>
    <xf numFmtId="3" fontId="21" fillId="0" borderId="11" xfId="86" applyNumberFormat="1" applyFont="1" applyBorder="1"/>
    <xf numFmtId="0" fontId="21" fillId="0" borderId="0" xfId="93" applyFont="1"/>
    <xf numFmtId="0" fontId="29" fillId="0" borderId="18" xfId="93" applyFont="1" applyBorder="1" applyAlignment="1">
      <alignment horizontal="center"/>
    </xf>
    <xf numFmtId="3" fontId="14" fillId="0" borderId="10" xfId="86" applyNumberFormat="1" applyFont="1" applyBorder="1"/>
    <xf numFmtId="3" fontId="49" fillId="0" borderId="11" xfId="86" applyNumberFormat="1" applyFont="1" applyBorder="1"/>
    <xf numFmtId="0" fontId="21" fillId="0" borderId="11" xfId="86" applyFont="1" applyBorder="1"/>
    <xf numFmtId="0" fontId="29" fillId="31" borderId="11" xfId="86" applyFont="1" applyFill="1" applyBorder="1"/>
    <xf numFmtId="0" fontId="29" fillId="0" borderId="11" xfId="86" applyFont="1" applyBorder="1" applyAlignment="1">
      <alignment horizontal="left" wrapText="1"/>
    </xf>
    <xf numFmtId="3" fontId="29" fillId="0" borderId="11" xfId="86" applyNumberFormat="1" applyFont="1" applyBorder="1" applyAlignment="1">
      <alignment horizontal="right" wrapText="1"/>
    </xf>
    <xf numFmtId="3" fontId="14" fillId="0" borderId="11" xfId="86" applyNumberFormat="1" applyFont="1" applyBorder="1" applyAlignment="1">
      <alignment horizontal="right"/>
    </xf>
    <xf numFmtId="169" fontId="14" fillId="0" borderId="11" xfId="86" applyNumberFormat="1" applyFont="1" applyBorder="1"/>
    <xf numFmtId="0" fontId="29" fillId="0" borderId="11" xfId="86" applyFont="1" applyBorder="1" applyAlignment="1">
      <alignment wrapText="1"/>
    </xf>
    <xf numFmtId="0" fontId="29" fillId="0" borderId="11" xfId="86" applyFont="1" applyFill="1" applyBorder="1" applyAlignment="1">
      <alignment horizontal="center"/>
    </xf>
    <xf numFmtId="0" fontId="29" fillId="0" borderId="11" xfId="86" applyFont="1" applyFill="1" applyBorder="1" applyAlignment="1">
      <alignment horizontal="left" wrapText="1"/>
    </xf>
    <xf numFmtId="3" fontId="29" fillId="0" borderId="11" xfId="86" applyNumberFormat="1" applyFont="1" applyFill="1" applyBorder="1" applyAlignment="1">
      <alignment horizontal="right" wrapText="1"/>
    </xf>
    <xf numFmtId="3" fontId="14" fillId="0" borderId="11" xfId="86" applyNumberFormat="1" applyFont="1" applyFill="1" applyBorder="1" applyAlignment="1">
      <alignment horizontal="right"/>
    </xf>
    <xf numFmtId="169" fontId="14" fillId="0" borderId="11" xfId="86" applyNumberFormat="1" applyFont="1" applyFill="1" applyBorder="1"/>
    <xf numFmtId="3" fontId="14" fillId="0" borderId="10" xfId="86" applyNumberFormat="1" applyFont="1" applyFill="1" applyBorder="1"/>
    <xf numFmtId="3" fontId="29" fillId="0" borderId="11" xfId="86" applyNumberFormat="1" applyFont="1" applyFill="1" applyBorder="1"/>
    <xf numFmtId="0" fontId="29" fillId="0" borderId="0" xfId="93" applyFont="1" applyFill="1"/>
    <xf numFmtId="0" fontId="0" fillId="0" borderId="0" xfId="0" applyFill="1"/>
    <xf numFmtId="3" fontId="29" fillId="0" borderId="11" xfId="86" applyNumberFormat="1" applyFont="1" applyBorder="1" applyAlignment="1">
      <alignment wrapText="1"/>
    </xf>
    <xf numFmtId="3" fontId="14" fillId="0" borderId="11" xfId="86" applyNumberFormat="1" applyFont="1" applyBorder="1" applyAlignment="1"/>
    <xf numFmtId="0" fontId="29" fillId="0" borderId="16" xfId="93" applyFont="1" applyFill="1" applyBorder="1" applyAlignment="1">
      <alignment wrapText="1"/>
    </xf>
    <xf numFmtId="0" fontId="29" fillId="0" borderId="16" xfId="93" applyFont="1" applyFill="1" applyBorder="1" applyAlignment="1">
      <alignment horizontal="center"/>
    </xf>
    <xf numFmtId="3" fontId="29" fillId="0" borderId="16" xfId="93" applyNumberFormat="1" applyFont="1" applyFill="1" applyBorder="1"/>
    <xf numFmtId="3" fontId="29" fillId="0" borderId="16" xfId="93" applyNumberFormat="1" applyFont="1" applyFill="1" applyBorder="1" applyAlignment="1">
      <alignment horizontal="right"/>
    </xf>
    <xf numFmtId="0" fontId="29" fillId="0" borderId="11" xfId="93" applyFont="1" applyFill="1" applyBorder="1" applyAlignment="1">
      <alignment wrapText="1"/>
    </xf>
    <xf numFmtId="169" fontId="29" fillId="0" borderId="11" xfId="86" applyNumberFormat="1" applyFont="1" applyFill="1" applyBorder="1"/>
    <xf numFmtId="3" fontId="29" fillId="0" borderId="16" xfId="93" applyNumberFormat="1" applyFont="1" applyBorder="1"/>
    <xf numFmtId="3" fontId="29" fillId="0" borderId="16" xfId="93" applyNumberFormat="1" applyFont="1" applyBorder="1" applyAlignment="1">
      <alignment horizontal="right"/>
    </xf>
    <xf numFmtId="0" fontId="29" fillId="0" borderId="11" xfId="86" applyFont="1" applyFill="1" applyBorder="1" applyAlignment="1">
      <alignment wrapText="1"/>
    </xf>
    <xf numFmtId="0" fontId="29" fillId="29" borderId="11" xfId="86" applyFont="1" applyFill="1" applyBorder="1" applyAlignment="1">
      <alignment horizontal="center"/>
    </xf>
    <xf numFmtId="169" fontId="29" fillId="0" borderId="11" xfId="86" applyNumberFormat="1" applyFont="1" applyBorder="1"/>
    <xf numFmtId="0" fontId="19" fillId="0" borderId="0" xfId="93" applyFont="1"/>
    <xf numFmtId="0" fontId="19" fillId="0" borderId="11" xfId="86" applyFont="1" applyBorder="1" applyAlignment="1">
      <alignment horizontal="center"/>
    </xf>
    <xf numFmtId="0" fontId="19" fillId="0" borderId="11" xfId="86" applyFont="1" applyBorder="1" applyAlignment="1">
      <alignment wrapText="1"/>
    </xf>
    <xf numFmtId="0" fontId="19" fillId="29" borderId="11" xfId="86" applyFont="1" applyFill="1" applyBorder="1" applyAlignment="1">
      <alignment horizontal="center"/>
    </xf>
    <xf numFmtId="169" fontId="19" fillId="0" borderId="11" xfId="86" applyNumberFormat="1" applyFont="1" applyBorder="1"/>
    <xf numFmtId="169" fontId="51" fillId="0" borderId="11" xfId="86" applyNumberFormat="1" applyFont="1" applyBorder="1"/>
    <xf numFmtId="3" fontId="51" fillId="0" borderId="10" xfId="86" applyNumberFormat="1" applyFont="1" applyBorder="1"/>
    <xf numFmtId="3" fontId="19" fillId="0" borderId="11" xfId="86" applyNumberFormat="1" applyFont="1" applyBorder="1"/>
    <xf numFmtId="0" fontId="19" fillId="0" borderId="22" xfId="0" applyFont="1" applyBorder="1" applyAlignment="1">
      <alignment horizontal="center"/>
    </xf>
    <xf numFmtId="0" fontId="19" fillId="0" borderId="22" xfId="0" applyFont="1" applyBorder="1" applyAlignment="1">
      <alignment wrapText="1"/>
    </xf>
    <xf numFmtId="3" fontId="51" fillId="0" borderId="22" xfId="86" applyNumberFormat="1" applyFont="1" applyBorder="1"/>
    <xf numFmtId="0" fontId="19" fillId="0" borderId="16" xfId="86" applyFont="1" applyBorder="1" applyAlignment="1">
      <alignment horizontal="center"/>
    </xf>
    <xf numFmtId="0" fontId="19" fillId="0" borderId="16" xfId="86" applyFont="1" applyBorder="1" applyAlignment="1">
      <alignment wrapText="1"/>
    </xf>
    <xf numFmtId="0" fontId="19" fillId="29" borderId="16" xfId="86" applyFont="1" applyFill="1" applyBorder="1" applyAlignment="1">
      <alignment horizontal="center"/>
    </xf>
    <xf numFmtId="169" fontId="19" fillId="0" borderId="16" xfId="86" applyNumberFormat="1" applyFont="1" applyBorder="1"/>
    <xf numFmtId="169" fontId="51" fillId="0" borderId="16" xfId="86" applyNumberFormat="1" applyFont="1" applyBorder="1"/>
    <xf numFmtId="3" fontId="51" fillId="0" borderId="12" xfId="86" applyNumberFormat="1" applyFont="1" applyBorder="1"/>
    <xf numFmtId="3" fontId="19" fillId="0" borderId="16" xfId="86" applyNumberFormat="1" applyFont="1" applyBorder="1"/>
    <xf numFmtId="169" fontId="29" fillId="0" borderId="0" xfId="93" applyNumberFormat="1"/>
    <xf numFmtId="0" fontId="29" fillId="0" borderId="0" xfId="95"/>
    <xf numFmtId="0" fontId="29" fillId="0" borderId="0" xfId="95" applyAlignment="1">
      <alignment horizontal="center"/>
    </xf>
    <xf numFmtId="0" fontId="49" fillId="0" borderId="18" xfId="95" applyFont="1" applyBorder="1" applyAlignment="1">
      <alignment horizontal="center"/>
    </xf>
    <xf numFmtId="0" fontId="49" fillId="0" borderId="19" xfId="95" applyFont="1" applyBorder="1" applyAlignment="1">
      <alignment horizontal="center"/>
    </xf>
    <xf numFmtId="0" fontId="14" fillId="0" borderId="33" xfId="95" applyFont="1" applyBorder="1" applyAlignment="1">
      <alignment horizontal="center"/>
    </xf>
    <xf numFmtId="0" fontId="49" fillId="0" borderId="33" xfId="95" applyFont="1" applyBorder="1" applyAlignment="1">
      <alignment horizontal="center"/>
    </xf>
    <xf numFmtId="0" fontId="49" fillId="0" borderId="183" xfId="95" applyFont="1" applyBorder="1" applyAlignment="1">
      <alignment horizontal="center"/>
    </xf>
    <xf numFmtId="0" fontId="49" fillId="0" borderId="183" xfId="95" applyFont="1" applyBorder="1" applyAlignment="1">
      <alignment horizontal="center" wrapText="1"/>
    </xf>
    <xf numFmtId="0" fontId="14" fillId="0" borderId="16" xfId="95" applyFont="1" applyBorder="1" applyAlignment="1">
      <alignment horizontal="center"/>
    </xf>
    <xf numFmtId="0" fontId="49" fillId="0" borderId="17" xfId="95" applyFont="1" applyBorder="1" applyAlignment="1">
      <alignment horizontal="center"/>
    </xf>
    <xf numFmtId="0" fontId="14" fillId="0" borderId="17" xfId="95" applyFont="1" applyBorder="1" applyAlignment="1">
      <alignment horizontal="center"/>
    </xf>
    <xf numFmtId="0" fontId="49" fillId="0" borderId="11" xfId="95" applyFont="1" applyBorder="1" applyAlignment="1">
      <alignment horizontal="center"/>
    </xf>
    <xf numFmtId="0" fontId="49" fillId="0" borderId="11" xfId="95" applyFont="1" applyBorder="1" applyAlignment="1">
      <alignment wrapText="1"/>
    </xf>
    <xf numFmtId="0" fontId="14" fillId="31" borderId="11" xfId="95" applyFont="1" applyFill="1" applyBorder="1"/>
    <xf numFmtId="0" fontId="14" fillId="0" borderId="11" xfId="95" applyFont="1" applyBorder="1"/>
    <xf numFmtId="0" fontId="49" fillId="0" borderId="16" xfId="95" applyFont="1" applyBorder="1" applyAlignment="1">
      <alignment horizontal="center"/>
    </xf>
    <xf numFmtId="0" fontId="29" fillId="0" borderId="16" xfId="95" applyBorder="1"/>
    <xf numFmtId="0" fontId="14" fillId="0" borderId="16" xfId="95" applyFont="1" applyBorder="1"/>
    <xf numFmtId="0" fontId="49" fillId="0" borderId="11" xfId="95" applyFont="1" applyFill="1" applyBorder="1"/>
    <xf numFmtId="0" fontId="29" fillId="0" borderId="11" xfId="95" applyBorder="1"/>
    <xf numFmtId="0" fontId="14" fillId="0" borderId="18" xfId="95" applyFont="1" applyBorder="1"/>
    <xf numFmtId="3" fontId="49" fillId="0" borderId="11" xfId="95" applyNumberFormat="1" applyFont="1" applyBorder="1"/>
    <xf numFmtId="3" fontId="14" fillId="0" borderId="16" xfId="95" applyNumberFormat="1" applyFont="1" applyBorder="1"/>
    <xf numFmtId="3" fontId="14" fillId="0" borderId="11" xfId="95" applyNumberFormat="1" applyFont="1" applyBorder="1"/>
    <xf numFmtId="0" fontId="49" fillId="0" borderId="18" xfId="95" applyFont="1" applyFill="1" applyBorder="1"/>
    <xf numFmtId="3" fontId="49" fillId="0" borderId="18" xfId="95" applyNumberFormat="1" applyFont="1" applyBorder="1"/>
    <xf numFmtId="0" fontId="49" fillId="0" borderId="11" xfId="95" applyFont="1" applyBorder="1"/>
    <xf numFmtId="0" fontId="29" fillId="0" borderId="0" xfId="95" applyBorder="1"/>
    <xf numFmtId="3" fontId="14" fillId="0" borderId="18" xfId="95" applyNumberFormat="1" applyFont="1" applyBorder="1"/>
    <xf numFmtId="0" fontId="21" fillId="0" borderId="11" xfId="95" applyFont="1" applyBorder="1" applyAlignment="1">
      <alignment horizontal="center"/>
    </xf>
    <xf numFmtId="3" fontId="21" fillId="0" borderId="11" xfId="95" applyNumberFormat="1" applyFont="1" applyBorder="1"/>
    <xf numFmtId="0" fontId="29" fillId="0" borderId="0" xfId="96"/>
    <xf numFmtId="0" fontId="53" fillId="0" borderId="177" xfId="97" applyFont="1" applyBorder="1" applyAlignment="1">
      <alignment horizontal="center"/>
    </xf>
    <xf numFmtId="0" fontId="53" fillId="0" borderId="185" xfId="97" applyFont="1" applyBorder="1" applyAlignment="1">
      <alignment horizontal="center"/>
    </xf>
    <xf numFmtId="0" fontId="53" fillId="0" borderId="147" xfId="97" applyFont="1" applyBorder="1" applyAlignment="1">
      <alignment horizontal="center"/>
    </xf>
    <xf numFmtId="0" fontId="54" fillId="0" borderId="90" xfId="97" applyFont="1" applyBorder="1"/>
    <xf numFmtId="0" fontId="54" fillId="0" borderId="97" xfId="97" applyFont="1" applyBorder="1"/>
    <xf numFmtId="0" fontId="55" fillId="0" borderId="97" xfId="97" applyFont="1" applyBorder="1" applyAlignment="1">
      <alignment horizontal="center"/>
    </xf>
    <xf numFmtId="0" fontId="53" fillId="0" borderId="97" xfId="97" applyFont="1" applyBorder="1" applyAlignment="1">
      <alignment horizontal="center"/>
    </xf>
    <xf numFmtId="0" fontId="53" fillId="0" borderId="67" xfId="97" applyFont="1" applyBorder="1" applyAlignment="1">
      <alignment horizontal="center"/>
    </xf>
    <xf numFmtId="0" fontId="53" fillId="0" borderId="190" xfId="97" applyFont="1" applyBorder="1" applyAlignment="1">
      <alignment horizontal="center"/>
    </xf>
    <xf numFmtId="0" fontId="53" fillId="0" borderId="191" xfId="97" applyFont="1" applyBorder="1" applyAlignment="1">
      <alignment horizontal="center"/>
    </xf>
    <xf numFmtId="0" fontId="53" fillId="0" borderId="80" xfId="97" applyFont="1" applyBorder="1" applyAlignment="1">
      <alignment horizontal="center"/>
    </xf>
    <xf numFmtId="0" fontId="49" fillId="0" borderId="25" xfId="97" applyFont="1" applyBorder="1" applyAlignment="1">
      <alignment horizontal="center"/>
    </xf>
    <xf numFmtId="0" fontId="49" fillId="0" borderId="22" xfId="97" applyFont="1" applyBorder="1" applyAlignment="1">
      <alignment wrapText="1"/>
    </xf>
    <xf numFmtId="0" fontId="49" fillId="0" borderId="22" xfId="97" applyFont="1" applyBorder="1"/>
    <xf numFmtId="169" fontId="56" fillId="0" borderId="22" xfId="97" applyNumberFormat="1" applyFont="1" applyBorder="1" applyAlignment="1">
      <alignment horizontal="right"/>
    </xf>
    <xf numFmtId="169" fontId="56" fillId="0" borderId="39" xfId="97" applyNumberFormat="1" applyFont="1" applyBorder="1" applyAlignment="1">
      <alignment horizontal="right"/>
    </xf>
    <xf numFmtId="0" fontId="14" fillId="0" borderId="25" xfId="97" applyFont="1" applyBorder="1" applyAlignment="1">
      <alignment horizontal="center"/>
    </xf>
    <xf numFmtId="0" fontId="14" fillId="0" borderId="22" xfId="97" applyFont="1" applyBorder="1"/>
    <xf numFmtId="169" fontId="50" fillId="0" borderId="22" xfId="97" applyNumberFormat="1" applyFont="1" applyBorder="1" applyAlignment="1">
      <alignment horizontal="right"/>
    </xf>
    <xf numFmtId="169" fontId="50" fillId="0" borderId="39" xfId="97" applyNumberFormat="1" applyFont="1" applyBorder="1" applyAlignment="1">
      <alignment horizontal="right"/>
    </xf>
    <xf numFmtId="0" fontId="56" fillId="0" borderId="25" xfId="97" applyFont="1" applyBorder="1" applyAlignment="1">
      <alignment horizontal="center" wrapText="1"/>
    </xf>
    <xf numFmtId="0" fontId="56" fillId="0" borderId="22" xfId="97" applyFont="1" applyBorder="1" applyAlignment="1">
      <alignment wrapText="1"/>
    </xf>
    <xf numFmtId="0" fontId="56" fillId="0" borderId="63" xfId="97" applyFont="1" applyBorder="1" applyAlignment="1">
      <alignment wrapText="1"/>
    </xf>
    <xf numFmtId="0" fontId="56" fillId="0" borderId="63" xfId="97" applyFont="1" applyBorder="1"/>
    <xf numFmtId="169" fontId="56" fillId="0" borderId="63" xfId="97" applyNumberFormat="1" applyFont="1" applyBorder="1"/>
    <xf numFmtId="0" fontId="29" fillId="0" borderId="22" xfId="96" applyBorder="1"/>
    <xf numFmtId="0" fontId="50" fillId="0" borderId="22" xfId="97" applyFont="1" applyBorder="1"/>
    <xf numFmtId="3" fontId="57" fillId="29" borderId="11" xfId="84" applyNumberFormat="1" applyFont="1" applyFill="1" applyBorder="1" applyAlignment="1">
      <alignment horizontal="right" wrapText="1"/>
    </xf>
    <xf numFmtId="0" fontId="50" fillId="0" borderId="22" xfId="97" applyFont="1" applyBorder="1" applyAlignment="1">
      <alignment wrapText="1"/>
    </xf>
    <xf numFmtId="3" fontId="57" fillId="29" borderId="14" xfId="84" applyNumberFormat="1" applyFont="1" applyFill="1" applyBorder="1" applyAlignment="1">
      <alignment horizontal="right" wrapText="1"/>
    </xf>
    <xf numFmtId="0" fontId="56" fillId="0" borderId="43" xfId="97" applyFont="1" applyBorder="1" applyAlignment="1">
      <alignment horizontal="center" wrapText="1"/>
    </xf>
    <xf numFmtId="0" fontId="56" fillId="0" borderId="52" xfId="97" applyFont="1" applyBorder="1" applyAlignment="1">
      <alignment wrapText="1"/>
    </xf>
    <xf numFmtId="0" fontId="14" fillId="0" borderId="52" xfId="97" applyFont="1" applyBorder="1"/>
    <xf numFmtId="169" fontId="50" fillId="0" borderId="52" xfId="97" applyNumberFormat="1" applyFont="1" applyBorder="1" applyAlignment="1">
      <alignment horizontal="right"/>
    </xf>
    <xf numFmtId="169" fontId="50" fillId="0" borderId="65" xfId="97" applyNumberFormat="1" applyFont="1" applyBorder="1" applyAlignment="1">
      <alignment horizontal="right"/>
    </xf>
    <xf numFmtId="0" fontId="49" fillId="0" borderId="78" xfId="97" applyFont="1" applyBorder="1" applyAlignment="1">
      <alignment horizontal="center"/>
    </xf>
    <xf numFmtId="0" fontId="49" fillId="0" borderId="46" xfId="97" applyFont="1" applyBorder="1"/>
    <xf numFmtId="3" fontId="49" fillId="0" borderId="46" xfId="97" applyNumberFormat="1" applyFont="1" applyBorder="1" applyAlignment="1">
      <alignment horizontal="right"/>
    </xf>
    <xf numFmtId="3" fontId="49" fillId="0" borderId="45" xfId="97" applyNumberFormat="1" applyFont="1" applyBorder="1" applyAlignment="1">
      <alignment horizontal="right"/>
    </xf>
    <xf numFmtId="0" fontId="19" fillId="0" borderId="0" xfId="95" applyFont="1" applyBorder="1"/>
    <xf numFmtId="3" fontId="19" fillId="0" borderId="0" xfId="95" applyNumberFormat="1" applyFont="1" applyBorder="1"/>
    <xf numFmtId="3" fontId="20" fillId="0" borderId="0" xfId="95" applyNumberFormat="1" applyFont="1"/>
    <xf numFmtId="0" fontId="20" fillId="0" borderId="0" xfId="95" applyFont="1"/>
    <xf numFmtId="0" fontId="19" fillId="0" borderId="0" xfId="95" applyFont="1"/>
    <xf numFmtId="0" fontId="23" fillId="28" borderId="0" xfId="95" applyFont="1" applyFill="1" applyAlignment="1"/>
    <xf numFmtId="3" fontId="23" fillId="0" borderId="0" xfId="95" applyNumberFormat="1" applyFont="1" applyFill="1" applyAlignment="1"/>
    <xf numFmtId="0" fontId="19" fillId="0" borderId="0" xfId="95" applyFont="1" applyFill="1" applyBorder="1" applyAlignment="1"/>
    <xf numFmtId="0" fontId="19" fillId="0" borderId="0" xfId="95" applyFont="1" applyFill="1" applyAlignment="1"/>
    <xf numFmtId="0" fontId="23" fillId="0" borderId="21" xfId="95" applyFont="1" applyFill="1" applyBorder="1" applyAlignment="1"/>
    <xf numFmtId="0" fontId="58" fillId="0" borderId="11" xfId="95" applyFont="1" applyFill="1" applyBorder="1"/>
    <xf numFmtId="3" fontId="23" fillId="0" borderId="11" xfId="95" applyNumberFormat="1" applyFont="1" applyFill="1" applyBorder="1" applyAlignment="1">
      <alignment horizontal="right"/>
    </xf>
    <xf numFmtId="0" fontId="23" fillId="0" borderId="11" xfId="95" applyFont="1" applyFill="1" applyBorder="1" applyAlignment="1">
      <alignment horizontal="right"/>
    </xf>
    <xf numFmtId="0" fontId="19" fillId="0" borderId="11" xfId="95" applyFont="1" applyFill="1" applyBorder="1"/>
    <xf numFmtId="3" fontId="19" fillId="0" borderId="11" xfId="95" applyNumberFormat="1" applyFont="1" applyFill="1" applyBorder="1"/>
    <xf numFmtId="0" fontId="23" fillId="0" borderId="11" xfId="95" applyFont="1" applyFill="1" applyBorder="1"/>
    <xf numFmtId="3" fontId="23" fillId="0" borderId="11" xfId="95" applyNumberFormat="1" applyFont="1" applyFill="1" applyBorder="1"/>
    <xf numFmtId="0" fontId="19" fillId="0" borderId="20" xfId="95" applyFont="1" applyFill="1" applyBorder="1" applyAlignment="1"/>
    <xf numFmtId="3" fontId="19" fillId="0" borderId="0" xfId="95" applyNumberFormat="1" applyFont="1"/>
    <xf numFmtId="0" fontId="19" fillId="0" borderId="21" xfId="95" applyFont="1" applyFill="1" applyBorder="1" applyAlignment="1"/>
    <xf numFmtId="3" fontId="29" fillId="0" borderId="0" xfId="95" applyNumberFormat="1"/>
    <xf numFmtId="0" fontId="29" fillId="0" borderId="0" xfId="94" applyFont="1"/>
    <xf numFmtId="0" fontId="25" fillId="0" borderId="0" xfId="94" applyFont="1" applyAlignment="1">
      <alignment horizontal="justify" wrapText="1"/>
    </xf>
    <xf numFmtId="0" fontId="29" fillId="0" borderId="0" xfId="94" applyFont="1" applyAlignment="1">
      <alignment wrapText="1"/>
    </xf>
    <xf numFmtId="0" fontId="23" fillId="0" borderId="18" xfId="94" applyFont="1" applyBorder="1" applyAlignment="1">
      <alignment horizontal="left" wrapText="1"/>
    </xf>
    <xf numFmtId="0" fontId="23" fillId="0" borderId="18" xfId="94" applyFont="1" applyBorder="1" applyAlignment="1">
      <alignment horizontal="left"/>
    </xf>
    <xf numFmtId="0" fontId="20" fillId="0" borderId="11" xfId="94" applyFont="1" applyBorder="1" applyAlignment="1">
      <alignment horizontal="right"/>
    </xf>
    <xf numFmtId="0" fontId="19" fillId="0" borderId="11" xfId="94" applyFont="1" applyBorder="1" applyAlignment="1">
      <alignment wrapText="1"/>
    </xf>
    <xf numFmtId="0" fontId="19" fillId="0" borderId="11" xfId="94" applyFont="1" applyBorder="1" applyAlignment="1"/>
    <xf numFmtId="0" fontId="19" fillId="0" borderId="22" xfId="94" applyFont="1" applyBorder="1"/>
    <xf numFmtId="0" fontId="19" fillId="0" borderId="11" xfId="94" applyFont="1" applyBorder="1"/>
    <xf numFmtId="0" fontId="20" fillId="0" borderId="11" xfId="94" applyFont="1" applyBorder="1" applyAlignment="1">
      <alignment wrapText="1"/>
    </xf>
    <xf numFmtId="0" fontId="20" fillId="0" borderId="11" xfId="94" applyFont="1" applyBorder="1" applyAlignment="1"/>
    <xf numFmtId="1" fontId="20" fillId="0" borderId="11" xfId="94" applyNumberFormat="1" applyFont="1" applyBorder="1"/>
    <xf numFmtId="0" fontId="21" fillId="0" borderId="0" xfId="94" applyFont="1"/>
    <xf numFmtId="0" fontId="19" fillId="0" borderId="0" xfId="94" applyFont="1" applyAlignment="1">
      <alignment wrapText="1"/>
    </xf>
    <xf numFmtId="0" fontId="19" fillId="0" borderId="0" xfId="94" applyFont="1"/>
    <xf numFmtId="3" fontId="29" fillId="0" borderId="0" xfId="94" applyNumberFormat="1" applyFont="1"/>
    <xf numFmtId="0" fontId="20" fillId="0" borderId="93" xfId="94" applyFont="1" applyBorder="1" applyAlignment="1">
      <alignment wrapText="1"/>
    </xf>
    <xf numFmtId="0" fontId="20" fillId="0" borderId="53" xfId="94" applyFont="1" applyBorder="1" applyAlignment="1">
      <alignment horizontal="center" wrapText="1"/>
    </xf>
    <xf numFmtId="0" fontId="20" fillId="0" borderId="53" xfId="94" applyFont="1" applyBorder="1" applyAlignment="1">
      <alignment horizontal="right"/>
    </xf>
    <xf numFmtId="0" fontId="20" fillId="0" borderId="60" xfId="94" applyFont="1" applyBorder="1" applyAlignment="1">
      <alignment horizontal="right"/>
    </xf>
    <xf numFmtId="0" fontId="19" fillId="0" borderId="25" xfId="94" applyFont="1" applyBorder="1" applyAlignment="1">
      <alignment wrapText="1"/>
    </xf>
    <xf numFmtId="0" fontId="19" fillId="0" borderId="22" xfId="94" applyFont="1" applyBorder="1" applyAlignment="1">
      <alignment horizontal="center"/>
    </xf>
    <xf numFmtId="3" fontId="19" fillId="0" borderId="22" xfId="94" applyNumberFormat="1" applyFont="1" applyBorder="1"/>
    <xf numFmtId="3" fontId="19" fillId="0" borderId="39" xfId="94" applyNumberFormat="1" applyFont="1" applyBorder="1"/>
    <xf numFmtId="0" fontId="29" fillId="0" borderId="39" xfId="94" applyFont="1" applyBorder="1"/>
    <xf numFmtId="0" fontId="23" fillId="0" borderId="34" xfId="94" applyFont="1" applyBorder="1" applyAlignment="1">
      <alignment wrapText="1"/>
    </xf>
    <xf numFmtId="0" fontId="23" fillId="0" borderId="35" xfId="94" applyFont="1" applyBorder="1" applyAlignment="1">
      <alignment horizontal="center"/>
    </xf>
    <xf numFmtId="3" fontId="23" fillId="0" borderId="35" xfId="94" applyNumberFormat="1" applyFont="1" applyBorder="1"/>
    <xf numFmtId="3" fontId="23" fillId="0" borderId="41" xfId="94" applyNumberFormat="1" applyFont="1" applyBorder="1"/>
    <xf numFmtId="0" fontId="25" fillId="0" borderId="0" xfId="0" applyFont="1"/>
    <xf numFmtId="3" fontId="25" fillId="0" borderId="0" xfId="0" applyNumberFormat="1" applyFont="1"/>
    <xf numFmtId="3" fontId="25" fillId="0" borderId="0" xfId="0" applyNumberFormat="1" applyFont="1" applyAlignment="1">
      <alignment horizontal="right"/>
    </xf>
    <xf numFmtId="0" fontId="24" fillId="0" borderId="11" xfId="0" applyFont="1" applyBorder="1" applyAlignment="1">
      <alignment horizontal="center"/>
    </xf>
    <xf numFmtId="3" fontId="24" fillId="0" borderId="11" xfId="0" applyNumberFormat="1" applyFont="1" applyBorder="1" applyAlignment="1">
      <alignment horizontal="center"/>
    </xf>
    <xf numFmtId="0" fontId="25" fillId="0" borderId="11" xfId="0" applyFont="1" applyBorder="1"/>
    <xf numFmtId="3" fontId="25" fillId="0" borderId="11" xfId="0" applyNumberFormat="1" applyFont="1" applyBorder="1"/>
    <xf numFmtId="0" fontId="24" fillId="0" borderId="11" xfId="0" applyFont="1" applyBorder="1"/>
    <xf numFmtId="3" fontId="24" fillId="0" borderId="11" xfId="0" applyNumberFormat="1" applyFont="1" applyBorder="1"/>
    <xf numFmtId="0" fontId="25" fillId="0" borderId="18" xfId="0" applyFont="1" applyBorder="1"/>
    <xf numFmtId="3" fontId="25" fillId="0" borderId="18" xfId="0" applyNumberFormat="1" applyFont="1" applyBorder="1"/>
    <xf numFmtId="0" fontId="24" fillId="0" borderId="16" xfId="0" applyFont="1" applyBorder="1" applyAlignment="1">
      <alignment horizontal="left"/>
    </xf>
    <xf numFmtId="3" fontId="25" fillId="0" borderId="16" xfId="0" applyNumberFormat="1" applyFont="1" applyBorder="1" applyAlignment="1">
      <alignment horizontal="right"/>
    </xf>
    <xf numFmtId="3" fontId="25" fillId="0" borderId="11" xfId="0" applyNumberFormat="1" applyFont="1" applyBorder="1" applyAlignment="1">
      <alignment horizontal="right"/>
    </xf>
    <xf numFmtId="3" fontId="25" fillId="0" borderId="18" xfId="0" applyNumberFormat="1" applyFont="1" applyBorder="1" applyAlignment="1">
      <alignment horizontal="right"/>
    </xf>
    <xf numFmtId="0" fontId="0" fillId="0" borderId="14" xfId="0" applyBorder="1" applyAlignment="1"/>
    <xf numFmtId="0" fontId="0" fillId="0" borderId="0" xfId="0" applyAlignment="1"/>
    <xf numFmtId="0" fontId="24" fillId="0" borderId="18" xfId="0" applyFont="1" applyBorder="1"/>
    <xf numFmtId="0" fontId="25" fillId="32" borderId="11" xfId="0" applyFont="1" applyFill="1" applyBorder="1"/>
    <xf numFmtId="0" fontId="21" fillId="29" borderId="180" xfId="84" applyFont="1" applyFill="1" applyBorder="1" applyAlignment="1">
      <alignment horizontal="center" vertical="center" wrapText="1"/>
    </xf>
    <xf numFmtId="0" fontId="21" fillId="29" borderId="181" xfId="84" applyFont="1" applyFill="1" applyBorder="1" applyAlignment="1">
      <alignment horizontal="center" vertical="center" wrapText="1"/>
    </xf>
    <xf numFmtId="0" fontId="21" fillId="29" borderId="182" xfId="84" applyFont="1" applyFill="1" applyBorder="1" applyAlignment="1">
      <alignment horizontal="center" vertical="center" wrapText="1"/>
    </xf>
    <xf numFmtId="0" fontId="21" fillId="29" borderId="155" xfId="84" applyFont="1" applyFill="1" applyBorder="1" applyAlignment="1">
      <alignment horizontal="center" vertical="center" wrapText="1"/>
    </xf>
    <xf numFmtId="0" fontId="21" fillId="29" borderId="183" xfId="84" applyFont="1" applyFill="1" applyBorder="1" applyAlignment="1">
      <alignment horizontal="center" vertical="center" wrapText="1"/>
    </xf>
    <xf numFmtId="0" fontId="21" fillId="29" borderId="14" xfId="84" applyFont="1" applyFill="1" applyBorder="1" applyAlignment="1">
      <alignment horizontal="center" vertical="center" wrapText="1"/>
    </xf>
    <xf numFmtId="0" fontId="21" fillId="29" borderId="40" xfId="84" applyFont="1" applyFill="1" applyBorder="1" applyAlignment="1">
      <alignment horizontal="center" vertical="center" wrapText="1"/>
    </xf>
    <xf numFmtId="0" fontId="21" fillId="29" borderId="48" xfId="84" applyFont="1" applyFill="1" applyBorder="1" applyAlignment="1">
      <alignment horizontal="center" vertical="center" wrapText="1"/>
    </xf>
    <xf numFmtId="0" fontId="21" fillId="29" borderId="73" xfId="84" applyFont="1" applyFill="1" applyBorder="1" applyAlignment="1">
      <alignment horizontal="center" vertical="center" wrapText="1"/>
    </xf>
    <xf numFmtId="0" fontId="21" fillId="29" borderId="72" xfId="84" applyFont="1" applyFill="1" applyBorder="1" applyAlignment="1">
      <alignment horizontal="center" vertical="center" wrapText="1"/>
    </xf>
    <xf numFmtId="0" fontId="21" fillId="29" borderId="149" xfId="84" applyFont="1" applyFill="1" applyBorder="1" applyAlignment="1">
      <alignment horizontal="center" vertical="center" wrapText="1"/>
    </xf>
    <xf numFmtId="0" fontId="21" fillId="29" borderId="117" xfId="84" applyFont="1" applyFill="1" applyBorder="1" applyAlignment="1">
      <alignment horizontal="center" vertical="center" wrapText="1"/>
    </xf>
    <xf numFmtId="0" fontId="21" fillId="29" borderId="50" xfId="84" applyFont="1" applyFill="1" applyBorder="1" applyAlignment="1">
      <alignment horizontal="center" vertical="center" wrapText="1"/>
    </xf>
    <xf numFmtId="0" fontId="21" fillId="29" borderId="71" xfId="84" applyFont="1" applyFill="1" applyBorder="1" applyAlignment="1">
      <alignment horizontal="center" vertical="center" wrapText="1"/>
    </xf>
    <xf numFmtId="0" fontId="20" fillId="29" borderId="177" xfId="84" applyFont="1" applyFill="1" applyBorder="1" applyAlignment="1">
      <alignment horizontal="center" vertical="center" wrapText="1"/>
    </xf>
    <xf numFmtId="0" fontId="20" fillId="29" borderId="127" xfId="84" applyFont="1" applyFill="1" applyBorder="1" applyAlignment="1">
      <alignment horizontal="center" vertical="center" wrapText="1"/>
    </xf>
    <xf numFmtId="0" fontId="20" fillId="29" borderId="178" xfId="84" applyFont="1" applyFill="1" applyBorder="1" applyAlignment="1">
      <alignment horizontal="center" vertical="center" wrapText="1"/>
    </xf>
    <xf numFmtId="0" fontId="20" fillId="29" borderId="185" xfId="84" applyFont="1" applyFill="1" applyBorder="1" applyAlignment="1">
      <alignment horizontal="center" vertical="center" wrapText="1"/>
    </xf>
    <xf numFmtId="0" fontId="20" fillId="29" borderId="176" xfId="84" applyFont="1" applyFill="1" applyBorder="1" applyAlignment="1">
      <alignment horizontal="center" vertical="center" wrapText="1"/>
    </xf>
    <xf numFmtId="0" fontId="20" fillId="0" borderId="78" xfId="84" applyFont="1" applyFill="1" applyBorder="1" applyAlignment="1">
      <alignment horizontal="center" vertical="center" wrapText="1"/>
    </xf>
    <xf numFmtId="0" fontId="20" fillId="0" borderId="46" xfId="84" applyFont="1" applyFill="1" applyBorder="1" applyAlignment="1">
      <alignment horizontal="center" vertical="center" wrapText="1"/>
    </xf>
    <xf numFmtId="0" fontId="20" fillId="0" borderId="120" xfId="84" applyFont="1" applyFill="1" applyBorder="1" applyAlignment="1">
      <alignment horizontal="center" vertical="center" wrapText="1"/>
    </xf>
    <xf numFmtId="0" fontId="20" fillId="0" borderId="45" xfId="84" applyFont="1" applyFill="1" applyBorder="1" applyAlignment="1">
      <alignment horizontal="center" vertical="center" wrapText="1"/>
    </xf>
    <xf numFmtId="0" fontId="48" fillId="0" borderId="0" xfId="84" applyFont="1" applyBorder="1" applyAlignment="1">
      <alignment horizontal="center"/>
    </xf>
    <xf numFmtId="0" fontId="21" fillId="29" borderId="184" xfId="84" applyFont="1" applyFill="1" applyBorder="1" applyAlignment="1">
      <alignment horizontal="center" vertical="center" wrapText="1"/>
    </xf>
    <xf numFmtId="0" fontId="21" fillId="29" borderId="179" xfId="84" applyFont="1" applyFill="1" applyBorder="1" applyAlignment="1">
      <alignment horizontal="center" vertical="center" wrapText="1"/>
    </xf>
    <xf numFmtId="0" fontId="21" fillId="29" borderId="79" xfId="84" applyFont="1" applyFill="1" applyBorder="1" applyAlignment="1">
      <alignment horizontal="center" vertical="center" wrapText="1"/>
    </xf>
    <xf numFmtId="0" fontId="20" fillId="0" borderId="177" xfId="84" applyFont="1" applyBorder="1" applyAlignment="1">
      <alignment horizontal="center" vertical="center"/>
    </xf>
    <xf numFmtId="0" fontId="20" fillId="0" borderId="176" xfId="84" applyFont="1" applyBorder="1" applyAlignment="1">
      <alignment horizontal="center" vertical="center"/>
    </xf>
    <xf numFmtId="0" fontId="20" fillId="0" borderId="127" xfId="84" applyFont="1" applyBorder="1" applyAlignment="1">
      <alignment horizontal="center" vertical="center"/>
    </xf>
    <xf numFmtId="0" fontId="20" fillId="0" borderId="93" xfId="75" applyFont="1" applyFill="1" applyBorder="1" applyAlignment="1">
      <alignment horizontal="center" vertical="center"/>
    </xf>
    <xf numFmtId="0" fontId="20" fillId="0" borderId="34" xfId="75" applyFont="1" applyFill="1" applyBorder="1" applyAlignment="1">
      <alignment horizontal="center" vertical="center"/>
    </xf>
    <xf numFmtId="0" fontId="20" fillId="0" borderId="53" xfId="75" applyFont="1" applyBorder="1" applyAlignment="1">
      <alignment horizontal="center" vertical="center"/>
    </xf>
    <xf numFmtId="0" fontId="20" fillId="0" borderId="35" xfId="75" applyFont="1" applyBorder="1" applyAlignment="1">
      <alignment horizontal="center" vertical="center"/>
    </xf>
    <xf numFmtId="0" fontId="20" fillId="0" borderId="53" xfId="75" applyFont="1" applyFill="1" applyBorder="1" applyAlignment="1">
      <alignment horizontal="center" vertical="center"/>
    </xf>
    <xf numFmtId="0" fontId="20" fillId="0" borderId="35" xfId="75" applyFont="1" applyFill="1" applyBorder="1" applyAlignment="1">
      <alignment horizontal="center" vertical="center"/>
    </xf>
    <xf numFmtId="0" fontId="20" fillId="29" borderId="53" xfId="75" applyFont="1" applyFill="1" applyBorder="1" applyAlignment="1">
      <alignment horizontal="center" vertical="center"/>
    </xf>
    <xf numFmtId="0" fontId="20" fillId="29" borderId="35" xfId="75" applyFont="1" applyFill="1" applyBorder="1" applyAlignment="1">
      <alignment horizontal="center" vertical="center"/>
    </xf>
    <xf numFmtId="3" fontId="20" fillId="29" borderId="60" xfId="75" applyNumberFormat="1" applyFont="1" applyFill="1" applyBorder="1" applyAlignment="1">
      <alignment horizontal="center" vertical="center" wrapText="1"/>
    </xf>
    <xf numFmtId="3" fontId="20" fillId="29" borderId="39" xfId="75" applyNumberFormat="1" applyFont="1" applyFill="1" applyBorder="1" applyAlignment="1">
      <alignment horizontal="center" vertical="center" wrapText="1"/>
    </xf>
    <xf numFmtId="3" fontId="20" fillId="29" borderId="112" xfId="75" applyNumberFormat="1" applyFont="1" applyFill="1" applyBorder="1" applyAlignment="1">
      <alignment horizontal="center" vertical="center" wrapText="1"/>
    </xf>
    <xf numFmtId="3" fontId="20" fillId="29" borderId="23" xfId="75" applyNumberFormat="1" applyFont="1" applyFill="1" applyBorder="1" applyAlignment="1">
      <alignment horizontal="center" vertical="center" wrapText="1"/>
    </xf>
    <xf numFmtId="0" fontId="20" fillId="29" borderId="60" xfId="75" applyFont="1" applyFill="1" applyBorder="1" applyAlignment="1">
      <alignment horizontal="center" vertical="center"/>
    </xf>
    <xf numFmtId="0" fontId="20" fillId="29" borderId="41" xfId="75" applyFont="1" applyFill="1" applyBorder="1" applyAlignment="1">
      <alignment horizontal="center" vertical="center"/>
    </xf>
    <xf numFmtId="3" fontId="20" fillId="0" borderId="53" xfId="75" applyNumberFormat="1" applyFont="1" applyFill="1" applyBorder="1" applyAlignment="1">
      <alignment horizontal="center" vertical="center"/>
    </xf>
    <xf numFmtId="3" fontId="20" fillId="0" borderId="35" xfId="75" applyNumberFormat="1" applyFont="1" applyFill="1" applyBorder="1" applyAlignment="1">
      <alignment horizontal="center" vertical="center"/>
    </xf>
    <xf numFmtId="3" fontId="20" fillId="29" borderId="127" xfId="75" applyNumberFormat="1" applyFont="1" applyFill="1" applyBorder="1" applyAlignment="1">
      <alignment horizontal="center" vertical="center" wrapText="1"/>
    </xf>
    <xf numFmtId="3" fontId="20" fillId="29" borderId="116" xfId="75" applyNumberFormat="1" applyFont="1" applyFill="1" applyBorder="1" applyAlignment="1">
      <alignment horizontal="center" vertical="center" wrapText="1"/>
    </xf>
    <xf numFmtId="3" fontId="20" fillId="0" borderId="53" xfId="75" applyNumberFormat="1" applyFont="1" applyFill="1" applyBorder="1" applyAlignment="1">
      <alignment horizontal="center" vertical="center" wrapText="1"/>
    </xf>
    <xf numFmtId="3" fontId="20" fillId="0" borderId="22" xfId="75" applyNumberFormat="1" applyFont="1" applyFill="1" applyBorder="1" applyAlignment="1">
      <alignment horizontal="center" vertical="center" wrapText="1"/>
    </xf>
    <xf numFmtId="3" fontId="20" fillId="0" borderId="93" xfId="75" applyNumberFormat="1" applyFont="1" applyFill="1" applyBorder="1" applyAlignment="1">
      <alignment horizontal="center" vertical="center" wrapText="1"/>
    </xf>
    <xf numFmtId="3" fontId="20" fillId="0" borderId="25" xfId="75" applyNumberFormat="1" applyFont="1" applyFill="1" applyBorder="1" applyAlignment="1">
      <alignment horizontal="center" vertical="center" wrapText="1"/>
    </xf>
    <xf numFmtId="0" fontId="21" fillId="0" borderId="0" xfId="84" applyFont="1" applyFill="1" applyBorder="1" applyAlignment="1">
      <alignment horizontal="center"/>
    </xf>
    <xf numFmtId="0" fontId="20" fillId="0" borderId="185" xfId="84" applyFont="1" applyFill="1" applyBorder="1" applyAlignment="1">
      <alignment horizontal="center" wrapText="1"/>
    </xf>
    <xf numFmtId="0" fontId="20" fillId="0" borderId="127" xfId="84" applyFont="1" applyFill="1" applyBorder="1" applyAlignment="1">
      <alignment horizontal="center" wrapText="1"/>
    </xf>
    <xf numFmtId="0" fontId="20" fillId="0" borderId="178" xfId="84" applyFont="1" applyFill="1" applyBorder="1" applyAlignment="1">
      <alignment horizontal="center" wrapText="1"/>
    </xf>
    <xf numFmtId="0" fontId="21" fillId="0" borderId="0" xfId="84" applyFont="1" applyBorder="1" applyAlignment="1">
      <alignment horizontal="center"/>
    </xf>
    <xf numFmtId="0" fontId="21" fillId="0" borderId="0" xfId="74" applyFont="1" applyBorder="1" applyAlignment="1">
      <alignment horizontal="center"/>
    </xf>
    <xf numFmtId="0" fontId="20" fillId="0" borderId="177" xfId="84" applyFont="1" applyBorder="1" applyAlignment="1">
      <alignment horizontal="center" wrapText="1"/>
    </xf>
    <xf numFmtId="0" fontId="20" fillId="0" borderId="176" xfId="84" applyFont="1" applyBorder="1" applyAlignment="1">
      <alignment horizontal="center" wrapText="1"/>
    </xf>
    <xf numFmtId="0" fontId="20" fillId="0" borderId="127" xfId="84" applyFont="1" applyBorder="1" applyAlignment="1">
      <alignment horizontal="center" wrapText="1"/>
    </xf>
    <xf numFmtId="0" fontId="20" fillId="0" borderId="178" xfId="84" applyFont="1" applyBorder="1" applyAlignment="1">
      <alignment horizontal="center" wrapText="1"/>
    </xf>
    <xf numFmtId="0" fontId="20" fillId="0" borderId="78" xfId="84" applyFont="1" applyBorder="1" applyAlignment="1">
      <alignment horizontal="center" wrapText="1"/>
    </xf>
    <xf numFmtId="0" fontId="20" fillId="0" borderId="46" xfId="84" applyFont="1" applyBorder="1" applyAlignment="1">
      <alignment horizontal="center" wrapText="1"/>
    </xf>
    <xf numFmtId="0" fontId="20" fillId="0" borderId="120" xfId="84" applyFont="1" applyBorder="1" applyAlignment="1">
      <alignment horizontal="center" wrapText="1"/>
    </xf>
    <xf numFmtId="0" fontId="20" fillId="0" borderId="45" xfId="84" applyFont="1" applyBorder="1" applyAlignment="1">
      <alignment horizontal="center" wrapText="1"/>
    </xf>
    <xf numFmtId="0" fontId="19" fillId="0" borderId="184" xfId="84" applyFont="1" applyBorder="1" applyAlignment="1">
      <alignment horizontal="center" vertical="center" wrapText="1"/>
    </xf>
    <xf numFmtId="0" fontId="19" fillId="0" borderId="179" xfId="84" applyFont="1" applyBorder="1" applyAlignment="1">
      <alignment horizontal="center" vertical="center" wrapText="1"/>
    </xf>
    <xf numFmtId="0" fontId="19" fillId="0" borderId="79" xfId="84" applyFont="1" applyBorder="1" applyAlignment="1">
      <alignment horizontal="center" vertical="center" wrapText="1"/>
    </xf>
    <xf numFmtId="0" fontId="20" fillId="0" borderId="121" xfId="84" applyFont="1" applyBorder="1" applyAlignment="1">
      <alignment horizontal="center" wrapText="1"/>
    </xf>
    <xf numFmtId="0" fontId="20" fillId="0" borderId="185" xfId="84" applyFont="1" applyBorder="1" applyAlignment="1">
      <alignment horizontal="center" wrapText="1"/>
    </xf>
    <xf numFmtId="0" fontId="20" fillId="0" borderId="184" xfId="84" applyFont="1" applyBorder="1" applyAlignment="1">
      <alignment horizontal="center" vertical="center" wrapText="1"/>
    </xf>
    <xf numFmtId="0" fontId="20" fillId="0" borderId="79" xfId="84" applyFont="1" applyBorder="1" applyAlignment="1">
      <alignment horizontal="center" vertical="center" wrapText="1"/>
    </xf>
    <xf numFmtId="0" fontId="20" fillId="0" borderId="176" xfId="84" applyFont="1" applyFill="1" applyBorder="1" applyAlignment="1">
      <alignment horizontal="center"/>
    </xf>
    <xf numFmtId="0" fontId="20" fillId="0" borderId="127" xfId="84" applyFont="1" applyFill="1" applyBorder="1" applyAlignment="1">
      <alignment horizontal="center"/>
    </xf>
    <xf numFmtId="0" fontId="20" fillId="0" borderId="185" xfId="74" applyFont="1" applyBorder="1" applyAlignment="1">
      <alignment horizontal="center" wrapText="1"/>
    </xf>
    <xf numFmtId="0" fontId="20" fillId="0" borderId="176" xfId="74" applyFont="1" applyBorder="1" applyAlignment="1">
      <alignment horizontal="center" wrapText="1"/>
    </xf>
    <xf numFmtId="0" fontId="20" fillId="0" borderId="179" xfId="84" applyFont="1" applyBorder="1" applyAlignment="1">
      <alignment horizontal="center" vertical="center" wrapText="1"/>
    </xf>
    <xf numFmtId="0" fontId="20" fillId="0" borderId="113" xfId="84" applyFont="1" applyBorder="1" applyAlignment="1">
      <alignment horizontal="center" vertical="center"/>
    </xf>
    <xf numFmtId="0" fontId="20" fillId="0" borderId="147" xfId="84" applyFont="1" applyBorder="1" applyAlignment="1">
      <alignment horizontal="center" vertical="center"/>
    </xf>
    <xf numFmtId="0" fontId="20" fillId="0" borderId="78" xfId="84" applyFont="1" applyBorder="1" applyAlignment="1">
      <alignment horizontal="center"/>
    </xf>
    <xf numFmtId="0" fontId="20" fillId="0" borderId="46" xfId="84" applyFont="1" applyBorder="1" applyAlignment="1">
      <alignment horizontal="center"/>
    </xf>
    <xf numFmtId="0" fontId="20" fillId="0" borderId="120" xfId="84" applyFont="1" applyBorder="1" applyAlignment="1">
      <alignment horizontal="center"/>
    </xf>
    <xf numFmtId="0" fontId="20" fillId="0" borderId="45" xfId="84" applyFont="1" applyBorder="1" applyAlignment="1">
      <alignment horizontal="center"/>
    </xf>
    <xf numFmtId="0" fontId="20" fillId="0" borderId="177" xfId="84" applyFont="1" applyFill="1" applyBorder="1" applyAlignment="1">
      <alignment horizontal="center"/>
    </xf>
    <xf numFmtId="0" fontId="20" fillId="0" borderId="178" xfId="84" applyFont="1" applyFill="1" applyBorder="1" applyAlignment="1">
      <alignment horizontal="center"/>
    </xf>
    <xf numFmtId="0" fontId="20" fillId="0" borderId="78" xfId="84" applyFont="1" applyFill="1" applyBorder="1" applyAlignment="1">
      <alignment horizontal="center"/>
    </xf>
    <xf numFmtId="0" fontId="20" fillId="0" borderId="46" xfId="84" applyFont="1" applyFill="1" applyBorder="1" applyAlignment="1">
      <alignment horizontal="center"/>
    </xf>
    <xf numFmtId="0" fontId="20" fillId="0" borderId="120" xfId="84" applyFont="1" applyFill="1" applyBorder="1" applyAlignment="1">
      <alignment horizontal="center"/>
    </xf>
    <xf numFmtId="0" fontId="20" fillId="0" borderId="45" xfId="84" applyFont="1" applyFill="1" applyBorder="1" applyAlignment="1">
      <alignment horizontal="center"/>
    </xf>
    <xf numFmtId="0" fontId="20" fillId="0" borderId="78" xfId="84" applyFont="1" applyFill="1" applyBorder="1" applyAlignment="1">
      <alignment horizontal="center" wrapText="1"/>
    </xf>
    <xf numFmtId="0" fontId="20" fillId="0" borderId="120" xfId="84" applyFont="1" applyFill="1" applyBorder="1" applyAlignment="1">
      <alignment horizontal="center" wrapText="1"/>
    </xf>
    <xf numFmtId="0" fontId="20" fillId="0" borderId="45" xfId="84" applyFont="1" applyFill="1" applyBorder="1" applyAlignment="1">
      <alignment horizontal="center" wrapText="1"/>
    </xf>
    <xf numFmtId="0" fontId="20" fillId="0" borderId="185" xfId="84" applyFont="1" applyFill="1" applyBorder="1" applyAlignment="1">
      <alignment horizontal="center"/>
    </xf>
    <xf numFmtId="0" fontId="20" fillId="0" borderId="0" xfId="73" applyFont="1" applyBorder="1" applyAlignment="1">
      <alignment horizontal="center"/>
    </xf>
    <xf numFmtId="0" fontId="21" fillId="0" borderId="0" xfId="73" applyFont="1" applyAlignment="1">
      <alignment horizontal="center"/>
    </xf>
    <xf numFmtId="0" fontId="20" fillId="0" borderId="0" xfId="73" applyFont="1" applyBorder="1" applyAlignment="1">
      <alignment horizontal="center" wrapText="1"/>
    </xf>
    <xf numFmtId="0" fontId="24" fillId="0" borderId="0" xfId="74" applyFont="1" applyBorder="1" applyAlignment="1">
      <alignment horizontal="center"/>
    </xf>
    <xf numFmtId="0" fontId="24" fillId="0" borderId="0" xfId="78" applyFont="1" applyBorder="1" applyAlignment="1">
      <alignment horizontal="center"/>
    </xf>
    <xf numFmtId="0" fontId="21" fillId="0" borderId="0" xfId="93" applyFont="1" applyBorder="1" applyAlignment="1">
      <alignment horizontal="center"/>
    </xf>
    <xf numFmtId="0" fontId="21" fillId="0" borderId="11" xfId="86" applyFont="1" applyBorder="1" applyAlignment="1">
      <alignment horizontal="center" wrapText="1"/>
    </xf>
    <xf numFmtId="0" fontId="49" fillId="0" borderId="11" xfId="86" applyFont="1" applyBorder="1" applyAlignment="1">
      <alignment horizontal="center" wrapText="1"/>
    </xf>
    <xf numFmtId="0" fontId="49" fillId="0" borderId="10" xfId="86" applyFont="1" applyBorder="1" applyAlignment="1">
      <alignment horizontal="center" wrapText="1"/>
    </xf>
    <xf numFmtId="0" fontId="21" fillId="0" borderId="0" xfId="95" applyFont="1" applyFill="1" applyBorder="1" applyAlignment="1">
      <alignment horizontal="center"/>
    </xf>
    <xf numFmtId="0" fontId="49" fillId="0" borderId="18" xfId="95" applyFont="1" applyBorder="1" applyAlignment="1">
      <alignment horizontal="center"/>
    </xf>
    <xf numFmtId="0" fontId="21" fillId="0" borderId="0" xfId="96" applyFont="1" applyAlignment="1">
      <alignment horizontal="center"/>
    </xf>
    <xf numFmtId="0" fontId="24" fillId="0" borderId="0" xfId="94" applyFont="1" applyBorder="1" applyAlignment="1">
      <alignment horizontal="center" wrapText="1"/>
    </xf>
    <xf numFmtId="3" fontId="25" fillId="0" borderId="0" xfId="0" applyNumberFormat="1" applyFont="1" applyBorder="1" applyAlignment="1">
      <alignment horizontal="right"/>
    </xf>
    <xf numFmtId="0" fontId="24" fillId="0" borderId="0" xfId="0" applyFont="1" applyBorder="1" applyAlignment="1">
      <alignment horizontal="center"/>
    </xf>
    <xf numFmtId="0" fontId="0" fillId="0" borderId="14" xfId="0" applyBorder="1" applyAlignment="1">
      <alignment horizontal="center"/>
    </xf>
    <xf numFmtId="0" fontId="25" fillId="0" borderId="0" xfId="0" applyFont="1" applyFill="1" applyBorder="1" applyAlignment="1">
      <alignment horizontal="right"/>
    </xf>
    <xf numFmtId="0" fontId="24" fillId="0" borderId="0" xfId="0" applyFont="1" applyFill="1" applyBorder="1" applyAlignment="1">
      <alignment horizontal="center"/>
    </xf>
  </cellXfs>
  <cellStyles count="98">
    <cellStyle name="20% - 1. jelölőszín" xfId="1" builtinId="30" customBuiltin="1"/>
    <cellStyle name="20% - 2. jelölőszín" xfId="2" builtinId="34" customBuiltin="1"/>
    <cellStyle name="20% - 3. jelölőszín" xfId="3" builtinId="38" customBuiltin="1"/>
    <cellStyle name="20% - 4. jelölőszín" xfId="4" builtinId="42" customBuiltin="1"/>
    <cellStyle name="20% - 5. jelölőszín" xfId="5" builtinId="46" customBuiltin="1"/>
    <cellStyle name="20% - 6. jelölőszín" xfId="6" builtinId="50" customBuiltin="1"/>
    <cellStyle name="20% - Accent1" xfId="7"/>
    <cellStyle name="20% - Accent2" xfId="8"/>
    <cellStyle name="20% - Accent3" xfId="9"/>
    <cellStyle name="20% - Accent4" xfId="10"/>
    <cellStyle name="20% - Accent5" xfId="11"/>
    <cellStyle name="20% - Accent6" xfId="12"/>
    <cellStyle name="40% - 1. jelölőszín" xfId="13" builtinId="31" customBuiltin="1"/>
    <cellStyle name="40% - 2. jelölőszín" xfId="14" builtinId="35" customBuiltin="1"/>
    <cellStyle name="40% - 3. jelölőszín" xfId="15" builtinId="39" customBuiltin="1"/>
    <cellStyle name="40% - 4. jelölőszín" xfId="16" builtinId="43" customBuiltin="1"/>
    <cellStyle name="40% - 5. jelölőszín" xfId="17" builtinId="47" customBuiltin="1"/>
    <cellStyle name="40% - 6. jelölőszín" xfId="18" builtinId="51" customBuiltin="1"/>
    <cellStyle name="40% - Accent1" xfId="19"/>
    <cellStyle name="40% - Accent2" xfId="20"/>
    <cellStyle name="40% - Accent3" xfId="21"/>
    <cellStyle name="40% - Accent4" xfId="22"/>
    <cellStyle name="40% - Accent5" xfId="23"/>
    <cellStyle name="40% - Accent6" xfId="24"/>
    <cellStyle name="60% - 1. jelölőszín" xfId="25" builtinId="32" customBuiltin="1"/>
    <cellStyle name="60% - 2. jelölőszín" xfId="26" builtinId="36" customBuiltin="1"/>
    <cellStyle name="60% - 3. jelölőszín" xfId="27" builtinId="40" customBuiltin="1"/>
    <cellStyle name="60% - 4. jelölőszín" xfId="28" builtinId="44" customBuiltin="1"/>
    <cellStyle name="60% - 5. jelölőszín" xfId="29" builtinId="48" customBuiltin="1"/>
    <cellStyle name="60% - 6. jelölőszín" xfId="30" builtinId="52" customBuiltin="1"/>
    <cellStyle name="60% - Accent1" xfId="31"/>
    <cellStyle name="60% - Accent2" xfId="32"/>
    <cellStyle name="60% - Accent3" xfId="33"/>
    <cellStyle name="60% - Accent4" xfId="34"/>
    <cellStyle name="60% - Accent5" xfId="35"/>
    <cellStyle name="60% - Accent6" xfId="36"/>
    <cellStyle name="Accent1" xfId="37"/>
    <cellStyle name="Accent2" xfId="38"/>
    <cellStyle name="Accent3" xfId="39"/>
    <cellStyle name="Accent4" xfId="40"/>
    <cellStyle name="Accent5" xfId="41"/>
    <cellStyle name="Accent6" xfId="42"/>
    <cellStyle name="Bad" xfId="43"/>
    <cellStyle name="Bevitel" xfId="44" builtinId="20" customBuiltin="1"/>
    <cellStyle name="Calculation" xfId="45"/>
    <cellStyle name="Check Cell" xfId="46"/>
    <cellStyle name="Cím" xfId="47" builtinId="15" customBuiltin="1"/>
    <cellStyle name="Címsor 1" xfId="48" builtinId="16" customBuiltin="1"/>
    <cellStyle name="Címsor 2" xfId="49" builtinId="17" customBuiltin="1"/>
    <cellStyle name="Címsor 3" xfId="50" builtinId="18" customBuiltin="1"/>
    <cellStyle name="Címsor 4" xfId="51" builtinId="19" customBuiltin="1"/>
    <cellStyle name="Explanatory Text" xfId="52"/>
    <cellStyle name="Ezres" xfId="53" builtinId="3"/>
    <cellStyle name="Ezres 2" xfId="54"/>
    <cellStyle name="Ezres 3" xfId="55"/>
    <cellStyle name="Figyelmeztetés" xfId="56" builtinId="11" customBuiltin="1"/>
    <cellStyle name="Good" xfId="57"/>
    <cellStyle name="Heading 1" xfId="58"/>
    <cellStyle name="Heading 2" xfId="59"/>
    <cellStyle name="Heading 3" xfId="60"/>
    <cellStyle name="Heading 4" xfId="61"/>
    <cellStyle name="Hivatkozott cella" xfId="62" builtinId="24" customBuiltin="1"/>
    <cellStyle name="Input" xfId="63"/>
    <cellStyle name="Jegyzet" xfId="64" builtinId="10" customBuiltin="1"/>
    <cellStyle name="Kimenet" xfId="65" builtinId="21" customBuiltin="1"/>
    <cellStyle name="Linked Cell" xfId="66"/>
    <cellStyle name="Neutral" xfId="67"/>
    <cellStyle name="Normál" xfId="0" builtinId="0"/>
    <cellStyle name="Normál 2" xfId="68"/>
    <cellStyle name="Normál_2007. ktgvetés II. forduló_2013. évi költségvetés I." xfId="69"/>
    <cellStyle name="Normál_2007_Koncepció táblák_2012. évi költségvetés előirányzat nyilvántartás VÉGLEGES 2." xfId="70"/>
    <cellStyle name="Normál_2007_Koncepció táblák_2013. évi költségvetés I." xfId="71"/>
    <cellStyle name="Normál_2012. évi költségvetés előirányzat nyilvántartás VÉGLEGES 2." xfId="72"/>
    <cellStyle name="Normál_2012. évi költségvetés I. módosítás VÉGLEGES" xfId="94"/>
    <cellStyle name="Normál_2012. évi költségvetés IV. módosítás" xfId="73"/>
    <cellStyle name="Normál_2013 évi költségvetéshez 2013.02.19." xfId="93"/>
    <cellStyle name="Normál_2013 évi költségvetéshez 2013.02.19._2014 évi költségvetés Tündi táblák" xfId="95"/>
    <cellStyle name="Normál_2013. évi költségvetés I." xfId="74"/>
    <cellStyle name="Normál_2013. évi költségvetés I._2013. évi költségvetés előirányzat nyilvántartás" xfId="75"/>
    <cellStyle name="Normál_2013. évi költségvetés I._2013. évi költségvetés II. forduló testületi előterjesztés" xfId="76"/>
    <cellStyle name="Normál_2013. évi költségvetés I._iNTÉZMÉNYI NORMATÍVA 2014" xfId="77"/>
    <cellStyle name="Normál_2013. évi költségvetés II. forduló testületi előterjesztés" xfId="78"/>
    <cellStyle name="Normál_2013. évi költségvetés II. forduló testületi előterjesztés2." xfId="96"/>
    <cellStyle name="Normál_2014. évi kv. 6. tábla_kitöltve_szűkített II.fordulóhoz 2" xfId="79"/>
    <cellStyle name="Normál_4. sz. melléklet" xfId="97"/>
    <cellStyle name="Normal_KARSZJ3" xfId="80"/>
    <cellStyle name="Normál_költségvetés10melléklet_2013. évi költségvetés I." xfId="81"/>
    <cellStyle name="Normal_KTRSZJ" xfId="82"/>
    <cellStyle name="Normál_Másolat eredetijeKÖLTSÉGVETÉS2005új1" xfId="83"/>
    <cellStyle name="Normál_Másolat eredetijeKÖLTSÉGVETÉS2005új1_2013. évi költségvetés I." xfId="84"/>
    <cellStyle name="Normál_Másolat eredetijeKÖLTSÉGVETÉS2005új1_2013. évi költségvetés II. forduló testületi előterjesztés" xfId="85"/>
    <cellStyle name="Normál_Munka4_2013 évi költségvetéshez 2013.02.19." xfId="86"/>
    <cellStyle name="Note" xfId="87"/>
    <cellStyle name="Output" xfId="88"/>
    <cellStyle name="Összesen" xfId="89" builtinId="25" customBuiltin="1"/>
    <cellStyle name="Title" xfId="90"/>
    <cellStyle name="Total" xfId="91"/>
    <cellStyle name="Warning Text" xfId="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53"/>
  <sheetViews>
    <sheetView tabSelected="1" view="pageLayout" topLeftCell="B3" zoomScaleNormal="75" zoomScaleSheetLayoutView="89" workbookViewId="0">
      <selection activeCell="F4" sqref="F4"/>
    </sheetView>
  </sheetViews>
  <sheetFormatPr defaultColWidth="9.109375" defaultRowHeight="13.2" x14ac:dyDescent="0.25"/>
  <cols>
    <col min="1" max="1" width="40.44140625" style="115" customWidth="1"/>
    <col min="2" max="5" width="17.109375" style="105" customWidth="1"/>
    <col min="6" max="6" width="20.44140625" style="105" customWidth="1"/>
    <col min="7" max="16384" width="9.109375" style="105"/>
  </cols>
  <sheetData>
    <row r="1" spans="1:6" ht="16.2" hidden="1" thickBot="1" x14ac:dyDescent="0.35">
      <c r="A1" s="104"/>
    </row>
    <row r="2" spans="1:6" ht="16.2" hidden="1" thickBot="1" x14ac:dyDescent="0.35">
      <c r="A2" s="104"/>
    </row>
    <row r="3" spans="1:6" s="106" customFormat="1" ht="56.25" customHeight="1" thickBot="1" x14ac:dyDescent="0.3">
      <c r="A3" s="1033" t="s">
        <v>307</v>
      </c>
      <c r="B3" s="817" t="s">
        <v>659</v>
      </c>
      <c r="C3" s="1031" t="s">
        <v>52</v>
      </c>
      <c r="D3" s="1031" t="s">
        <v>800</v>
      </c>
      <c r="E3" s="562" t="s">
        <v>660</v>
      </c>
    </row>
    <row r="4" spans="1:6" ht="30" x14ac:dyDescent="0.25">
      <c r="A4" s="389" t="s">
        <v>682</v>
      </c>
      <c r="B4" s="593">
        <v>1191528</v>
      </c>
      <c r="C4" s="736">
        <v>1336756</v>
      </c>
      <c r="D4" s="736">
        <f>'2.sz.tábla   (2)'!P5</f>
        <v>1365314</v>
      </c>
      <c r="E4" s="391">
        <f>D4-C4</f>
        <v>28558</v>
      </c>
    </row>
    <row r="5" spans="1:6" ht="30" x14ac:dyDescent="0.25">
      <c r="A5" s="339" t="s">
        <v>683</v>
      </c>
      <c r="B5" s="594">
        <v>287821</v>
      </c>
      <c r="C5" s="737">
        <v>1546019</v>
      </c>
      <c r="D5" s="737">
        <f>'2.sz.tábla   (2)'!P20</f>
        <v>1547416</v>
      </c>
      <c r="E5" s="390">
        <f>D5-C5</f>
        <v>1397</v>
      </c>
    </row>
    <row r="6" spans="1:6" ht="21.75" customHeight="1" x14ac:dyDescent="0.25">
      <c r="A6" s="339" t="s">
        <v>684</v>
      </c>
      <c r="B6" s="594">
        <v>1516700</v>
      </c>
      <c r="C6" s="737">
        <v>1606700</v>
      </c>
      <c r="D6" s="737">
        <f>'2.sz.tábla   (2)'!P28</f>
        <v>1606700</v>
      </c>
      <c r="E6" s="390">
        <f t="shared" ref="E6:E51" si="0">D6-C6</f>
        <v>0</v>
      </c>
    </row>
    <row r="7" spans="1:6" ht="30" customHeight="1" x14ac:dyDescent="0.25">
      <c r="A7" s="339" t="s">
        <v>685</v>
      </c>
      <c r="B7" s="594">
        <v>600704</v>
      </c>
      <c r="C7" s="737">
        <v>825892</v>
      </c>
      <c r="D7" s="737">
        <f>'2.sz.tábla   (2)'!P41</f>
        <v>827823</v>
      </c>
      <c r="E7" s="390">
        <f t="shared" si="0"/>
        <v>1931</v>
      </c>
    </row>
    <row r="8" spans="1:6" ht="30.75" customHeight="1" x14ac:dyDescent="0.25">
      <c r="A8" s="339" t="s">
        <v>686</v>
      </c>
      <c r="B8" s="594">
        <v>2000</v>
      </c>
      <c r="C8" s="737">
        <v>788369</v>
      </c>
      <c r="D8" s="737">
        <f>'2.sz.tábla   (2)'!P56</f>
        <v>788369</v>
      </c>
      <c r="E8" s="390">
        <f t="shared" si="0"/>
        <v>0</v>
      </c>
    </row>
    <row r="9" spans="1:6" ht="27" customHeight="1" x14ac:dyDescent="0.25">
      <c r="A9" s="340" t="s">
        <v>687</v>
      </c>
      <c r="B9" s="594">
        <f>11855+4983</f>
        <v>16838</v>
      </c>
      <c r="C9" s="737">
        <v>18475</v>
      </c>
      <c r="D9" s="737">
        <f>'2.sz.tábla   (2)'!P62</f>
        <v>6407</v>
      </c>
      <c r="E9" s="390">
        <f t="shared" si="0"/>
        <v>-12068</v>
      </c>
    </row>
    <row r="10" spans="1:6" ht="35.25" customHeight="1" x14ac:dyDescent="0.25">
      <c r="A10" s="340" t="s">
        <v>688</v>
      </c>
      <c r="B10" s="594">
        <v>100873</v>
      </c>
      <c r="C10" s="737">
        <v>100873</v>
      </c>
      <c r="D10" s="737">
        <f>'2.sz.tábla   (2)'!P68</f>
        <v>100873</v>
      </c>
      <c r="E10" s="390">
        <f t="shared" si="0"/>
        <v>0</v>
      </c>
      <c r="F10" s="223"/>
    </row>
    <row r="11" spans="1:6" s="110" customFormat="1" ht="24" customHeight="1" x14ac:dyDescent="0.3">
      <c r="A11" s="341" t="s">
        <v>689</v>
      </c>
      <c r="B11" s="595">
        <f>SUM(B4:B10)</f>
        <v>3716464</v>
      </c>
      <c r="C11" s="1032">
        <f>SUM(C4:C10)</f>
        <v>6223084</v>
      </c>
      <c r="D11" s="1032">
        <f>SUM(D4:D10)</f>
        <v>6242902</v>
      </c>
      <c r="E11" s="740">
        <f t="shared" si="0"/>
        <v>19818</v>
      </c>
      <c r="F11" s="149"/>
    </row>
    <row r="12" spans="1:6" s="110" customFormat="1" ht="24" customHeight="1" x14ac:dyDescent="0.3">
      <c r="A12" s="342" t="s">
        <v>690</v>
      </c>
      <c r="B12" s="595"/>
      <c r="C12" s="739"/>
      <c r="D12" s="739"/>
      <c r="E12" s="740">
        <f t="shared" si="0"/>
        <v>0</v>
      </c>
    </row>
    <row r="13" spans="1:6" ht="48.75" customHeight="1" x14ac:dyDescent="0.25">
      <c r="A13" s="339" t="s">
        <v>326</v>
      </c>
      <c r="B13" s="594">
        <v>682920</v>
      </c>
      <c r="C13" s="737">
        <v>902886</v>
      </c>
      <c r="D13" s="737">
        <f>'2.sz.tábla   (2)'!P74</f>
        <v>902886</v>
      </c>
      <c r="E13" s="390">
        <f t="shared" si="0"/>
        <v>0</v>
      </c>
    </row>
    <row r="14" spans="1:6" ht="48.75" customHeight="1" x14ac:dyDescent="0.25">
      <c r="A14" s="339" t="s">
        <v>691</v>
      </c>
      <c r="B14" s="594">
        <v>8600</v>
      </c>
      <c r="C14" s="737">
        <f>742800-80000</f>
        <v>662800</v>
      </c>
      <c r="D14" s="737">
        <f>'2.sz.tábla   (2)'!P77</f>
        <v>693348</v>
      </c>
      <c r="E14" s="390">
        <f t="shared" si="0"/>
        <v>30548</v>
      </c>
    </row>
    <row r="15" spans="1:6" s="110" customFormat="1" ht="33" customHeight="1" x14ac:dyDescent="0.3">
      <c r="A15" s="341" t="s">
        <v>692</v>
      </c>
      <c r="B15" s="596">
        <f>B13+B14</f>
        <v>691520</v>
      </c>
      <c r="C15" s="596">
        <f>SUM(C13:C14)</f>
        <v>1565686</v>
      </c>
      <c r="D15" s="596">
        <f>SUM(D13:D14)</f>
        <v>1596234</v>
      </c>
      <c r="E15" s="740">
        <f t="shared" si="0"/>
        <v>30548</v>
      </c>
    </row>
    <row r="16" spans="1:6" s="110" customFormat="1" ht="18" customHeight="1" x14ac:dyDescent="0.3">
      <c r="A16" s="343" t="s">
        <v>693</v>
      </c>
      <c r="B16" s="597">
        <f>B11+B15</f>
        <v>4407984</v>
      </c>
      <c r="C16" s="597">
        <f>C11+C15</f>
        <v>7788770</v>
      </c>
      <c r="D16" s="597">
        <f>D11+D15</f>
        <v>7839136</v>
      </c>
      <c r="E16" s="740">
        <f t="shared" si="0"/>
        <v>50366</v>
      </c>
      <c r="F16" s="149"/>
    </row>
    <row r="17" spans="1:13" s="110" customFormat="1" ht="14.25" customHeight="1" x14ac:dyDescent="0.3">
      <c r="A17" s="343"/>
      <c r="B17" s="594"/>
      <c r="C17" s="738"/>
      <c r="D17" s="738"/>
      <c r="E17" s="390">
        <f t="shared" si="0"/>
        <v>0</v>
      </c>
      <c r="F17" s="109"/>
      <c r="G17" s="109"/>
      <c r="H17" s="109"/>
      <c r="I17" s="109"/>
      <c r="J17" s="109"/>
      <c r="K17" s="109"/>
      <c r="L17" s="109"/>
      <c r="M17" s="109"/>
    </row>
    <row r="18" spans="1:13" s="112" customFormat="1" ht="20.100000000000001" customHeight="1" x14ac:dyDescent="0.3">
      <c r="A18" s="341" t="s">
        <v>694</v>
      </c>
      <c r="B18" s="595">
        <f>SUM(B19:B21)</f>
        <v>2358416</v>
      </c>
      <c r="C18" s="595">
        <f>SUM(C19:C21)</f>
        <v>2880496</v>
      </c>
      <c r="D18" s="595">
        <f>SUM(D19:D21)</f>
        <v>2871505</v>
      </c>
      <c r="E18" s="740">
        <f t="shared" si="0"/>
        <v>-8991</v>
      </c>
      <c r="F18" s="111"/>
      <c r="G18" s="111"/>
      <c r="H18" s="111"/>
      <c r="I18" s="111"/>
      <c r="J18" s="111"/>
      <c r="K18" s="111"/>
      <c r="L18" s="111"/>
      <c r="M18" s="111"/>
    </row>
    <row r="19" spans="1:13" s="112" customFormat="1" ht="20.100000000000001" customHeight="1" x14ac:dyDescent="0.25">
      <c r="A19" s="339" t="s">
        <v>695</v>
      </c>
      <c r="B19" s="594">
        <f>1526114+2000+7014+4983</f>
        <v>1540111</v>
      </c>
      <c r="C19" s="737">
        <v>2035034</v>
      </c>
      <c r="D19" s="737">
        <f>'5.tábla (2)'!D115</f>
        <v>2023282</v>
      </c>
      <c r="E19" s="390">
        <f t="shared" si="0"/>
        <v>-11752</v>
      </c>
      <c r="F19" s="111"/>
      <c r="G19" s="111"/>
      <c r="H19" s="111"/>
      <c r="I19" s="111"/>
      <c r="J19" s="111"/>
      <c r="K19" s="111"/>
      <c r="L19" s="111"/>
      <c r="M19" s="111"/>
    </row>
    <row r="20" spans="1:13" s="112" customFormat="1" ht="20.100000000000001" customHeight="1" x14ac:dyDescent="0.25">
      <c r="A20" s="339" t="s">
        <v>696</v>
      </c>
      <c r="B20" s="594">
        <v>363855</v>
      </c>
      <c r="C20" s="737">
        <v>370331</v>
      </c>
      <c r="D20" s="737">
        <f>'5.tábla (2)'!D31-'5.tábla (2)'!D28</f>
        <v>370356</v>
      </c>
      <c r="E20" s="390">
        <f t="shared" si="0"/>
        <v>25</v>
      </c>
      <c r="F20" s="111"/>
      <c r="G20" s="111"/>
      <c r="H20" s="111"/>
      <c r="I20" s="111"/>
      <c r="J20" s="111"/>
      <c r="K20" s="111"/>
      <c r="L20" s="111"/>
      <c r="M20" s="111"/>
    </row>
    <row r="21" spans="1:13" s="110" customFormat="1" ht="20.100000000000001" customHeight="1" x14ac:dyDescent="0.25">
      <c r="A21" s="339" t="s">
        <v>697</v>
      </c>
      <c r="B21" s="594">
        <v>454450</v>
      </c>
      <c r="C21" s="737">
        <v>475131</v>
      </c>
      <c r="D21" s="737">
        <f>'4.sz.tábla '!AX13-'4.sz.tábla '!AC13</f>
        <v>477867</v>
      </c>
      <c r="E21" s="390">
        <f t="shared" si="0"/>
        <v>2736</v>
      </c>
      <c r="F21" s="113"/>
      <c r="G21" s="113"/>
      <c r="H21" s="113"/>
      <c r="I21" s="109"/>
      <c r="J21" s="109"/>
      <c r="K21" s="109"/>
      <c r="L21" s="109"/>
      <c r="M21" s="109"/>
    </row>
    <row r="22" spans="1:13" ht="13.5" customHeight="1" x14ac:dyDescent="0.25">
      <c r="A22" s="339"/>
      <c r="B22" s="594"/>
      <c r="C22" s="738"/>
      <c r="D22" s="738"/>
      <c r="E22" s="390">
        <f t="shared" si="0"/>
        <v>0</v>
      </c>
    </row>
    <row r="23" spans="1:13" s="110" customFormat="1" ht="20.100000000000001" customHeight="1" x14ac:dyDescent="0.3">
      <c r="A23" s="341" t="s">
        <v>698</v>
      </c>
      <c r="B23" s="596">
        <f>SUM(B24:B26)</f>
        <v>1708268</v>
      </c>
      <c r="C23" s="596">
        <f>SUM(C24:C26)</f>
        <v>2522993</v>
      </c>
      <c r="D23" s="596">
        <f>SUM(D24:D26)</f>
        <v>2519289</v>
      </c>
      <c r="E23" s="740">
        <f t="shared" si="0"/>
        <v>-3704</v>
      </c>
    </row>
    <row r="24" spans="1:13" ht="20.100000000000001" customHeight="1" x14ac:dyDescent="0.25">
      <c r="A24" s="339" t="s">
        <v>699</v>
      </c>
      <c r="B24" s="594">
        <f>1600324+5000</f>
        <v>1605324</v>
      </c>
      <c r="C24" s="737">
        <v>2420289</v>
      </c>
      <c r="D24" s="737">
        <f>'7. sz. tábla 1'!D177</f>
        <v>2417390</v>
      </c>
      <c r="E24" s="390">
        <f t="shared" si="0"/>
        <v>-2899</v>
      </c>
    </row>
    <row r="25" spans="1:13" s="110" customFormat="1" ht="20.100000000000001" customHeight="1" x14ac:dyDescent="0.25">
      <c r="A25" s="339" t="s">
        <v>700</v>
      </c>
      <c r="B25" s="594">
        <v>9719</v>
      </c>
      <c r="C25" s="737">
        <v>11688</v>
      </c>
      <c r="D25" s="737">
        <f>'4a. sz. tábla  (3)'!E77</f>
        <v>10883</v>
      </c>
      <c r="E25" s="390">
        <f t="shared" si="0"/>
        <v>-805</v>
      </c>
    </row>
    <row r="26" spans="1:13" ht="20.100000000000001" customHeight="1" x14ac:dyDescent="0.25">
      <c r="A26" s="339" t="s">
        <v>701</v>
      </c>
      <c r="B26" s="594">
        <v>93225</v>
      </c>
      <c r="C26" s="737">
        <v>91016</v>
      </c>
      <c r="D26" s="737">
        <f>'6.sz.tábla  (3)'!D140</f>
        <v>91016</v>
      </c>
      <c r="E26" s="390">
        <f t="shared" si="0"/>
        <v>0</v>
      </c>
    </row>
    <row r="27" spans="1:13" ht="12.75" customHeight="1" x14ac:dyDescent="0.3">
      <c r="A27" s="341"/>
      <c r="B27" s="594"/>
      <c r="C27" s="738"/>
      <c r="D27" s="738"/>
      <c r="E27" s="390">
        <f t="shared" si="0"/>
        <v>0</v>
      </c>
    </row>
    <row r="28" spans="1:13" s="110" customFormat="1" ht="20.100000000000001" customHeight="1" x14ac:dyDescent="0.3">
      <c r="A28" s="341" t="s">
        <v>702</v>
      </c>
      <c r="B28" s="596">
        <f>SUM(B29:B30)</f>
        <v>120755</v>
      </c>
      <c r="C28" s="596">
        <f>SUM(C29:C30)</f>
        <v>29355</v>
      </c>
      <c r="D28" s="596">
        <f>SUM(D29:D30)</f>
        <v>93159</v>
      </c>
      <c r="E28" s="740">
        <f t="shared" si="0"/>
        <v>63804</v>
      </c>
    </row>
    <row r="29" spans="1:13" s="110" customFormat="1" ht="20.100000000000001" customHeight="1" x14ac:dyDescent="0.25">
      <c r="A29" s="339" t="s">
        <v>703</v>
      </c>
      <c r="B29" s="594">
        <v>80004</v>
      </c>
      <c r="C29" s="737">
        <f>1491+700</f>
        <v>2191</v>
      </c>
      <c r="D29" s="737">
        <v>1330</v>
      </c>
      <c r="E29" s="390">
        <f t="shared" si="0"/>
        <v>-861</v>
      </c>
    </row>
    <row r="30" spans="1:13" s="110" customFormat="1" ht="20.100000000000001" customHeight="1" x14ac:dyDescent="0.25">
      <c r="A30" s="339" t="s">
        <v>704</v>
      </c>
      <c r="B30" s="594">
        <f>B37</f>
        <v>40751</v>
      </c>
      <c r="C30" s="737">
        <v>27164</v>
      </c>
      <c r="D30" s="737">
        <f>D37</f>
        <v>91829</v>
      </c>
      <c r="E30" s="390">
        <f t="shared" si="0"/>
        <v>64665</v>
      </c>
    </row>
    <row r="31" spans="1:13" s="110" customFormat="1" ht="23.25" customHeight="1" x14ac:dyDescent="0.3">
      <c r="A31" s="341" t="s">
        <v>705</v>
      </c>
      <c r="B31" s="596">
        <f>SUM(B28,B23,B18)</f>
        <v>4187439</v>
      </c>
      <c r="C31" s="596">
        <f>SUM(C28,C23,C18)</f>
        <v>5432844</v>
      </c>
      <c r="D31" s="596">
        <f>SUM(D28,D23,D18)</f>
        <v>5483953</v>
      </c>
      <c r="E31" s="740">
        <f t="shared" si="0"/>
        <v>51109</v>
      </c>
    </row>
    <row r="32" spans="1:13" ht="20.100000000000001" customHeight="1" x14ac:dyDescent="0.25">
      <c r="A32" s="339" t="s">
        <v>706</v>
      </c>
      <c r="B32" s="594">
        <v>174242</v>
      </c>
      <c r="C32" s="737">
        <v>174243</v>
      </c>
      <c r="D32" s="737">
        <f>'7. sz. tábla 1'!D179</f>
        <v>174243</v>
      </c>
      <c r="E32" s="390">
        <f t="shared" si="0"/>
        <v>0</v>
      </c>
    </row>
    <row r="33" spans="1:6" ht="28.5" customHeight="1" x14ac:dyDescent="0.25">
      <c r="A33" s="339" t="s">
        <v>374</v>
      </c>
      <c r="B33" s="594">
        <v>46303</v>
      </c>
      <c r="C33" s="737">
        <v>50503</v>
      </c>
      <c r="D33" s="737">
        <f>'7. sz. tábla 1'!D181</f>
        <v>49760</v>
      </c>
      <c r="E33" s="390">
        <f t="shared" si="0"/>
        <v>-743</v>
      </c>
    </row>
    <row r="34" spans="1:6" ht="22.5" customHeight="1" x14ac:dyDescent="0.25">
      <c r="A34" s="339" t="s">
        <v>446</v>
      </c>
      <c r="B34" s="594"/>
      <c r="C34" s="737">
        <v>2131180</v>
      </c>
      <c r="D34" s="737">
        <f>'7. sz. tábla 1'!D180</f>
        <v>2131180</v>
      </c>
      <c r="E34" s="390">
        <f t="shared" si="0"/>
        <v>0</v>
      </c>
    </row>
    <row r="35" spans="1:6" s="110" customFormat="1" ht="21.75" customHeight="1" x14ac:dyDescent="0.3">
      <c r="A35" s="341" t="s">
        <v>707</v>
      </c>
      <c r="B35" s="596">
        <f>SUM(B32:B33)</f>
        <v>220545</v>
      </c>
      <c r="C35" s="596">
        <f>SUM(C32:C34)</f>
        <v>2355926</v>
      </c>
      <c r="D35" s="596">
        <f>SUM(D32:D34)</f>
        <v>2355183</v>
      </c>
      <c r="E35" s="740">
        <f t="shared" si="0"/>
        <v>-743</v>
      </c>
    </row>
    <row r="36" spans="1:6" s="110" customFormat="1" ht="20.100000000000001" customHeight="1" x14ac:dyDescent="0.3">
      <c r="A36" s="343" t="s">
        <v>708</v>
      </c>
      <c r="B36" s="597">
        <f>SUM(B31,B35)</f>
        <v>4407984</v>
      </c>
      <c r="C36" s="597">
        <f>SUM(C31,C35)</f>
        <v>7788770</v>
      </c>
      <c r="D36" s="597">
        <f>SUM(D31,D35)</f>
        <v>7839136</v>
      </c>
      <c r="E36" s="740">
        <f t="shared" si="0"/>
        <v>50366</v>
      </c>
      <c r="F36" s="149">
        <f>D16-D36</f>
        <v>0</v>
      </c>
    </row>
    <row r="37" spans="1:6" s="112" customFormat="1" ht="20.100000000000001" customHeight="1" x14ac:dyDescent="0.3">
      <c r="A37" s="344" t="s">
        <v>709</v>
      </c>
      <c r="B37" s="598">
        <f>SUM(B38:B50)</f>
        <v>40751</v>
      </c>
      <c r="C37" s="598">
        <f>SUM(C38:C50)</f>
        <v>27164</v>
      </c>
      <c r="D37" s="598">
        <f>SUM(D38:D51)</f>
        <v>91829</v>
      </c>
      <c r="E37" s="740">
        <f t="shared" si="0"/>
        <v>64665</v>
      </c>
      <c r="F37" s="1302">
        <f>SUM(E38:E51)</f>
        <v>64665</v>
      </c>
    </row>
    <row r="38" spans="1:6" s="112" customFormat="1" ht="17.25" customHeight="1" x14ac:dyDescent="0.25">
      <c r="A38" s="345" t="s">
        <v>710</v>
      </c>
      <c r="B38" s="594">
        <v>800</v>
      </c>
      <c r="C38" s="737">
        <v>800</v>
      </c>
      <c r="D38" s="737">
        <v>800</v>
      </c>
      <c r="E38" s="390">
        <f t="shared" si="0"/>
        <v>0</v>
      </c>
    </row>
    <row r="39" spans="1:6" s="112" customFormat="1" ht="15" customHeight="1" x14ac:dyDescent="0.25">
      <c r="A39" s="345" t="s">
        <v>711</v>
      </c>
      <c r="B39" s="594">
        <v>7061</v>
      </c>
      <c r="C39" s="737">
        <v>7061</v>
      </c>
      <c r="D39" s="737">
        <v>7061</v>
      </c>
      <c r="E39" s="390">
        <f t="shared" si="0"/>
        <v>0</v>
      </c>
    </row>
    <row r="40" spans="1:6" s="112" customFormat="1" ht="17.25" customHeight="1" x14ac:dyDescent="0.25">
      <c r="A40" s="345" t="s">
        <v>712</v>
      </c>
      <c r="B40" s="594">
        <v>5000</v>
      </c>
      <c r="C40" s="737">
        <v>134</v>
      </c>
      <c r="D40" s="737">
        <v>134</v>
      </c>
      <c r="E40" s="390">
        <f t="shared" si="0"/>
        <v>0</v>
      </c>
    </row>
    <row r="41" spans="1:6" ht="15" x14ac:dyDescent="0.25">
      <c r="A41" s="345" t="s">
        <v>713</v>
      </c>
      <c r="B41" s="594">
        <v>16483</v>
      </c>
      <c r="C41" s="737">
        <v>16483</v>
      </c>
      <c r="D41" s="737">
        <v>16483</v>
      </c>
      <c r="E41" s="390">
        <f t="shared" si="0"/>
        <v>0</v>
      </c>
    </row>
    <row r="42" spans="1:6" ht="15" x14ac:dyDescent="0.25">
      <c r="A42" s="345" t="s">
        <v>714</v>
      </c>
      <c r="B42" s="594">
        <v>3000</v>
      </c>
      <c r="C42" s="737">
        <v>833</v>
      </c>
      <c r="D42" s="737">
        <v>833</v>
      </c>
      <c r="E42" s="390">
        <f t="shared" si="0"/>
        <v>0</v>
      </c>
    </row>
    <row r="43" spans="1:6" ht="15" x14ac:dyDescent="0.25">
      <c r="A43" s="345" t="s">
        <v>715</v>
      </c>
      <c r="B43" s="594">
        <v>4000</v>
      </c>
      <c r="C43" s="737">
        <v>0</v>
      </c>
      <c r="D43" s="737"/>
      <c r="E43" s="390">
        <f t="shared" si="0"/>
        <v>0</v>
      </c>
    </row>
    <row r="44" spans="1:6" ht="27.6" x14ac:dyDescent="0.25">
      <c r="A44" s="345" t="s">
        <v>374</v>
      </c>
      <c r="B44" s="594"/>
      <c r="C44" s="737"/>
      <c r="D44" s="737">
        <v>31291</v>
      </c>
      <c r="E44" s="390">
        <f t="shared" si="0"/>
        <v>31291</v>
      </c>
    </row>
    <row r="45" spans="1:6" ht="15" x14ac:dyDescent="0.25">
      <c r="A45" s="345" t="s">
        <v>538</v>
      </c>
      <c r="B45" s="594">
        <v>1082</v>
      </c>
      <c r="C45" s="737"/>
      <c r="D45" s="737"/>
      <c r="E45" s="390">
        <f t="shared" si="0"/>
        <v>0</v>
      </c>
    </row>
    <row r="46" spans="1:6" ht="15" x14ac:dyDescent="0.25">
      <c r="A46" s="345" t="s">
        <v>785</v>
      </c>
      <c r="B46" s="594"/>
      <c r="C46" s="737">
        <v>124</v>
      </c>
      <c r="D46" s="737">
        <v>1</v>
      </c>
      <c r="E46" s="390">
        <f t="shared" si="0"/>
        <v>-123</v>
      </c>
    </row>
    <row r="47" spans="1:6" ht="28.5" customHeight="1" x14ac:dyDescent="0.25">
      <c r="A47" s="345" t="s">
        <v>17</v>
      </c>
      <c r="B47" s="594"/>
      <c r="C47" s="737">
        <v>1651</v>
      </c>
      <c r="D47" s="737">
        <v>114</v>
      </c>
      <c r="E47" s="390">
        <f t="shared" si="0"/>
        <v>-1537</v>
      </c>
    </row>
    <row r="48" spans="1:6" ht="27.6" x14ac:dyDescent="0.25">
      <c r="A48" s="345" t="s">
        <v>460</v>
      </c>
      <c r="B48" s="594">
        <v>892</v>
      </c>
      <c r="C48" s="737">
        <v>0</v>
      </c>
      <c r="D48" s="737"/>
      <c r="E48" s="390">
        <f t="shared" si="0"/>
        <v>0</v>
      </c>
    </row>
    <row r="49" spans="1:5" ht="27.6" x14ac:dyDescent="0.25">
      <c r="A49" s="345" t="s">
        <v>461</v>
      </c>
      <c r="B49" s="594">
        <v>1096</v>
      </c>
      <c r="C49" s="738">
        <v>78</v>
      </c>
      <c r="D49" s="738">
        <v>78</v>
      </c>
      <c r="E49" s="1263">
        <f t="shared" si="0"/>
        <v>0</v>
      </c>
    </row>
    <row r="50" spans="1:5" ht="27.6" x14ac:dyDescent="0.25">
      <c r="A50" s="345" t="s">
        <v>716</v>
      </c>
      <c r="B50" s="594">
        <v>1337</v>
      </c>
      <c r="C50" s="738"/>
      <c r="D50" s="738"/>
      <c r="E50" s="1263">
        <f t="shared" si="0"/>
        <v>0</v>
      </c>
    </row>
    <row r="51" spans="1:5" ht="15.6" thickBot="1" x14ac:dyDescent="0.3">
      <c r="A51" s="1282" t="s">
        <v>1028</v>
      </c>
      <c r="B51" s="1283"/>
      <c r="C51" s="1284"/>
      <c r="D51" s="599">
        <v>35034</v>
      </c>
      <c r="E51" s="1315">
        <f t="shared" si="0"/>
        <v>35034</v>
      </c>
    </row>
    <row r="52" spans="1:5" ht="15" x14ac:dyDescent="0.25">
      <c r="A52" s="1280"/>
      <c r="B52" s="1281"/>
      <c r="C52" s="1281"/>
      <c r="D52" s="1281"/>
      <c r="E52" s="1281"/>
    </row>
    <row r="53" spans="1:5" ht="15" x14ac:dyDescent="0.25">
      <c r="A53" s="114"/>
      <c r="B53" s="107"/>
      <c r="C53" s="107"/>
      <c r="D53" s="107"/>
      <c r="E53" s="107"/>
    </row>
  </sheetData>
  <sheetProtection selectLockedCells="1" selectUnlockedCells="1"/>
  <phoneticPr fontId="28" type="noConversion"/>
  <printOptions horizontalCentered="1"/>
  <pageMargins left="0.4597222222222222" right="0.57986111111111116" top="1.1201388888888888" bottom="0.98402777777777772" header="0.45" footer="0.51180555555555551"/>
  <pageSetup paperSize="9" scale="59" firstPageNumber="0" orientation="portrait" r:id="rId1"/>
  <headerFooter alignWithMargins="0">
    <oddHeader>&amp;C&amp;"Arial,Félkövér"&amp;12AZ ÖNKORMÁNYZAT 2016. ÉVI FŐÖSSZESÍTŐJE
1. melléklet
az önkormányzat 2016. évi költségvetéséről szóló 8/2016. (II.26.) önkormányzati rendelet
módosításáról szóló 7/2017.(II.24.) önkormányzati rendelethez
&amp;R
&amp;P. oldal
ezer forint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99"/>
  <sheetViews>
    <sheetView view="pageLayout" topLeftCell="D3" zoomScale="85" zoomScaleNormal="75" zoomScaleSheetLayoutView="89" zoomScalePageLayoutView="85" workbookViewId="0">
      <selection activeCell="D89" sqref="D89"/>
    </sheetView>
  </sheetViews>
  <sheetFormatPr defaultColWidth="9.109375" defaultRowHeight="13.2" x14ac:dyDescent="0.25"/>
  <cols>
    <col min="1" max="1" width="25.6640625" style="113" customWidth="1"/>
    <col min="2" max="5" width="11.44140625" style="113" customWidth="1"/>
    <col min="6" max="9" width="11.109375" style="113" customWidth="1"/>
    <col min="10" max="13" width="11.44140625" style="113" customWidth="1"/>
    <col min="14" max="17" width="11.6640625" style="113" customWidth="1"/>
    <col min="18" max="18" width="9.6640625" style="116" customWidth="1"/>
    <col min="19" max="20" width="9.109375" style="116"/>
    <col min="21" max="21" width="0.33203125" style="116" customWidth="1"/>
    <col min="22" max="16384" width="9.109375" style="116"/>
  </cols>
  <sheetData>
    <row r="1" spans="1:18" ht="13.8" hidden="1" thickBot="1" x14ac:dyDescent="0.3">
      <c r="A1" s="213"/>
      <c r="B1" s="211"/>
      <c r="C1" s="211"/>
      <c r="D1" s="211"/>
      <c r="E1" s="211"/>
      <c r="F1" s="211"/>
      <c r="G1" s="211"/>
      <c r="H1" s="211"/>
      <c r="I1" s="211"/>
      <c r="J1" s="211"/>
      <c r="K1" s="211"/>
      <c r="L1" s="211"/>
      <c r="M1" s="211"/>
      <c r="N1" s="211"/>
      <c r="O1" s="211"/>
      <c r="P1" s="211"/>
      <c r="Q1" s="211"/>
    </row>
    <row r="2" spans="1:18" ht="13.8" hidden="1" thickBot="1" x14ac:dyDescent="0.3">
      <c r="A2" s="216"/>
    </row>
    <row r="3" spans="1:18" s="117" customFormat="1" ht="27.75" customHeight="1" thickBot="1" x14ac:dyDescent="0.25">
      <c r="A3" s="960" t="s">
        <v>307</v>
      </c>
      <c r="B3" s="1571" t="s">
        <v>717</v>
      </c>
      <c r="C3" s="1572"/>
      <c r="D3" s="1572"/>
      <c r="E3" s="1573"/>
      <c r="F3" s="1574" t="s">
        <v>718</v>
      </c>
      <c r="G3" s="1575"/>
      <c r="H3" s="1575"/>
      <c r="I3" s="1575"/>
      <c r="J3" s="1571" t="s">
        <v>719</v>
      </c>
      <c r="K3" s="1572"/>
      <c r="L3" s="1572"/>
      <c r="M3" s="1573"/>
      <c r="N3" s="1571" t="s">
        <v>720</v>
      </c>
      <c r="O3" s="1572"/>
      <c r="P3" s="1572"/>
      <c r="Q3" s="1573"/>
    </row>
    <row r="4" spans="1:18" s="118" customFormat="1" ht="53.25" customHeight="1" thickBot="1" x14ac:dyDescent="0.3">
      <c r="A4" s="348"/>
      <c r="B4" s="817" t="s">
        <v>659</v>
      </c>
      <c r="C4" s="347" t="s">
        <v>52</v>
      </c>
      <c r="D4" s="347" t="s">
        <v>801</v>
      </c>
      <c r="E4" s="562" t="s">
        <v>660</v>
      </c>
      <c r="F4" s="817" t="s">
        <v>659</v>
      </c>
      <c r="G4" s="347" t="s">
        <v>52</v>
      </c>
      <c r="H4" s="347" t="s">
        <v>801</v>
      </c>
      <c r="I4" s="562" t="s">
        <v>660</v>
      </c>
      <c r="J4" s="817" t="s">
        <v>659</v>
      </c>
      <c r="K4" s="347" t="s">
        <v>52</v>
      </c>
      <c r="L4" s="347" t="s">
        <v>801</v>
      </c>
      <c r="M4" s="562" t="s">
        <v>660</v>
      </c>
      <c r="N4" s="817" t="s">
        <v>659</v>
      </c>
      <c r="O4" s="347" t="s">
        <v>52</v>
      </c>
      <c r="P4" s="347" t="s">
        <v>801</v>
      </c>
      <c r="Q4" s="562" t="s">
        <v>660</v>
      </c>
    </row>
    <row r="5" spans="1:18" s="118" customFormat="1" ht="39.6" x14ac:dyDescent="0.25">
      <c r="A5" s="395" t="s">
        <v>682</v>
      </c>
      <c r="B5" s="1034">
        <f>B6+B14+B15+B16+B17+B18</f>
        <v>1084203</v>
      </c>
      <c r="C5" s="1038">
        <f>C6+C14+C15+C16+C17+C18</f>
        <v>1215948</v>
      </c>
      <c r="D5" s="1038">
        <f>D6+D14+D15+D16+D17+D18</f>
        <v>1244481</v>
      </c>
      <c r="E5" s="1036">
        <f>D5-C5</f>
        <v>28533</v>
      </c>
      <c r="F5" s="600">
        <f>F6+F14+F15+F16+F17+F18</f>
        <v>16525</v>
      </c>
      <c r="G5" s="1201">
        <f>G6+G14+G15+G16+G17+G18</f>
        <v>22707</v>
      </c>
      <c r="H5" s="1201">
        <f>H6+H14+H15+H16+H17+H18</f>
        <v>22732</v>
      </c>
      <c r="I5" s="1204">
        <f>H5-G5</f>
        <v>25</v>
      </c>
      <c r="J5" s="959">
        <f>J6+J14+J15+J16+J17+J18</f>
        <v>90800</v>
      </c>
      <c r="K5" s="771">
        <f>K6+K14+K15+K16+K17+K18</f>
        <v>98101</v>
      </c>
      <c r="L5" s="771">
        <f>L6+L14+L15+L16+L17+L18</f>
        <v>98101</v>
      </c>
      <c r="M5" s="953">
        <f>L5-K5</f>
        <v>0</v>
      </c>
      <c r="N5" s="956">
        <f>N6+N14+N15+N16+N17+N18</f>
        <v>1191528</v>
      </c>
      <c r="O5" s="394">
        <f>O6+O14+O15+O16+O17+O18</f>
        <v>1336756</v>
      </c>
      <c r="P5" s="394">
        <f>P6+P14+P15+P16+P17+P18</f>
        <v>1365314</v>
      </c>
      <c r="Q5" s="430">
        <f>P5-O5</f>
        <v>28558</v>
      </c>
    </row>
    <row r="6" spans="1:18" s="120" customFormat="1" ht="26.4" x14ac:dyDescent="0.25">
      <c r="A6" s="396" t="s">
        <v>721</v>
      </c>
      <c r="B6" s="760">
        <f>SUM(B7:B12)</f>
        <v>1041539</v>
      </c>
      <c r="C6" s="768">
        <f>SUM(C7:C13)</f>
        <v>1132123</v>
      </c>
      <c r="D6" s="768">
        <f>SUM(D7:D13)</f>
        <v>1160656</v>
      </c>
      <c r="E6" s="1037">
        <f>D6-C6</f>
        <v>28533</v>
      </c>
      <c r="F6" s="602">
        <f>SUM(F7:F12)</f>
        <v>0</v>
      </c>
      <c r="G6" s="765"/>
      <c r="H6" s="768"/>
      <c r="I6" s="962">
        <f>H6-G6</f>
        <v>0</v>
      </c>
      <c r="J6" s="961">
        <f>SUM(J7:J12)</f>
        <v>0</v>
      </c>
      <c r="K6" s="768"/>
      <c r="L6" s="768"/>
      <c r="M6" s="962">
        <f>L6-K6</f>
        <v>0</v>
      </c>
      <c r="N6" s="965">
        <f>SUM(N7:N12)</f>
        <v>1041539</v>
      </c>
      <c r="O6" s="218">
        <f>SUM(O7:O13)</f>
        <v>1132123</v>
      </c>
      <c r="P6" s="218">
        <f>SUM(P7:P13)</f>
        <v>1160656</v>
      </c>
      <c r="Q6" s="581">
        <f>P6-O6</f>
        <v>28533</v>
      </c>
      <c r="R6" s="119"/>
    </row>
    <row r="7" spans="1:18" s="120" customFormat="1" ht="26.4" x14ac:dyDescent="0.25">
      <c r="A7" s="397" t="s">
        <v>722</v>
      </c>
      <c r="B7" s="366">
        <v>577840</v>
      </c>
      <c r="C7" s="368">
        <v>577840</v>
      </c>
      <c r="D7" s="368">
        <v>577840</v>
      </c>
      <c r="E7" s="1037">
        <f t="shared" ref="E7:E25" si="0">D7-C7</f>
        <v>0</v>
      </c>
      <c r="F7" s="603"/>
      <c r="G7" s="766"/>
      <c r="H7" s="368"/>
      <c r="I7" s="962">
        <f t="shared" ref="I7:I19" si="1">H7-G7</f>
        <v>0</v>
      </c>
      <c r="J7" s="405"/>
      <c r="K7" s="368"/>
      <c r="L7" s="368"/>
      <c r="M7" s="962">
        <f t="shared" ref="M7:M25" si="2">L7-K7</f>
        <v>0</v>
      </c>
      <c r="N7" s="966">
        <f t="shared" ref="N7:P12" si="3">SUM(B7+F7+J7)</f>
        <v>577840</v>
      </c>
      <c r="O7" s="219">
        <f t="shared" si="3"/>
        <v>577840</v>
      </c>
      <c r="P7" s="219">
        <f t="shared" si="3"/>
        <v>577840</v>
      </c>
      <c r="Q7" s="581">
        <f t="shared" ref="Q7:Q25" si="4">P7-O7</f>
        <v>0</v>
      </c>
      <c r="R7" s="119"/>
    </row>
    <row r="8" spans="1:18" s="120" customFormat="1" ht="39.6" x14ac:dyDescent="0.25">
      <c r="A8" s="397" t="s">
        <v>723</v>
      </c>
      <c r="B8" s="366">
        <v>268431</v>
      </c>
      <c r="C8" s="368">
        <v>265790</v>
      </c>
      <c r="D8" s="368">
        <v>265790</v>
      </c>
      <c r="E8" s="1037">
        <f t="shared" si="0"/>
        <v>0</v>
      </c>
      <c r="F8" s="603"/>
      <c r="G8" s="766"/>
      <c r="H8" s="368"/>
      <c r="I8" s="962">
        <f t="shared" si="1"/>
        <v>0</v>
      </c>
      <c r="J8" s="405"/>
      <c r="K8" s="368"/>
      <c r="L8" s="368"/>
      <c r="M8" s="962">
        <f t="shared" si="2"/>
        <v>0</v>
      </c>
      <c r="N8" s="966">
        <f t="shared" si="3"/>
        <v>268431</v>
      </c>
      <c r="O8" s="219">
        <f t="shared" si="3"/>
        <v>265790</v>
      </c>
      <c r="P8" s="219">
        <f t="shared" si="3"/>
        <v>265790</v>
      </c>
      <c r="Q8" s="581">
        <f t="shared" si="4"/>
        <v>0</v>
      </c>
      <c r="R8" s="119"/>
    </row>
    <row r="9" spans="1:18" s="120" customFormat="1" ht="39.6" x14ac:dyDescent="0.25">
      <c r="A9" s="398" t="s">
        <v>724</v>
      </c>
      <c r="B9" s="366">
        <v>179419</v>
      </c>
      <c r="C9" s="368">
        <v>196604</v>
      </c>
      <c r="D9" s="368">
        <v>195083</v>
      </c>
      <c r="E9" s="1037">
        <f t="shared" si="0"/>
        <v>-1521</v>
      </c>
      <c r="F9" s="603"/>
      <c r="G9" s="766"/>
      <c r="H9" s="368"/>
      <c r="I9" s="962">
        <f t="shared" si="1"/>
        <v>0</v>
      </c>
      <c r="J9" s="405"/>
      <c r="K9" s="368"/>
      <c r="L9" s="368"/>
      <c r="M9" s="962">
        <f t="shared" si="2"/>
        <v>0</v>
      </c>
      <c r="N9" s="966">
        <f t="shared" si="3"/>
        <v>179419</v>
      </c>
      <c r="O9" s="219">
        <f t="shared" si="3"/>
        <v>196604</v>
      </c>
      <c r="P9" s="219">
        <f t="shared" si="3"/>
        <v>195083</v>
      </c>
      <c r="Q9" s="581">
        <f t="shared" si="4"/>
        <v>-1521</v>
      </c>
      <c r="R9" s="119"/>
    </row>
    <row r="10" spans="1:18" s="120" customFormat="1" ht="26.4" x14ac:dyDescent="0.25">
      <c r="A10" s="398" t="s">
        <v>725</v>
      </c>
      <c r="B10" s="366">
        <v>15849</v>
      </c>
      <c r="C10" s="368">
        <v>16614</v>
      </c>
      <c r="D10" s="368">
        <v>16614</v>
      </c>
      <c r="E10" s="1037">
        <f t="shared" si="0"/>
        <v>0</v>
      </c>
      <c r="F10" s="603"/>
      <c r="G10" s="766"/>
      <c r="H10" s="368"/>
      <c r="I10" s="962">
        <f t="shared" si="1"/>
        <v>0</v>
      </c>
      <c r="J10" s="405"/>
      <c r="K10" s="368"/>
      <c r="L10" s="368"/>
      <c r="M10" s="962">
        <f t="shared" si="2"/>
        <v>0</v>
      </c>
      <c r="N10" s="966">
        <f t="shared" si="3"/>
        <v>15849</v>
      </c>
      <c r="O10" s="219">
        <f t="shared" si="3"/>
        <v>16614</v>
      </c>
      <c r="P10" s="219">
        <f t="shared" si="3"/>
        <v>16614</v>
      </c>
      <c r="Q10" s="581">
        <f t="shared" si="4"/>
        <v>0</v>
      </c>
      <c r="R10" s="119"/>
    </row>
    <row r="11" spans="1:18" s="118" customFormat="1" ht="39.6" x14ac:dyDescent="0.25">
      <c r="A11" s="399" t="s">
        <v>584</v>
      </c>
      <c r="B11" s="366"/>
      <c r="C11" s="368">
        <v>69220</v>
      </c>
      <c r="D11" s="368">
        <v>104254</v>
      </c>
      <c r="E11" s="1037">
        <f t="shared" si="0"/>
        <v>35034</v>
      </c>
      <c r="F11" s="603"/>
      <c r="G11" s="766"/>
      <c r="H11" s="368"/>
      <c r="I11" s="962">
        <f t="shared" si="1"/>
        <v>0</v>
      </c>
      <c r="J11" s="405"/>
      <c r="K11" s="368"/>
      <c r="L11" s="368"/>
      <c r="M11" s="962">
        <f t="shared" si="2"/>
        <v>0</v>
      </c>
      <c r="N11" s="966">
        <f t="shared" si="3"/>
        <v>0</v>
      </c>
      <c r="O11" s="219">
        <f t="shared" si="3"/>
        <v>69220</v>
      </c>
      <c r="P11" s="219">
        <f t="shared" si="3"/>
        <v>104254</v>
      </c>
      <c r="Q11" s="581">
        <f t="shared" si="4"/>
        <v>35034</v>
      </c>
    </row>
    <row r="12" spans="1:18" s="118" customFormat="1" ht="26.4" x14ac:dyDescent="0.25">
      <c r="A12" s="399" t="s">
        <v>667</v>
      </c>
      <c r="B12" s="366"/>
      <c r="C12" s="368">
        <v>1075</v>
      </c>
      <c r="D12" s="368">
        <v>1075</v>
      </c>
      <c r="E12" s="1037">
        <f t="shared" si="0"/>
        <v>0</v>
      </c>
      <c r="F12" s="603"/>
      <c r="G12" s="766"/>
      <c r="H12" s="368"/>
      <c r="I12" s="962">
        <f t="shared" si="1"/>
        <v>0</v>
      </c>
      <c r="J12" s="405"/>
      <c r="K12" s="368"/>
      <c r="L12" s="368"/>
      <c r="M12" s="962">
        <f t="shared" si="2"/>
        <v>0</v>
      </c>
      <c r="N12" s="966">
        <f t="shared" si="3"/>
        <v>0</v>
      </c>
      <c r="O12" s="716">
        <f t="shared" si="3"/>
        <v>1075</v>
      </c>
      <c r="P12" s="716">
        <f t="shared" si="3"/>
        <v>1075</v>
      </c>
      <c r="Q12" s="581">
        <f t="shared" si="4"/>
        <v>0</v>
      </c>
    </row>
    <row r="13" spans="1:18" s="118" customFormat="1" x14ac:dyDescent="0.25">
      <c r="A13" s="399" t="s">
        <v>781</v>
      </c>
      <c r="B13" s="366"/>
      <c r="C13" s="368">
        <v>4980</v>
      </c>
      <c r="D13" s="368">
        <v>0</v>
      </c>
      <c r="E13" s="1037">
        <f t="shared" si="0"/>
        <v>-4980</v>
      </c>
      <c r="F13" s="603"/>
      <c r="G13" s="766"/>
      <c r="H13" s="368"/>
      <c r="I13" s="962">
        <f t="shared" si="1"/>
        <v>0</v>
      </c>
      <c r="J13" s="405"/>
      <c r="K13" s="368"/>
      <c r="L13" s="368"/>
      <c r="M13" s="962">
        <f t="shared" si="2"/>
        <v>0</v>
      </c>
      <c r="N13" s="1170"/>
      <c r="O13" s="1171">
        <f>SUM(C13+G13+K13)</f>
        <v>4980</v>
      </c>
      <c r="P13" s="1171">
        <f>SUM(D13+H13+L13)</f>
        <v>0</v>
      </c>
      <c r="Q13" s="581">
        <f t="shared" si="4"/>
        <v>-4980</v>
      </c>
    </row>
    <row r="14" spans="1:18" s="118" customFormat="1" x14ac:dyDescent="0.25">
      <c r="A14" s="399" t="s">
        <v>333</v>
      </c>
      <c r="B14" s="366"/>
      <c r="C14" s="368"/>
      <c r="D14" s="368"/>
      <c r="E14" s="1037">
        <f t="shared" si="0"/>
        <v>0</v>
      </c>
      <c r="F14" s="603"/>
      <c r="G14" s="766"/>
      <c r="H14" s="368"/>
      <c r="I14" s="962">
        <f t="shared" si="1"/>
        <v>0</v>
      </c>
      <c r="J14" s="405"/>
      <c r="K14" s="368"/>
      <c r="L14" s="368"/>
      <c r="M14" s="962">
        <f t="shared" si="2"/>
        <v>0</v>
      </c>
      <c r="N14" s="957"/>
      <c r="O14" s="1046"/>
      <c r="P14" s="368"/>
      <c r="Q14" s="581">
        <f t="shared" si="4"/>
        <v>0</v>
      </c>
    </row>
    <row r="15" spans="1:18" s="121" customFormat="1" ht="52.8" x14ac:dyDescent="0.25">
      <c r="A15" s="399" t="s">
        <v>726</v>
      </c>
      <c r="B15" s="366"/>
      <c r="C15" s="768"/>
      <c r="D15" s="768"/>
      <c r="E15" s="1037">
        <f t="shared" si="0"/>
        <v>0</v>
      </c>
      <c r="F15" s="603"/>
      <c r="G15" s="765"/>
      <c r="H15" s="768"/>
      <c r="I15" s="962">
        <f t="shared" si="1"/>
        <v>0</v>
      </c>
      <c r="J15" s="405"/>
      <c r="K15" s="768"/>
      <c r="L15" s="768"/>
      <c r="M15" s="962">
        <f t="shared" si="2"/>
        <v>0</v>
      </c>
      <c r="N15" s="1065">
        <f t="shared" ref="N15:P19" si="5">B15+F15+J15</f>
        <v>0</v>
      </c>
      <c r="O15" s="766">
        <f t="shared" si="5"/>
        <v>0</v>
      </c>
      <c r="P15" s="368"/>
      <c r="Q15" s="581">
        <f t="shared" si="4"/>
        <v>0</v>
      </c>
    </row>
    <row r="16" spans="1:18" s="121" customFormat="1" ht="52.8" x14ac:dyDescent="0.25">
      <c r="A16" s="398" t="s">
        <v>727</v>
      </c>
      <c r="B16" s="366"/>
      <c r="C16" s="768"/>
      <c r="D16" s="768"/>
      <c r="E16" s="1037">
        <f t="shared" si="0"/>
        <v>0</v>
      </c>
      <c r="F16" s="603"/>
      <c r="G16" s="765"/>
      <c r="H16" s="768"/>
      <c r="I16" s="962">
        <f t="shared" si="1"/>
        <v>0</v>
      </c>
      <c r="J16" s="405"/>
      <c r="K16" s="768"/>
      <c r="L16" s="768"/>
      <c r="M16" s="962">
        <f t="shared" si="2"/>
        <v>0</v>
      </c>
      <c r="N16" s="1065">
        <f t="shared" si="5"/>
        <v>0</v>
      </c>
      <c r="O16" s="766">
        <f t="shared" si="5"/>
        <v>0</v>
      </c>
      <c r="P16" s="368"/>
      <c r="Q16" s="581">
        <f t="shared" si="4"/>
        <v>0</v>
      </c>
    </row>
    <row r="17" spans="1:18" s="121" customFormat="1" ht="52.8" x14ac:dyDescent="0.25">
      <c r="A17" s="398" t="s">
        <v>728</v>
      </c>
      <c r="B17" s="366"/>
      <c r="C17" s="768"/>
      <c r="D17" s="768"/>
      <c r="E17" s="1037">
        <f t="shared" si="0"/>
        <v>0</v>
      </c>
      <c r="F17" s="603"/>
      <c r="G17" s="765"/>
      <c r="H17" s="768"/>
      <c r="I17" s="962">
        <f t="shared" si="1"/>
        <v>0</v>
      </c>
      <c r="J17" s="405"/>
      <c r="K17" s="768"/>
      <c r="L17" s="768"/>
      <c r="M17" s="962">
        <f t="shared" si="2"/>
        <v>0</v>
      </c>
      <c r="N17" s="1065">
        <f t="shared" si="5"/>
        <v>0</v>
      </c>
      <c r="O17" s="766">
        <f t="shared" si="5"/>
        <v>0</v>
      </c>
      <c r="P17" s="368"/>
      <c r="Q17" s="581">
        <f t="shared" si="4"/>
        <v>0</v>
      </c>
    </row>
    <row r="18" spans="1:18" s="118" customFormat="1" ht="39.6" x14ac:dyDescent="0.25">
      <c r="A18" s="398" t="s">
        <v>729</v>
      </c>
      <c r="B18" s="366">
        <v>42664</v>
      </c>
      <c r="C18" s="368">
        <v>83825</v>
      </c>
      <c r="D18" s="368">
        <v>83825</v>
      </c>
      <c r="E18" s="1037">
        <f t="shared" si="0"/>
        <v>0</v>
      </c>
      <c r="F18" s="603">
        <v>16525</v>
      </c>
      <c r="G18" s="766">
        <v>22707</v>
      </c>
      <c r="H18" s="368">
        <f>'2.a tábla ÚJ '!AY13</f>
        <v>22732</v>
      </c>
      <c r="I18" s="962">
        <f t="shared" si="1"/>
        <v>25</v>
      </c>
      <c r="J18" s="405">
        <v>90800</v>
      </c>
      <c r="K18" s="368">
        <v>98101</v>
      </c>
      <c r="L18" s="368">
        <f>'2.a tábla ÚJ '!AT13</f>
        <v>98101</v>
      </c>
      <c r="M18" s="962">
        <f t="shared" si="2"/>
        <v>0</v>
      </c>
      <c r="N18" s="966">
        <f t="shared" si="5"/>
        <v>149989</v>
      </c>
      <c r="O18" s="366">
        <f t="shared" si="5"/>
        <v>204633</v>
      </c>
      <c r="P18" s="366">
        <f t="shared" si="5"/>
        <v>204658</v>
      </c>
      <c r="Q18" s="581">
        <f t="shared" si="4"/>
        <v>25</v>
      </c>
    </row>
    <row r="19" spans="1:18" s="118" customFormat="1" ht="39.6" x14ac:dyDescent="0.25">
      <c r="A19" s="398" t="s">
        <v>730</v>
      </c>
      <c r="B19" s="366"/>
      <c r="C19" s="368"/>
      <c r="D19" s="368"/>
      <c r="E19" s="1037">
        <f t="shared" si="0"/>
        <v>0</v>
      </c>
      <c r="F19" s="603"/>
      <c r="G19" s="766"/>
      <c r="H19" s="368"/>
      <c r="I19" s="962">
        <f t="shared" si="1"/>
        <v>0</v>
      </c>
      <c r="J19" s="405">
        <v>90000</v>
      </c>
      <c r="K19" s="368">
        <v>93801</v>
      </c>
      <c r="L19" s="368">
        <f>'2.a tábla ÚJ '!AT14</f>
        <v>93801</v>
      </c>
      <c r="M19" s="962">
        <f t="shared" si="2"/>
        <v>0</v>
      </c>
      <c r="N19" s="966">
        <f t="shared" si="5"/>
        <v>90000</v>
      </c>
      <c r="O19" s="219">
        <f t="shared" si="5"/>
        <v>93801</v>
      </c>
      <c r="P19" s="219">
        <f t="shared" si="5"/>
        <v>93801</v>
      </c>
      <c r="Q19" s="581">
        <f t="shared" si="4"/>
        <v>0</v>
      </c>
    </row>
    <row r="20" spans="1:18" s="118" customFormat="1" ht="39.6" x14ac:dyDescent="0.25">
      <c r="A20" s="400" t="s">
        <v>683</v>
      </c>
      <c r="B20" s="1035">
        <f>B21+B22+B23+B24+B25</f>
        <v>287821</v>
      </c>
      <c r="C20" s="367">
        <f>C21+C22+C23+C24+C25</f>
        <v>1545773</v>
      </c>
      <c r="D20" s="367">
        <f>D21+D22+D23+D24+D25</f>
        <v>1547170</v>
      </c>
      <c r="E20" s="1040">
        <f t="shared" si="0"/>
        <v>1397</v>
      </c>
      <c r="F20" s="770">
        <f>F21+F22+F23+F24+F25</f>
        <v>0</v>
      </c>
      <c r="G20" s="767">
        <f>G21+G22+G23+G24+G25</f>
        <v>0</v>
      </c>
      <c r="H20" s="367"/>
      <c r="I20" s="1039">
        <f t="shared" ref="I20:I25" si="6">H20-G20</f>
        <v>0</v>
      </c>
      <c r="J20" s="404">
        <f>J21+J22+J23+J24+J25</f>
        <v>0</v>
      </c>
      <c r="K20" s="367">
        <f>K21+K22+K23+K24+K25</f>
        <v>246</v>
      </c>
      <c r="L20" s="367">
        <f>L25</f>
        <v>246</v>
      </c>
      <c r="M20" s="1039">
        <f t="shared" si="2"/>
        <v>0</v>
      </c>
      <c r="N20" s="958">
        <f>N21+N22+N23+N24+N25</f>
        <v>287821</v>
      </c>
      <c r="O20" s="217">
        <f>O21+O22+O23+O24+O25</f>
        <v>1546019</v>
      </c>
      <c r="P20" s="217">
        <f>P21+P22+P23+P24+P25</f>
        <v>1547416</v>
      </c>
      <c r="Q20" s="608">
        <f t="shared" si="4"/>
        <v>1397</v>
      </c>
    </row>
    <row r="21" spans="1:18" s="118" customFormat="1" ht="26.4" x14ac:dyDescent="0.25">
      <c r="A21" s="398" t="s">
        <v>731</v>
      </c>
      <c r="B21" s="716">
        <v>72000</v>
      </c>
      <c r="C21" s="368">
        <v>75508</v>
      </c>
      <c r="D21" s="368">
        <v>76905</v>
      </c>
      <c r="E21" s="1037">
        <f t="shared" si="0"/>
        <v>1397</v>
      </c>
      <c r="F21" s="606"/>
      <c r="G21" s="766"/>
      <c r="H21" s="368"/>
      <c r="I21" s="962">
        <f t="shared" si="6"/>
        <v>0</v>
      </c>
      <c r="J21" s="405"/>
      <c r="K21" s="368"/>
      <c r="L21" s="368"/>
      <c r="M21" s="962">
        <f t="shared" si="2"/>
        <v>0</v>
      </c>
      <c r="N21" s="966">
        <f t="shared" ref="N21:P25" si="7">B21+F21+J21</f>
        <v>72000</v>
      </c>
      <c r="O21" s="219">
        <f t="shared" si="7"/>
        <v>75508</v>
      </c>
      <c r="P21" s="219">
        <f t="shared" si="7"/>
        <v>76905</v>
      </c>
      <c r="Q21" s="581">
        <f t="shared" si="4"/>
        <v>1397</v>
      </c>
    </row>
    <row r="22" spans="1:18" s="118" customFormat="1" ht="52.8" x14ac:dyDescent="0.25">
      <c r="A22" s="398" t="s">
        <v>732</v>
      </c>
      <c r="B22" s="366"/>
      <c r="C22" s="368"/>
      <c r="D22" s="368"/>
      <c r="E22" s="1037">
        <f t="shared" si="0"/>
        <v>0</v>
      </c>
      <c r="F22" s="603"/>
      <c r="G22" s="766"/>
      <c r="H22" s="368"/>
      <c r="I22" s="962">
        <f t="shared" si="6"/>
        <v>0</v>
      </c>
      <c r="J22" s="405"/>
      <c r="K22" s="368"/>
      <c r="L22" s="368"/>
      <c r="M22" s="962">
        <f t="shared" si="2"/>
        <v>0</v>
      </c>
      <c r="N22" s="966">
        <f t="shared" si="7"/>
        <v>0</v>
      </c>
      <c r="O22" s="219">
        <f t="shared" si="7"/>
        <v>0</v>
      </c>
      <c r="P22" s="219">
        <f t="shared" si="7"/>
        <v>0</v>
      </c>
      <c r="Q22" s="581">
        <f t="shared" si="4"/>
        <v>0</v>
      </c>
    </row>
    <row r="23" spans="1:18" s="118" customFormat="1" ht="52.8" x14ac:dyDescent="0.25">
      <c r="A23" s="398" t="s">
        <v>733</v>
      </c>
      <c r="B23" s="366">
        <v>200000</v>
      </c>
      <c r="C23" s="368">
        <v>200000</v>
      </c>
      <c r="D23" s="368">
        <v>200000</v>
      </c>
      <c r="E23" s="1037">
        <f t="shared" si="0"/>
        <v>0</v>
      </c>
      <c r="F23" s="603"/>
      <c r="G23" s="766"/>
      <c r="H23" s="368"/>
      <c r="I23" s="962">
        <f t="shared" si="6"/>
        <v>0</v>
      </c>
      <c r="J23" s="405"/>
      <c r="K23" s="368"/>
      <c r="L23" s="368"/>
      <c r="M23" s="962">
        <f t="shared" si="2"/>
        <v>0</v>
      </c>
      <c r="N23" s="966">
        <f t="shared" si="7"/>
        <v>200000</v>
      </c>
      <c r="O23" s="219">
        <f t="shared" si="7"/>
        <v>200000</v>
      </c>
      <c r="P23" s="219">
        <f t="shared" si="7"/>
        <v>200000</v>
      </c>
      <c r="Q23" s="581">
        <f t="shared" si="4"/>
        <v>0</v>
      </c>
    </row>
    <row r="24" spans="1:18" s="118" customFormat="1" ht="52.8" x14ac:dyDescent="0.25">
      <c r="A24" s="398" t="s">
        <v>734</v>
      </c>
      <c r="B24" s="1046"/>
      <c r="C24" s="1047"/>
      <c r="D24" s="368"/>
      <c r="E24" s="1037">
        <f t="shared" si="0"/>
        <v>0</v>
      </c>
      <c r="F24" s="1048"/>
      <c r="G24" s="1050"/>
      <c r="H24" s="368"/>
      <c r="I24" s="962">
        <f t="shared" si="6"/>
        <v>0</v>
      </c>
      <c r="J24" s="1049"/>
      <c r="K24" s="1047"/>
      <c r="L24" s="368"/>
      <c r="M24" s="962">
        <f t="shared" si="2"/>
        <v>0</v>
      </c>
      <c r="N24" s="1051">
        <f t="shared" si="7"/>
        <v>0</v>
      </c>
      <c r="O24" s="1052">
        <f t="shared" si="7"/>
        <v>0</v>
      </c>
      <c r="P24" s="1052">
        <f t="shared" si="7"/>
        <v>0</v>
      </c>
      <c r="Q24" s="581">
        <f t="shared" si="4"/>
        <v>0</v>
      </c>
    </row>
    <row r="25" spans="1:18" s="118" customFormat="1" ht="40.200000000000003" thickBot="1" x14ac:dyDescent="0.3">
      <c r="A25" s="401" t="s">
        <v>334</v>
      </c>
      <c r="B25" s="1053">
        <v>15821</v>
      </c>
      <c r="C25" s="964">
        <v>1270265</v>
      </c>
      <c r="D25" s="964">
        <v>1270265</v>
      </c>
      <c r="E25" s="1054">
        <f t="shared" si="0"/>
        <v>0</v>
      </c>
      <c r="F25" s="963"/>
      <c r="G25" s="769"/>
      <c r="H25" s="964"/>
      <c r="I25" s="1205">
        <f t="shared" si="6"/>
        <v>0</v>
      </c>
      <c r="J25" s="963"/>
      <c r="K25" s="964">
        <v>246</v>
      </c>
      <c r="L25" s="964">
        <f>'2.a tábla ÚJ '!AT16</f>
        <v>246</v>
      </c>
      <c r="M25" s="1205">
        <f t="shared" si="2"/>
        <v>0</v>
      </c>
      <c r="N25" s="1055">
        <f t="shared" si="7"/>
        <v>15821</v>
      </c>
      <c r="O25" s="1056">
        <f t="shared" si="7"/>
        <v>1270511</v>
      </c>
      <c r="P25" s="1056">
        <f t="shared" si="7"/>
        <v>1270511</v>
      </c>
      <c r="Q25" s="1206">
        <f t="shared" si="4"/>
        <v>0</v>
      </c>
    </row>
    <row r="26" spans="1:18" s="118" customFormat="1" ht="27" customHeight="1" thickBot="1" x14ac:dyDescent="0.3">
      <c r="A26" s="1066" t="s">
        <v>307</v>
      </c>
      <c r="B26" s="1576" t="s">
        <v>717</v>
      </c>
      <c r="C26" s="1572"/>
      <c r="D26" s="1565"/>
      <c r="E26" s="1565"/>
      <c r="F26" s="1571" t="s">
        <v>718</v>
      </c>
      <c r="G26" s="1572"/>
      <c r="H26" s="1565"/>
      <c r="I26" s="1566"/>
      <c r="J26" s="1576" t="s">
        <v>719</v>
      </c>
      <c r="K26" s="1577"/>
      <c r="L26" s="1565"/>
      <c r="M26" s="1565"/>
      <c r="N26" s="1571" t="s">
        <v>720</v>
      </c>
      <c r="O26" s="1572"/>
      <c r="P26" s="1572"/>
      <c r="Q26" s="1573"/>
    </row>
    <row r="27" spans="1:18" s="118" customFormat="1" ht="54" customHeight="1" thickBot="1" x14ac:dyDescent="0.3">
      <c r="A27" s="348"/>
      <c r="B27" s="817" t="s">
        <v>659</v>
      </c>
      <c r="C27" s="347" t="s">
        <v>52</v>
      </c>
      <c r="D27" s="347" t="s">
        <v>801</v>
      </c>
      <c r="E27" s="562" t="s">
        <v>660</v>
      </c>
      <c r="F27" s="817" t="s">
        <v>659</v>
      </c>
      <c r="G27" s="347" t="s">
        <v>52</v>
      </c>
      <c r="H27" s="347" t="s">
        <v>801</v>
      </c>
      <c r="I27" s="562" t="s">
        <v>660</v>
      </c>
      <c r="J27" s="817" t="s">
        <v>659</v>
      </c>
      <c r="K27" s="347" t="s">
        <v>52</v>
      </c>
      <c r="L27" s="347" t="s">
        <v>801</v>
      </c>
      <c r="M27" s="562" t="s">
        <v>660</v>
      </c>
      <c r="N27" s="817" t="s">
        <v>659</v>
      </c>
      <c r="O27" s="347" t="s">
        <v>52</v>
      </c>
      <c r="P27" s="347" t="s">
        <v>801</v>
      </c>
      <c r="Q27" s="562" t="s">
        <v>660</v>
      </c>
    </row>
    <row r="28" spans="1:18" s="118" customFormat="1" x14ac:dyDescent="0.25">
      <c r="A28" s="392" t="s">
        <v>684</v>
      </c>
      <c r="B28" s="394">
        <f>B29+B32+B40</f>
        <v>1516200</v>
      </c>
      <c r="C28" s="394">
        <f>C29+C32+C40</f>
        <v>1606200</v>
      </c>
      <c r="D28" s="394">
        <f>D29+D32+D40</f>
        <v>1606200</v>
      </c>
      <c r="E28" s="430">
        <f>D28-C28</f>
        <v>0</v>
      </c>
      <c r="F28" s="956">
        <f>F29+F32+F40</f>
        <v>500</v>
      </c>
      <c r="G28" s="1044">
        <f>G29+G32+G40</f>
        <v>500</v>
      </c>
      <c r="H28" s="1044">
        <f>H29+H32+H40</f>
        <v>500</v>
      </c>
      <c r="I28" s="430">
        <f>H28-G28</f>
        <v>0</v>
      </c>
      <c r="J28" s="600"/>
      <c r="K28" s="1045"/>
      <c r="L28" s="762"/>
      <c r="M28" s="430"/>
      <c r="N28" s="600">
        <f t="shared" ref="N28:N52" si="8">SUM(B28+F28+J28)</f>
        <v>1516700</v>
      </c>
      <c r="O28" s="601">
        <f t="shared" ref="O28:P52" si="9">SUM(C28+G28+K28)</f>
        <v>1606700</v>
      </c>
      <c r="P28" s="601">
        <f t="shared" si="9"/>
        <v>1606700</v>
      </c>
      <c r="Q28" s="430">
        <f>P28-O28</f>
        <v>0</v>
      </c>
      <c r="R28" s="122"/>
    </row>
    <row r="29" spans="1:18" s="118" customFormat="1" x14ac:dyDescent="0.25">
      <c r="A29" s="240" t="s">
        <v>736</v>
      </c>
      <c r="B29" s="220">
        <f>SUM(B30:B31)</f>
        <v>403000</v>
      </c>
      <c r="C29" s="220">
        <f>SUM(C30:C31)</f>
        <v>418000</v>
      </c>
      <c r="D29" s="220">
        <f>SUM(D30:D31)</f>
        <v>418000</v>
      </c>
      <c r="E29" s="393">
        <f>D29-C29</f>
        <v>0</v>
      </c>
      <c r="F29" s="1042"/>
      <c r="G29" s="368"/>
      <c r="H29" s="368"/>
      <c r="I29" s="772">
        <f>H29-G29</f>
        <v>0</v>
      </c>
      <c r="J29" s="603"/>
      <c r="K29" s="368"/>
      <c r="L29" s="368"/>
      <c r="M29" s="772"/>
      <c r="N29" s="606">
        <f t="shared" si="8"/>
        <v>403000</v>
      </c>
      <c r="O29" s="607">
        <f t="shared" si="9"/>
        <v>418000</v>
      </c>
      <c r="P29" s="607">
        <f t="shared" si="9"/>
        <v>418000</v>
      </c>
      <c r="Q29" s="569">
        <f>P29-O29</f>
        <v>0</v>
      </c>
    </row>
    <row r="30" spans="1:18" s="118" customFormat="1" x14ac:dyDescent="0.25">
      <c r="A30" s="239" t="s">
        <v>737</v>
      </c>
      <c r="B30" s="220">
        <v>376000</v>
      </c>
      <c r="C30" s="366">
        <v>386000</v>
      </c>
      <c r="D30" s="366">
        <v>386000</v>
      </c>
      <c r="E30" s="393">
        <f t="shared" ref="E30:E65" si="10">D30-C30</f>
        <v>0</v>
      </c>
      <c r="F30" s="1042"/>
      <c r="G30" s="368"/>
      <c r="H30" s="368"/>
      <c r="I30" s="772">
        <f t="shared" ref="I30:I65" si="11">H30-G30</f>
        <v>0</v>
      </c>
      <c r="J30" s="603"/>
      <c r="K30" s="368"/>
      <c r="L30" s="368"/>
      <c r="M30" s="772"/>
      <c r="N30" s="606">
        <f t="shared" si="8"/>
        <v>376000</v>
      </c>
      <c r="O30" s="607">
        <f t="shared" si="9"/>
        <v>386000</v>
      </c>
      <c r="P30" s="607">
        <f t="shared" si="9"/>
        <v>386000</v>
      </c>
      <c r="Q30" s="569">
        <f t="shared" ref="Q30:Q64" si="12">P30-O30</f>
        <v>0</v>
      </c>
    </row>
    <row r="31" spans="1:18" s="118" customFormat="1" x14ac:dyDescent="0.25">
      <c r="A31" s="239" t="s">
        <v>738</v>
      </c>
      <c r="B31" s="220">
        <v>27000</v>
      </c>
      <c r="C31" s="366">
        <v>32000</v>
      </c>
      <c r="D31" s="366">
        <v>32000</v>
      </c>
      <c r="E31" s="393">
        <f t="shared" si="10"/>
        <v>0</v>
      </c>
      <c r="F31" s="1042"/>
      <c r="G31" s="368"/>
      <c r="H31" s="368"/>
      <c r="I31" s="772">
        <f t="shared" si="11"/>
        <v>0</v>
      </c>
      <c r="J31" s="603"/>
      <c r="K31" s="368"/>
      <c r="L31" s="368"/>
      <c r="M31" s="772"/>
      <c r="N31" s="606">
        <f t="shared" si="8"/>
        <v>27000</v>
      </c>
      <c r="O31" s="607">
        <f t="shared" si="9"/>
        <v>32000</v>
      </c>
      <c r="P31" s="607">
        <f t="shared" si="9"/>
        <v>32000</v>
      </c>
      <c r="Q31" s="569">
        <f t="shared" si="12"/>
        <v>0</v>
      </c>
    </row>
    <row r="32" spans="1:18" s="118" customFormat="1" ht="27" customHeight="1" x14ac:dyDescent="0.25">
      <c r="A32" s="240" t="s">
        <v>739</v>
      </c>
      <c r="B32" s="219">
        <f>B33+B35+B36</f>
        <v>1108900</v>
      </c>
      <c r="C32" s="219">
        <f>C33+C35+C36</f>
        <v>1156900</v>
      </c>
      <c r="D32" s="219">
        <f>D33+D35+D36</f>
        <v>1156000</v>
      </c>
      <c r="E32" s="393">
        <f t="shared" si="10"/>
        <v>-900</v>
      </c>
      <c r="F32" s="1042"/>
      <c r="G32" s="368"/>
      <c r="H32" s="368"/>
      <c r="I32" s="772">
        <f t="shared" si="11"/>
        <v>0</v>
      </c>
      <c r="J32" s="603"/>
      <c r="K32" s="368"/>
      <c r="L32" s="368"/>
      <c r="M32" s="772"/>
      <c r="N32" s="606">
        <f t="shared" si="8"/>
        <v>1108900</v>
      </c>
      <c r="O32" s="607">
        <f t="shared" si="9"/>
        <v>1156900</v>
      </c>
      <c r="P32" s="607">
        <f t="shared" si="9"/>
        <v>1156000</v>
      </c>
      <c r="Q32" s="569">
        <f t="shared" si="12"/>
        <v>-900</v>
      </c>
    </row>
    <row r="33" spans="1:18" s="118" customFormat="1" ht="25.5" customHeight="1" x14ac:dyDescent="0.25">
      <c r="A33" s="240" t="s">
        <v>740</v>
      </c>
      <c r="B33" s="219">
        <f>SUM(B34)</f>
        <v>740000</v>
      </c>
      <c r="C33" s="219">
        <f>SUM(C34)</f>
        <v>780000</v>
      </c>
      <c r="D33" s="219">
        <f>SUM(D34)</f>
        <v>780000</v>
      </c>
      <c r="E33" s="393">
        <f t="shared" si="10"/>
        <v>0</v>
      </c>
      <c r="F33" s="1042"/>
      <c r="G33" s="368"/>
      <c r="H33" s="368"/>
      <c r="I33" s="772">
        <f t="shared" si="11"/>
        <v>0</v>
      </c>
      <c r="J33" s="603"/>
      <c r="K33" s="368"/>
      <c r="L33" s="368"/>
      <c r="M33" s="772"/>
      <c r="N33" s="606">
        <f t="shared" si="8"/>
        <v>740000</v>
      </c>
      <c r="O33" s="607">
        <f t="shared" si="9"/>
        <v>780000</v>
      </c>
      <c r="P33" s="607">
        <f t="shared" si="9"/>
        <v>780000</v>
      </c>
      <c r="Q33" s="569">
        <f t="shared" si="12"/>
        <v>0</v>
      </c>
    </row>
    <row r="34" spans="1:18" s="118" customFormat="1" x14ac:dyDescent="0.25">
      <c r="A34" s="240" t="s">
        <v>741</v>
      </c>
      <c r="B34" s="220">
        <v>740000</v>
      </c>
      <c r="C34" s="366">
        <v>780000</v>
      </c>
      <c r="D34" s="366">
        <v>780000</v>
      </c>
      <c r="E34" s="393">
        <f t="shared" si="10"/>
        <v>0</v>
      </c>
      <c r="F34" s="1042"/>
      <c r="G34" s="368"/>
      <c r="H34" s="368"/>
      <c r="I34" s="772">
        <f t="shared" si="11"/>
        <v>0</v>
      </c>
      <c r="J34" s="603"/>
      <c r="K34" s="368"/>
      <c r="L34" s="368"/>
      <c r="M34" s="772"/>
      <c r="N34" s="606">
        <f t="shared" si="8"/>
        <v>740000</v>
      </c>
      <c r="O34" s="607">
        <f t="shared" si="9"/>
        <v>780000</v>
      </c>
      <c r="P34" s="607">
        <f t="shared" si="9"/>
        <v>780000</v>
      </c>
      <c r="Q34" s="569">
        <f t="shared" si="12"/>
        <v>0</v>
      </c>
    </row>
    <row r="35" spans="1:18" s="118" customFormat="1" x14ac:dyDescent="0.25">
      <c r="A35" s="240" t="s">
        <v>742</v>
      </c>
      <c r="B35" s="220">
        <v>50000</v>
      </c>
      <c r="C35" s="366">
        <v>50000</v>
      </c>
      <c r="D35" s="366">
        <v>50000</v>
      </c>
      <c r="E35" s="393">
        <f t="shared" si="10"/>
        <v>0</v>
      </c>
      <c r="F35" s="1042"/>
      <c r="G35" s="368"/>
      <c r="H35" s="368"/>
      <c r="I35" s="772">
        <f t="shared" si="11"/>
        <v>0</v>
      </c>
      <c r="J35" s="603"/>
      <c r="K35" s="368"/>
      <c r="L35" s="368"/>
      <c r="M35" s="772"/>
      <c r="N35" s="606">
        <f t="shared" si="8"/>
        <v>50000</v>
      </c>
      <c r="O35" s="607">
        <f t="shared" si="9"/>
        <v>50000</v>
      </c>
      <c r="P35" s="607">
        <f t="shared" si="9"/>
        <v>50000</v>
      </c>
      <c r="Q35" s="569">
        <f t="shared" si="12"/>
        <v>0</v>
      </c>
    </row>
    <row r="36" spans="1:18" s="118" customFormat="1" ht="26.4" x14ac:dyDescent="0.25">
      <c r="A36" s="240" t="s">
        <v>743</v>
      </c>
      <c r="B36" s="219">
        <f>SUM(B37:B39)</f>
        <v>318900</v>
      </c>
      <c r="C36" s="219">
        <f>SUM(C37:C39)</f>
        <v>326900</v>
      </c>
      <c r="D36" s="219">
        <f>SUM(D37:D39)</f>
        <v>326000</v>
      </c>
      <c r="E36" s="393">
        <f t="shared" si="10"/>
        <v>-900</v>
      </c>
      <c r="F36" s="1042"/>
      <c r="G36" s="368"/>
      <c r="H36" s="368"/>
      <c r="I36" s="772">
        <f t="shared" si="11"/>
        <v>0</v>
      </c>
      <c r="J36" s="603"/>
      <c r="K36" s="368"/>
      <c r="L36" s="368"/>
      <c r="M36" s="772"/>
      <c r="N36" s="606">
        <f t="shared" si="8"/>
        <v>318900</v>
      </c>
      <c r="O36" s="607">
        <f t="shared" si="9"/>
        <v>326900</v>
      </c>
      <c r="P36" s="607">
        <f t="shared" si="9"/>
        <v>326000</v>
      </c>
      <c r="Q36" s="569">
        <f t="shared" si="12"/>
        <v>-900</v>
      </c>
    </row>
    <row r="37" spans="1:18" s="118" customFormat="1" x14ac:dyDescent="0.25">
      <c r="A37" s="240" t="s">
        <v>744</v>
      </c>
      <c r="B37" s="220">
        <v>315000</v>
      </c>
      <c r="C37" s="366">
        <v>326000</v>
      </c>
      <c r="D37" s="366">
        <v>326000</v>
      </c>
      <c r="E37" s="393">
        <f t="shared" si="10"/>
        <v>0</v>
      </c>
      <c r="F37" s="1042"/>
      <c r="G37" s="368"/>
      <c r="H37" s="368"/>
      <c r="I37" s="772">
        <f t="shared" si="11"/>
        <v>0</v>
      </c>
      <c r="J37" s="603"/>
      <c r="K37" s="368"/>
      <c r="L37" s="368"/>
      <c r="M37" s="772"/>
      <c r="N37" s="606">
        <f t="shared" si="8"/>
        <v>315000</v>
      </c>
      <c r="O37" s="607">
        <f t="shared" si="9"/>
        <v>326000</v>
      </c>
      <c r="P37" s="607">
        <f t="shared" si="9"/>
        <v>326000</v>
      </c>
      <c r="Q37" s="569">
        <f t="shared" si="12"/>
        <v>0</v>
      </c>
    </row>
    <row r="38" spans="1:18" s="118" customFormat="1" x14ac:dyDescent="0.25">
      <c r="A38" s="240" t="s">
        <v>745</v>
      </c>
      <c r="B38" s="220">
        <v>900</v>
      </c>
      <c r="C38" s="366">
        <v>900</v>
      </c>
      <c r="D38" s="366">
        <v>0</v>
      </c>
      <c r="E38" s="393">
        <f t="shared" si="10"/>
        <v>-900</v>
      </c>
      <c r="F38" s="1042"/>
      <c r="G38" s="368"/>
      <c r="H38" s="368"/>
      <c r="I38" s="772">
        <f t="shared" si="11"/>
        <v>0</v>
      </c>
      <c r="J38" s="603"/>
      <c r="K38" s="368"/>
      <c r="L38" s="368"/>
      <c r="M38" s="772"/>
      <c r="N38" s="606">
        <f t="shared" si="8"/>
        <v>900</v>
      </c>
      <c r="O38" s="607">
        <f t="shared" si="9"/>
        <v>900</v>
      </c>
      <c r="P38" s="607">
        <f t="shared" si="9"/>
        <v>0</v>
      </c>
      <c r="Q38" s="569">
        <f t="shared" si="12"/>
        <v>-900</v>
      </c>
    </row>
    <row r="39" spans="1:18" s="118" customFormat="1" x14ac:dyDescent="0.25">
      <c r="A39" s="241" t="s">
        <v>313</v>
      </c>
      <c r="B39" s="220">
        <v>3000</v>
      </c>
      <c r="C39" s="366">
        <v>0</v>
      </c>
      <c r="D39" s="366"/>
      <c r="E39" s="393">
        <f t="shared" si="10"/>
        <v>0</v>
      </c>
      <c r="F39" s="1042"/>
      <c r="G39" s="368"/>
      <c r="H39" s="368"/>
      <c r="I39" s="772">
        <f t="shared" si="11"/>
        <v>0</v>
      </c>
      <c r="J39" s="603"/>
      <c r="K39" s="368"/>
      <c r="L39" s="368"/>
      <c r="M39" s="772"/>
      <c r="N39" s="606">
        <f t="shared" si="8"/>
        <v>3000</v>
      </c>
      <c r="O39" s="607">
        <f t="shared" si="9"/>
        <v>0</v>
      </c>
      <c r="P39" s="607">
        <f t="shared" si="9"/>
        <v>0</v>
      </c>
      <c r="Q39" s="569">
        <f t="shared" si="12"/>
        <v>0</v>
      </c>
    </row>
    <row r="40" spans="1:18" s="118" customFormat="1" ht="26.4" x14ac:dyDescent="0.25">
      <c r="A40" s="240" t="s">
        <v>746</v>
      </c>
      <c r="B40" s="220">
        <v>4300</v>
      </c>
      <c r="C40" s="366">
        <v>31300</v>
      </c>
      <c r="D40" s="366">
        <f>31300+900</f>
        <v>32200</v>
      </c>
      <c r="E40" s="393">
        <f t="shared" si="10"/>
        <v>900</v>
      </c>
      <c r="F40" s="1042">
        <v>500</v>
      </c>
      <c r="G40" s="368">
        <v>500</v>
      </c>
      <c r="H40" s="368">
        <f>'2.a tábla ÚJ '!AY20</f>
        <v>500</v>
      </c>
      <c r="I40" s="772">
        <f t="shared" si="11"/>
        <v>0</v>
      </c>
      <c r="J40" s="603"/>
      <c r="K40" s="368"/>
      <c r="L40" s="368"/>
      <c r="M40" s="772"/>
      <c r="N40" s="606">
        <f t="shared" si="8"/>
        <v>4800</v>
      </c>
      <c r="O40" s="607">
        <f t="shared" si="9"/>
        <v>31800</v>
      </c>
      <c r="P40" s="607">
        <f t="shared" si="9"/>
        <v>32700</v>
      </c>
      <c r="Q40" s="569">
        <f t="shared" si="12"/>
        <v>900</v>
      </c>
    </row>
    <row r="41" spans="1:18" s="124" customFormat="1" ht="27" customHeight="1" x14ac:dyDescent="0.25">
      <c r="A41" s="242" t="s">
        <v>685</v>
      </c>
      <c r="B41" s="221">
        <f>B42+B43+B45+B46+B49+B50+B51+B52+B55</f>
        <v>481851</v>
      </c>
      <c r="C41" s="221">
        <f>C42+C43+C45+C46+C49+C50+C51+C52+C55+C53+C54</f>
        <v>705789</v>
      </c>
      <c r="D41" s="221">
        <f>D42+D43+D45+D46+D49+D50+D51+D52+D55+D53+D54</f>
        <v>705789</v>
      </c>
      <c r="E41" s="429">
        <f t="shared" si="10"/>
        <v>0</v>
      </c>
      <c r="F41" s="1043">
        <f>F42+F43+F45+F46+F49+F50+F51+F52+F55</f>
        <v>19151</v>
      </c>
      <c r="G41" s="367">
        <f>G42+G43+G45+G46+G49+G50+G51+G52+G55</f>
        <v>19151</v>
      </c>
      <c r="H41" s="367">
        <f>H42+H43+H45+H46+H49+H50+H51+H52+H55</f>
        <v>19151</v>
      </c>
      <c r="I41" s="774">
        <f t="shared" si="11"/>
        <v>0</v>
      </c>
      <c r="J41" s="613">
        <f>SUM(J42+J43+J45+J46+J49+J50+J51+J52+J55)</f>
        <v>99702</v>
      </c>
      <c r="K41" s="367">
        <f>SUM(K42+K43+K45+K46+K49+K50+K51+K52+K55)</f>
        <v>100952</v>
      </c>
      <c r="L41" s="367">
        <f>SUM(L42+L43+L45+L46+L49+L50+L51+L52+L55)</f>
        <v>102883</v>
      </c>
      <c r="M41" s="774">
        <f>L41-K41</f>
        <v>1931</v>
      </c>
      <c r="N41" s="604">
        <f t="shared" si="8"/>
        <v>600704</v>
      </c>
      <c r="O41" s="605">
        <f t="shared" si="9"/>
        <v>825892</v>
      </c>
      <c r="P41" s="605">
        <f t="shared" si="9"/>
        <v>827823</v>
      </c>
      <c r="Q41" s="570">
        <f t="shared" si="12"/>
        <v>1931</v>
      </c>
      <c r="R41" s="123"/>
    </row>
    <row r="42" spans="1:18" s="125" customFormat="1" ht="25.5" customHeight="1" x14ac:dyDescent="0.25">
      <c r="A42" s="580" t="s">
        <v>585</v>
      </c>
      <c r="B42" s="220">
        <v>10000</v>
      </c>
      <c r="C42" s="366">
        <v>10000</v>
      </c>
      <c r="D42" s="366">
        <v>10000</v>
      </c>
      <c r="E42" s="393">
        <f t="shared" si="10"/>
        <v>0</v>
      </c>
      <c r="F42" s="1042"/>
      <c r="G42" s="368"/>
      <c r="H42" s="368"/>
      <c r="I42" s="772">
        <f t="shared" si="11"/>
        <v>0</v>
      </c>
      <c r="J42" s="603"/>
      <c r="K42" s="368"/>
      <c r="L42" s="368"/>
      <c r="M42" s="772">
        <f>L42-K42</f>
        <v>0</v>
      </c>
      <c r="N42" s="606">
        <f t="shared" si="8"/>
        <v>10000</v>
      </c>
      <c r="O42" s="607">
        <f t="shared" si="9"/>
        <v>10000</v>
      </c>
      <c r="P42" s="607">
        <f t="shared" si="9"/>
        <v>10000</v>
      </c>
      <c r="Q42" s="569">
        <f t="shared" si="12"/>
        <v>0</v>
      </c>
    </row>
    <row r="43" spans="1:18" s="126" customFormat="1" ht="22.5" customHeight="1" x14ac:dyDescent="0.25">
      <c r="A43" s="580" t="s">
        <v>586</v>
      </c>
      <c r="B43" s="220">
        <v>325571</v>
      </c>
      <c r="C43" s="366">
        <v>325571</v>
      </c>
      <c r="D43" s="366">
        <v>325571</v>
      </c>
      <c r="E43" s="393">
        <f t="shared" si="10"/>
        <v>0</v>
      </c>
      <c r="F43" s="1042">
        <v>13700</v>
      </c>
      <c r="G43" s="368">
        <v>13700</v>
      </c>
      <c r="H43" s="368">
        <f>'2.a tábla ÚJ '!AY23</f>
        <v>13700</v>
      </c>
      <c r="I43" s="772">
        <f t="shared" si="11"/>
        <v>0</v>
      </c>
      <c r="J43" s="603">
        <v>41875</v>
      </c>
      <c r="K43" s="368">
        <v>41875</v>
      </c>
      <c r="L43" s="368">
        <f>'2.a tábla ÚJ '!AT23</f>
        <v>42991</v>
      </c>
      <c r="M43" s="772">
        <f t="shared" ref="M43:M65" si="13">L43-K43</f>
        <v>1116</v>
      </c>
      <c r="N43" s="606">
        <f t="shared" si="8"/>
        <v>381146</v>
      </c>
      <c r="O43" s="607">
        <f t="shared" si="9"/>
        <v>381146</v>
      </c>
      <c r="P43" s="607">
        <f t="shared" si="9"/>
        <v>382262</v>
      </c>
      <c r="Q43" s="569">
        <f t="shared" si="12"/>
        <v>1116</v>
      </c>
    </row>
    <row r="44" spans="1:18" s="126" customFormat="1" ht="22.5" customHeight="1" x14ac:dyDescent="0.25">
      <c r="A44" s="239" t="s">
        <v>149</v>
      </c>
      <c r="B44" s="220">
        <v>303642</v>
      </c>
      <c r="C44" s="366">
        <v>303642</v>
      </c>
      <c r="D44" s="366">
        <v>303642</v>
      </c>
      <c r="E44" s="393">
        <f t="shared" si="10"/>
        <v>0</v>
      </c>
      <c r="F44" s="1042">
        <v>8500</v>
      </c>
      <c r="G44" s="368">
        <v>8500</v>
      </c>
      <c r="H44" s="368">
        <f>'2.a tábla ÚJ '!AY24</f>
        <v>8500</v>
      </c>
      <c r="I44" s="772">
        <f t="shared" si="11"/>
        <v>0</v>
      </c>
      <c r="J44" s="603">
        <v>12108</v>
      </c>
      <c r="K44" s="368">
        <v>12108</v>
      </c>
      <c r="L44" s="368">
        <f>'2.a tábla ÚJ '!AT24</f>
        <v>13407</v>
      </c>
      <c r="M44" s="772">
        <f t="shared" si="13"/>
        <v>1299</v>
      </c>
      <c r="N44" s="606">
        <f t="shared" si="8"/>
        <v>324250</v>
      </c>
      <c r="O44" s="607">
        <f t="shared" si="9"/>
        <v>324250</v>
      </c>
      <c r="P44" s="607">
        <f t="shared" si="9"/>
        <v>325549</v>
      </c>
      <c r="Q44" s="569">
        <f t="shared" si="12"/>
        <v>1299</v>
      </c>
    </row>
    <row r="45" spans="1:18" s="126" customFormat="1" ht="24.75" customHeight="1" x14ac:dyDescent="0.25">
      <c r="A45" s="240" t="s">
        <v>750</v>
      </c>
      <c r="B45" s="220">
        <v>21161</v>
      </c>
      <c r="C45" s="366">
        <v>22360</v>
      </c>
      <c r="D45" s="366">
        <v>22360</v>
      </c>
      <c r="E45" s="393">
        <f t="shared" si="10"/>
        <v>0</v>
      </c>
      <c r="F45" s="1042">
        <v>1372</v>
      </c>
      <c r="G45" s="368">
        <v>1372</v>
      </c>
      <c r="H45" s="368">
        <f>'2.a tábla ÚJ '!AY25</f>
        <v>1372</v>
      </c>
      <c r="I45" s="772">
        <f t="shared" si="11"/>
        <v>0</v>
      </c>
      <c r="J45" s="603">
        <v>1765</v>
      </c>
      <c r="K45" s="368">
        <v>1765</v>
      </c>
      <c r="L45" s="368">
        <f>'2.a tábla ÚJ '!AT25</f>
        <v>1804</v>
      </c>
      <c r="M45" s="772">
        <f t="shared" si="13"/>
        <v>39</v>
      </c>
      <c r="N45" s="606">
        <f t="shared" si="8"/>
        <v>24298</v>
      </c>
      <c r="O45" s="607">
        <f t="shared" si="9"/>
        <v>25497</v>
      </c>
      <c r="P45" s="607">
        <f t="shared" si="9"/>
        <v>25536</v>
      </c>
      <c r="Q45" s="569">
        <f t="shared" si="12"/>
        <v>39</v>
      </c>
    </row>
    <row r="46" spans="1:18" s="126" customFormat="1" ht="22.5" customHeight="1" x14ac:dyDescent="0.25">
      <c r="A46" s="243" t="s">
        <v>751</v>
      </c>
      <c r="B46" s="219">
        <f>SUM(B47:B48)</f>
        <v>17500</v>
      </c>
      <c r="C46" s="219">
        <f>SUM(C47:C48)</f>
        <v>17500</v>
      </c>
      <c r="D46" s="219">
        <f>SUM(D47:D48)</f>
        <v>17500</v>
      </c>
      <c r="E46" s="393">
        <f t="shared" si="10"/>
        <v>0</v>
      </c>
      <c r="F46" s="1042"/>
      <c r="G46" s="368"/>
      <c r="H46" s="368"/>
      <c r="I46" s="772">
        <f t="shared" si="11"/>
        <v>0</v>
      </c>
      <c r="J46" s="603"/>
      <c r="K46" s="368"/>
      <c r="L46" s="368"/>
      <c r="M46" s="772">
        <f t="shared" si="13"/>
        <v>0</v>
      </c>
      <c r="N46" s="606">
        <f t="shared" si="8"/>
        <v>17500</v>
      </c>
      <c r="O46" s="607">
        <f t="shared" si="9"/>
        <v>17500</v>
      </c>
      <c r="P46" s="607">
        <f t="shared" si="9"/>
        <v>17500</v>
      </c>
      <c r="Q46" s="569">
        <f t="shared" si="12"/>
        <v>0</v>
      </c>
    </row>
    <row r="47" spans="1:18" s="126" customFormat="1" ht="20.25" customHeight="1" x14ac:dyDescent="0.25">
      <c r="A47" s="245" t="s">
        <v>553</v>
      </c>
      <c r="B47" s="220">
        <v>2500</v>
      </c>
      <c r="C47" s="366">
        <v>2500</v>
      </c>
      <c r="D47" s="366">
        <v>2500</v>
      </c>
      <c r="E47" s="393">
        <f t="shared" si="10"/>
        <v>0</v>
      </c>
      <c r="F47" s="1042"/>
      <c r="G47" s="368"/>
      <c r="H47" s="368"/>
      <c r="I47" s="772">
        <f t="shared" si="11"/>
        <v>0</v>
      </c>
      <c r="J47" s="603"/>
      <c r="K47" s="368"/>
      <c r="L47" s="368"/>
      <c r="M47" s="772">
        <f t="shared" si="13"/>
        <v>0</v>
      </c>
      <c r="N47" s="606">
        <f t="shared" si="8"/>
        <v>2500</v>
      </c>
      <c r="O47" s="607">
        <f t="shared" si="9"/>
        <v>2500</v>
      </c>
      <c r="P47" s="607">
        <f t="shared" si="9"/>
        <v>2500</v>
      </c>
      <c r="Q47" s="569">
        <f t="shared" si="12"/>
        <v>0</v>
      </c>
    </row>
    <row r="48" spans="1:18" s="126" customFormat="1" ht="24.75" customHeight="1" x14ac:dyDescent="0.25">
      <c r="A48" s="244" t="s">
        <v>752</v>
      </c>
      <c r="B48" s="220">
        <v>15000</v>
      </c>
      <c r="C48" s="366">
        <v>15000</v>
      </c>
      <c r="D48" s="366">
        <v>15000</v>
      </c>
      <c r="E48" s="393">
        <f t="shared" si="10"/>
        <v>0</v>
      </c>
      <c r="F48" s="1042"/>
      <c r="G48" s="368"/>
      <c r="H48" s="368"/>
      <c r="I48" s="772">
        <f t="shared" si="11"/>
        <v>0</v>
      </c>
      <c r="J48" s="603"/>
      <c r="K48" s="368"/>
      <c r="L48" s="368"/>
      <c r="M48" s="772">
        <f t="shared" si="13"/>
        <v>0</v>
      </c>
      <c r="N48" s="606">
        <f t="shared" si="8"/>
        <v>15000</v>
      </c>
      <c r="O48" s="1061">
        <f t="shared" si="9"/>
        <v>15000</v>
      </c>
      <c r="P48" s="1061">
        <f t="shared" si="9"/>
        <v>15000</v>
      </c>
      <c r="Q48" s="569">
        <f t="shared" si="12"/>
        <v>0</v>
      </c>
    </row>
    <row r="49" spans="1:18" s="126" customFormat="1" ht="19.5" customHeight="1" x14ac:dyDescent="0.25">
      <c r="A49" s="244" t="s">
        <v>753</v>
      </c>
      <c r="B49" s="220">
        <v>0</v>
      </c>
      <c r="C49" s="366">
        <v>0</v>
      </c>
      <c r="D49" s="366"/>
      <c r="E49" s="393">
        <f t="shared" si="10"/>
        <v>0</v>
      </c>
      <c r="F49" s="1042"/>
      <c r="G49" s="368"/>
      <c r="H49" s="368"/>
      <c r="I49" s="772">
        <f t="shared" si="11"/>
        <v>0</v>
      </c>
      <c r="J49" s="603">
        <v>35332</v>
      </c>
      <c r="K49" s="368">
        <v>36582</v>
      </c>
      <c r="L49" s="368">
        <f>'2.a tábla ÚJ '!AT27</f>
        <v>36956</v>
      </c>
      <c r="M49" s="772">
        <f t="shared" si="13"/>
        <v>374</v>
      </c>
      <c r="N49" s="606">
        <f t="shared" si="8"/>
        <v>35332</v>
      </c>
      <c r="O49" s="368">
        <f t="shared" si="9"/>
        <v>36582</v>
      </c>
      <c r="P49" s="368">
        <f t="shared" si="9"/>
        <v>36956</v>
      </c>
      <c r="Q49" s="1207">
        <f t="shared" si="12"/>
        <v>374</v>
      </c>
    </row>
    <row r="50" spans="1:18" s="126" customFormat="1" ht="22.5" customHeight="1" x14ac:dyDescent="0.25">
      <c r="A50" s="239" t="s">
        <v>754</v>
      </c>
      <c r="B50" s="220">
        <v>92619</v>
      </c>
      <c r="C50" s="366">
        <v>300293</v>
      </c>
      <c r="D50" s="366">
        <v>300293</v>
      </c>
      <c r="E50" s="393">
        <f t="shared" si="10"/>
        <v>0</v>
      </c>
      <c r="F50" s="1042">
        <v>4069</v>
      </c>
      <c r="G50" s="368">
        <v>4069</v>
      </c>
      <c r="H50" s="368">
        <f>'2.a tábla ÚJ '!AY28</f>
        <v>4069</v>
      </c>
      <c r="I50" s="772">
        <f t="shared" si="11"/>
        <v>0</v>
      </c>
      <c r="J50" s="603">
        <v>11845</v>
      </c>
      <c r="K50" s="368">
        <v>11845</v>
      </c>
      <c r="L50" s="368">
        <f>'2.a tábla ÚJ '!AT28</f>
        <v>12260</v>
      </c>
      <c r="M50" s="772">
        <f t="shared" si="13"/>
        <v>415</v>
      </c>
      <c r="N50" s="606">
        <f t="shared" si="8"/>
        <v>108533</v>
      </c>
      <c r="O50" s="368">
        <f t="shared" si="9"/>
        <v>316207</v>
      </c>
      <c r="P50" s="368">
        <f t="shared" si="9"/>
        <v>316622</v>
      </c>
      <c r="Q50" s="1207">
        <f t="shared" si="12"/>
        <v>415</v>
      </c>
    </row>
    <row r="51" spans="1:18" s="126" customFormat="1" ht="20.25" customHeight="1" x14ac:dyDescent="0.25">
      <c r="A51" s="239" t="s">
        <v>755</v>
      </c>
      <c r="B51" s="220"/>
      <c r="C51" s="366">
        <v>0</v>
      </c>
      <c r="D51" s="366"/>
      <c r="E51" s="393">
        <f t="shared" si="10"/>
        <v>0</v>
      </c>
      <c r="F51" s="1042"/>
      <c r="G51" s="368"/>
      <c r="H51" s="368"/>
      <c r="I51" s="772">
        <f t="shared" si="11"/>
        <v>0</v>
      </c>
      <c r="J51" s="603">
        <v>8865</v>
      </c>
      <c r="K51" s="368">
        <v>8865</v>
      </c>
      <c r="L51" s="368">
        <f>'2.a tábla ÚJ '!AT29</f>
        <v>8829</v>
      </c>
      <c r="M51" s="772">
        <f t="shared" si="13"/>
        <v>-36</v>
      </c>
      <c r="N51" s="606">
        <f t="shared" si="8"/>
        <v>8865</v>
      </c>
      <c r="O51" s="368">
        <f t="shared" si="9"/>
        <v>8865</v>
      </c>
      <c r="P51" s="368">
        <f t="shared" si="9"/>
        <v>8829</v>
      </c>
      <c r="Q51" s="1207">
        <f t="shared" si="12"/>
        <v>-36</v>
      </c>
    </row>
    <row r="52" spans="1:18" s="126" customFormat="1" ht="15" customHeight="1" x14ac:dyDescent="0.25">
      <c r="A52" s="239" t="s">
        <v>756</v>
      </c>
      <c r="B52" s="220">
        <v>15000</v>
      </c>
      <c r="C52" s="366">
        <v>15000</v>
      </c>
      <c r="D52" s="366">
        <v>15000</v>
      </c>
      <c r="E52" s="393">
        <f t="shared" si="10"/>
        <v>0</v>
      </c>
      <c r="F52" s="1042">
        <v>10</v>
      </c>
      <c r="G52" s="368">
        <v>10</v>
      </c>
      <c r="H52" s="368">
        <f>'2.a tábla ÚJ '!AY30</f>
        <v>10</v>
      </c>
      <c r="I52" s="772">
        <f t="shared" si="11"/>
        <v>0</v>
      </c>
      <c r="J52" s="603"/>
      <c r="K52" s="368"/>
      <c r="L52" s="368">
        <f>'2.a tábla ÚJ '!AT30</f>
        <v>13</v>
      </c>
      <c r="M52" s="772">
        <f t="shared" si="13"/>
        <v>13</v>
      </c>
      <c r="N52" s="606">
        <f t="shared" si="8"/>
        <v>15010</v>
      </c>
      <c r="O52" s="368">
        <f t="shared" si="9"/>
        <v>15010</v>
      </c>
      <c r="P52" s="368">
        <f t="shared" si="9"/>
        <v>15023</v>
      </c>
      <c r="Q52" s="1207">
        <f t="shared" si="12"/>
        <v>13</v>
      </c>
    </row>
    <row r="53" spans="1:18" s="126" customFormat="1" ht="26.25" customHeight="1" x14ac:dyDescent="0.25">
      <c r="A53" s="580" t="s">
        <v>589</v>
      </c>
      <c r="B53" s="220"/>
      <c r="C53" s="366"/>
      <c r="D53" s="366"/>
      <c r="E53" s="393">
        <f t="shared" si="10"/>
        <v>0</v>
      </c>
      <c r="F53" s="1042"/>
      <c r="G53" s="368"/>
      <c r="H53" s="368"/>
      <c r="I53" s="772">
        <f t="shared" si="11"/>
        <v>0</v>
      </c>
      <c r="J53" s="603"/>
      <c r="K53" s="368"/>
      <c r="L53" s="368"/>
      <c r="M53" s="772">
        <f t="shared" si="13"/>
        <v>0</v>
      </c>
      <c r="N53" s="606"/>
      <c r="O53" s="368"/>
      <c r="P53" s="368"/>
      <c r="Q53" s="1207">
        <f t="shared" si="12"/>
        <v>0</v>
      </c>
    </row>
    <row r="54" spans="1:18" s="126" customFormat="1" ht="26.25" customHeight="1" x14ac:dyDescent="0.25">
      <c r="A54" s="580" t="s">
        <v>587</v>
      </c>
      <c r="B54" s="220"/>
      <c r="C54" s="366">
        <v>15065</v>
      </c>
      <c r="D54" s="366">
        <v>15065</v>
      </c>
      <c r="E54" s="393">
        <f t="shared" si="10"/>
        <v>0</v>
      </c>
      <c r="F54" s="1042"/>
      <c r="G54" s="368"/>
      <c r="H54" s="368"/>
      <c r="I54" s="772">
        <f t="shared" si="11"/>
        <v>0</v>
      </c>
      <c r="J54" s="603"/>
      <c r="K54" s="368"/>
      <c r="L54" s="368"/>
      <c r="M54" s="772">
        <f t="shared" si="13"/>
        <v>0</v>
      </c>
      <c r="N54" s="606"/>
      <c r="O54" s="368"/>
      <c r="P54" s="368"/>
      <c r="Q54" s="1207">
        <f t="shared" si="12"/>
        <v>0</v>
      </c>
    </row>
    <row r="55" spans="1:18" s="126" customFormat="1" ht="26.4" x14ac:dyDescent="0.25">
      <c r="A55" s="245" t="s">
        <v>588</v>
      </c>
      <c r="B55" s="220"/>
      <c r="C55" s="366"/>
      <c r="D55" s="366"/>
      <c r="E55" s="393">
        <f t="shared" si="10"/>
        <v>0</v>
      </c>
      <c r="F55" s="1042"/>
      <c r="G55" s="368"/>
      <c r="H55" s="368"/>
      <c r="I55" s="772">
        <f t="shared" si="11"/>
        <v>0</v>
      </c>
      <c r="J55" s="603">
        <v>20</v>
      </c>
      <c r="K55" s="368">
        <v>20</v>
      </c>
      <c r="L55" s="368">
        <f>'2.a tábla ÚJ '!AT33</f>
        <v>30</v>
      </c>
      <c r="M55" s="772">
        <f t="shared" si="13"/>
        <v>10</v>
      </c>
      <c r="N55" s="606">
        <f>SUM(B55+F55+J55)</f>
        <v>20</v>
      </c>
      <c r="O55" s="368">
        <f>SUM(C55+G55+K55)</f>
        <v>20</v>
      </c>
      <c r="P55" s="368">
        <f>SUM(D55+H55+L55)</f>
        <v>30</v>
      </c>
      <c r="Q55" s="1207">
        <f t="shared" si="12"/>
        <v>10</v>
      </c>
    </row>
    <row r="56" spans="1:18" s="124" customFormat="1" ht="27.75" customHeight="1" x14ac:dyDescent="0.25">
      <c r="A56" s="238" t="s">
        <v>686</v>
      </c>
      <c r="B56" s="217">
        <f>SUM(B57:B61)</f>
        <v>2000</v>
      </c>
      <c r="C56" s="217">
        <f>SUM(C57:C61)</f>
        <v>788369</v>
      </c>
      <c r="D56" s="217">
        <f>SUM(D57:D61)</f>
        <v>788369</v>
      </c>
      <c r="E56" s="429">
        <f t="shared" si="10"/>
        <v>0</v>
      </c>
      <c r="F56" s="770">
        <f>SUM(F57:F61)</f>
        <v>0</v>
      </c>
      <c r="G56" s="367">
        <f>SUM(G57:G61)</f>
        <v>0</v>
      </c>
      <c r="H56" s="367">
        <f>SUM(H57:H61)</f>
        <v>0</v>
      </c>
      <c r="I56" s="774">
        <f t="shared" si="11"/>
        <v>0</v>
      </c>
      <c r="J56" s="604">
        <f>SUM(J57:J61)</f>
        <v>0</v>
      </c>
      <c r="K56" s="367">
        <f>SUM(K57:K61)</f>
        <v>0</v>
      </c>
      <c r="L56" s="367">
        <f>SUM(L57:L61)</f>
        <v>0</v>
      </c>
      <c r="M56" s="774">
        <f t="shared" si="13"/>
        <v>0</v>
      </c>
      <c r="N56" s="604">
        <f>SUM(N57:N61)</f>
        <v>2000</v>
      </c>
      <c r="O56" s="367">
        <f>SUM(O57:O61)</f>
        <v>788369</v>
      </c>
      <c r="P56" s="367">
        <f>SUM(P57:P61)</f>
        <v>788369</v>
      </c>
      <c r="Q56" s="1209">
        <f t="shared" si="12"/>
        <v>0</v>
      </c>
      <c r="R56" s="123"/>
    </row>
    <row r="57" spans="1:18" s="124" customFormat="1" ht="27.75" customHeight="1" x14ac:dyDescent="0.25">
      <c r="A57" s="240" t="s">
        <v>758</v>
      </c>
      <c r="B57" s="220"/>
      <c r="C57" s="761"/>
      <c r="D57" s="761"/>
      <c r="E57" s="393">
        <f t="shared" si="10"/>
        <v>0</v>
      </c>
      <c r="F57" s="1042"/>
      <c r="G57" s="367"/>
      <c r="H57" s="367"/>
      <c r="I57" s="772">
        <f t="shared" si="11"/>
        <v>0</v>
      </c>
      <c r="J57" s="603"/>
      <c r="K57" s="367"/>
      <c r="L57" s="367"/>
      <c r="M57" s="772">
        <f t="shared" si="13"/>
        <v>0</v>
      </c>
      <c r="N57" s="613"/>
      <c r="O57" s="367"/>
      <c r="P57" s="367"/>
      <c r="Q57" s="1207">
        <f t="shared" si="12"/>
        <v>0</v>
      </c>
      <c r="R57" s="123"/>
    </row>
    <row r="58" spans="1:18" s="126" customFormat="1" ht="14.25" customHeight="1" x14ac:dyDescent="0.25">
      <c r="A58" s="240" t="s">
        <v>759</v>
      </c>
      <c r="B58" s="220">
        <v>2000</v>
      </c>
      <c r="C58" s="366">
        <v>788369</v>
      </c>
      <c r="D58" s="366">
        <v>788369</v>
      </c>
      <c r="E58" s="393">
        <f t="shared" si="10"/>
        <v>0</v>
      </c>
      <c r="F58" s="1042"/>
      <c r="G58" s="368"/>
      <c r="H58" s="368"/>
      <c r="I58" s="772">
        <f t="shared" si="11"/>
        <v>0</v>
      </c>
      <c r="J58" s="603"/>
      <c r="K58" s="368"/>
      <c r="L58" s="368"/>
      <c r="M58" s="772">
        <f t="shared" si="13"/>
        <v>0</v>
      </c>
      <c r="N58" s="606">
        <f t="shared" ref="N58:P59" si="14">B58+J58+F58</f>
        <v>2000</v>
      </c>
      <c r="O58" s="368">
        <f t="shared" si="14"/>
        <v>788369</v>
      </c>
      <c r="P58" s="368">
        <f t="shared" si="14"/>
        <v>788369</v>
      </c>
      <c r="Q58" s="1207">
        <f t="shared" si="12"/>
        <v>0</v>
      </c>
    </row>
    <row r="59" spans="1:18" s="126" customFormat="1" ht="27" customHeight="1" x14ac:dyDescent="0.25">
      <c r="A59" s="246" t="s">
        <v>760</v>
      </c>
      <c r="B59" s="220"/>
      <c r="C59" s="366"/>
      <c r="D59" s="366"/>
      <c r="E59" s="393">
        <f t="shared" si="10"/>
        <v>0</v>
      </c>
      <c r="F59" s="1042"/>
      <c r="G59" s="368"/>
      <c r="H59" s="368"/>
      <c r="I59" s="772">
        <f t="shared" si="11"/>
        <v>0</v>
      </c>
      <c r="J59" s="603"/>
      <c r="K59" s="368"/>
      <c r="L59" s="368"/>
      <c r="M59" s="772">
        <f t="shared" si="13"/>
        <v>0</v>
      </c>
      <c r="N59" s="606">
        <f t="shared" si="14"/>
        <v>0</v>
      </c>
      <c r="O59" s="368">
        <f t="shared" si="14"/>
        <v>0</v>
      </c>
      <c r="P59" s="368">
        <f t="shared" si="14"/>
        <v>0</v>
      </c>
      <c r="Q59" s="1207">
        <f t="shared" si="12"/>
        <v>0</v>
      </c>
    </row>
    <row r="60" spans="1:18" s="126" customFormat="1" ht="23.25" customHeight="1" x14ac:dyDescent="0.25">
      <c r="A60" s="240" t="s">
        <v>761</v>
      </c>
      <c r="B60" s="220"/>
      <c r="C60" s="366"/>
      <c r="D60" s="366"/>
      <c r="E60" s="393">
        <f t="shared" si="10"/>
        <v>0</v>
      </c>
      <c r="F60" s="1042"/>
      <c r="G60" s="368"/>
      <c r="H60" s="368"/>
      <c r="I60" s="772">
        <f t="shared" si="11"/>
        <v>0</v>
      </c>
      <c r="J60" s="603"/>
      <c r="K60" s="368"/>
      <c r="L60" s="368"/>
      <c r="M60" s="772">
        <f t="shared" si="13"/>
        <v>0</v>
      </c>
      <c r="N60" s="606">
        <f>J60+F60+B60</f>
        <v>0</v>
      </c>
      <c r="O60" s="368">
        <f>K60+G60+C60</f>
        <v>0</v>
      </c>
      <c r="P60" s="368">
        <f>L60+H60+D60</f>
        <v>0</v>
      </c>
      <c r="Q60" s="1207">
        <f t="shared" si="12"/>
        <v>0</v>
      </c>
    </row>
    <row r="61" spans="1:18" s="126" customFormat="1" ht="39.6" x14ac:dyDescent="0.25">
      <c r="A61" s="240" t="s">
        <v>762</v>
      </c>
      <c r="B61" s="220"/>
      <c r="C61" s="366"/>
      <c r="D61" s="366"/>
      <c r="E61" s="393">
        <f t="shared" si="10"/>
        <v>0</v>
      </c>
      <c r="F61" s="1042"/>
      <c r="G61" s="367"/>
      <c r="H61" s="367"/>
      <c r="I61" s="772">
        <f t="shared" si="11"/>
        <v>0</v>
      </c>
      <c r="J61" s="603"/>
      <c r="K61" s="368"/>
      <c r="L61" s="368"/>
      <c r="M61" s="772">
        <f t="shared" si="13"/>
        <v>0</v>
      </c>
      <c r="N61" s="606">
        <f>B61+J61</f>
        <v>0</v>
      </c>
      <c r="O61" s="367">
        <f>C61+K61</f>
        <v>0</v>
      </c>
      <c r="P61" s="367">
        <f>D61+L61</f>
        <v>0</v>
      </c>
      <c r="Q61" s="1207">
        <f t="shared" si="12"/>
        <v>0</v>
      </c>
    </row>
    <row r="62" spans="1:18" s="124" customFormat="1" ht="24.75" customHeight="1" x14ac:dyDescent="0.25">
      <c r="A62" s="242" t="s">
        <v>687</v>
      </c>
      <c r="B62" s="221">
        <f>SUM(B63:B65)</f>
        <v>16838</v>
      </c>
      <c r="C62" s="221">
        <f>SUM(C63:C65)</f>
        <v>18475</v>
      </c>
      <c r="D62" s="221">
        <f>SUM(D63:D65)</f>
        <v>6407</v>
      </c>
      <c r="E62" s="429">
        <f t="shared" si="10"/>
        <v>-12068</v>
      </c>
      <c r="F62" s="1043">
        <f>SUM(F63:F65)</f>
        <v>0</v>
      </c>
      <c r="G62" s="367">
        <f>SUM(G63:G65)</f>
        <v>0</v>
      </c>
      <c r="H62" s="367">
        <f>H63+H64+H65</f>
        <v>0</v>
      </c>
      <c r="I62" s="774">
        <f t="shared" si="11"/>
        <v>0</v>
      </c>
      <c r="J62" s="613">
        <f>SUM(J63:J65)</f>
        <v>0</v>
      </c>
      <c r="K62" s="367">
        <f>SUM(K63:K65)</f>
        <v>0</v>
      </c>
      <c r="L62" s="367">
        <f t="shared" ref="L62:M62" si="15">SUM(L63:L65)</f>
        <v>0</v>
      </c>
      <c r="M62" s="367">
        <f t="shared" si="15"/>
        <v>0</v>
      </c>
      <c r="N62" s="613">
        <f>SUM(N63:N65)</f>
        <v>16838</v>
      </c>
      <c r="O62" s="367">
        <f>SUM(O63:O65)</f>
        <v>18475</v>
      </c>
      <c r="P62" s="367">
        <f>SUM(P63:P65)</f>
        <v>6407</v>
      </c>
      <c r="Q62" s="1209">
        <f t="shared" si="12"/>
        <v>-12068</v>
      </c>
      <c r="R62" s="123"/>
    </row>
    <row r="63" spans="1:18" s="124" customFormat="1" ht="34.5" customHeight="1" x14ac:dyDescent="0.25">
      <c r="A63" s="240" t="s">
        <v>804</v>
      </c>
      <c r="B63" s="220"/>
      <c r="C63" s="761"/>
      <c r="D63" s="761"/>
      <c r="E63" s="393">
        <f t="shared" si="10"/>
        <v>0</v>
      </c>
      <c r="F63" s="1042"/>
      <c r="G63" s="367"/>
      <c r="H63" s="367"/>
      <c r="I63" s="772">
        <f t="shared" si="11"/>
        <v>0</v>
      </c>
      <c r="J63" s="603"/>
      <c r="K63" s="367"/>
      <c r="L63" s="367"/>
      <c r="M63" s="772">
        <f t="shared" si="13"/>
        <v>0</v>
      </c>
      <c r="N63" s="606">
        <f t="shared" ref="N63:P64" si="16">B63+F63+J63</f>
        <v>0</v>
      </c>
      <c r="O63" s="368">
        <f t="shared" si="16"/>
        <v>0</v>
      </c>
      <c r="P63" s="368">
        <f t="shared" si="16"/>
        <v>0</v>
      </c>
      <c r="Q63" s="1207">
        <f t="shared" si="12"/>
        <v>0</v>
      </c>
      <c r="R63" s="123"/>
    </row>
    <row r="64" spans="1:18" s="126" customFormat="1" ht="60" customHeight="1" x14ac:dyDescent="0.25">
      <c r="A64" s="1057" t="s">
        <v>805</v>
      </c>
      <c r="B64" s="1058">
        <v>13338</v>
      </c>
      <c r="C64" s="1046">
        <v>13338</v>
      </c>
      <c r="D64" s="1046">
        <v>1270</v>
      </c>
      <c r="E64" s="393">
        <f t="shared" si="10"/>
        <v>-12068</v>
      </c>
      <c r="F64" s="1059"/>
      <c r="G64" s="1047"/>
      <c r="H64" s="368"/>
      <c r="I64" s="772">
        <f t="shared" si="11"/>
        <v>0</v>
      </c>
      <c r="J64" s="1048"/>
      <c r="K64" s="1047"/>
      <c r="L64" s="368"/>
      <c r="M64" s="772">
        <f t="shared" si="13"/>
        <v>0</v>
      </c>
      <c r="N64" s="1060">
        <f t="shared" si="16"/>
        <v>13338</v>
      </c>
      <c r="O64" s="368">
        <f t="shared" si="16"/>
        <v>13338</v>
      </c>
      <c r="P64" s="368">
        <f t="shared" si="16"/>
        <v>1270</v>
      </c>
      <c r="Q64" s="1207">
        <f t="shared" si="12"/>
        <v>-12068</v>
      </c>
      <c r="R64" s="127"/>
    </row>
    <row r="65" spans="1:20" s="126" customFormat="1" ht="27" customHeight="1" thickBot="1" x14ac:dyDescent="0.3">
      <c r="A65" s="1063" t="s">
        <v>806</v>
      </c>
      <c r="B65" s="1056">
        <v>3500</v>
      </c>
      <c r="C65" s="1053">
        <v>5137</v>
      </c>
      <c r="D65" s="1053">
        <v>5137</v>
      </c>
      <c r="E65" s="582">
        <f t="shared" si="10"/>
        <v>0</v>
      </c>
      <c r="F65" s="1064"/>
      <c r="G65" s="964"/>
      <c r="H65" s="964"/>
      <c r="I65" s="954">
        <f t="shared" si="11"/>
        <v>0</v>
      </c>
      <c r="J65" s="963"/>
      <c r="K65" s="964"/>
      <c r="L65" s="964"/>
      <c r="M65" s="954">
        <f t="shared" si="13"/>
        <v>0</v>
      </c>
      <c r="N65" s="963">
        <f>B65+F65+J65</f>
        <v>3500</v>
      </c>
      <c r="O65" s="964">
        <f>SUM(C65+G65+K65)</f>
        <v>5137</v>
      </c>
      <c r="P65" s="964">
        <f>SUM(D65+H65+L65)</f>
        <v>5137</v>
      </c>
      <c r="Q65" s="1208">
        <f>P65-O65</f>
        <v>0</v>
      </c>
    </row>
    <row r="66" spans="1:20" s="126" customFormat="1" ht="28.5" customHeight="1" thickBot="1" x14ac:dyDescent="0.3">
      <c r="A66" s="1062" t="s">
        <v>307</v>
      </c>
      <c r="B66" s="1564" t="s">
        <v>717</v>
      </c>
      <c r="C66" s="1565"/>
      <c r="D66" s="1565"/>
      <c r="E66" s="1566"/>
      <c r="F66" s="1567" t="s">
        <v>718</v>
      </c>
      <c r="G66" s="1565"/>
      <c r="H66" s="1565"/>
      <c r="I66" s="1566"/>
      <c r="J66" s="1567" t="s">
        <v>719</v>
      </c>
      <c r="K66" s="1565"/>
      <c r="L66" s="1565"/>
      <c r="M66" s="1566"/>
      <c r="N66" s="1568" t="s">
        <v>720</v>
      </c>
      <c r="O66" s="1569"/>
      <c r="P66" s="1569"/>
      <c r="Q66" s="1570"/>
    </row>
    <row r="67" spans="1:20" s="118" customFormat="1" ht="54.75" customHeight="1" thickBot="1" x14ac:dyDescent="0.3">
      <c r="A67" s="348"/>
      <c r="B67" s="817" t="s">
        <v>659</v>
      </c>
      <c r="C67" s="347" t="s">
        <v>52</v>
      </c>
      <c r="D67" s="347" t="s">
        <v>801</v>
      </c>
      <c r="E67" s="562" t="s">
        <v>660</v>
      </c>
      <c r="F67" s="817" t="s">
        <v>659</v>
      </c>
      <c r="G67" s="347" t="s">
        <v>52</v>
      </c>
      <c r="H67" s="347" t="s">
        <v>801</v>
      </c>
      <c r="I67" s="562" t="s">
        <v>660</v>
      </c>
      <c r="J67" s="817" t="s">
        <v>659</v>
      </c>
      <c r="K67" s="347" t="s">
        <v>52</v>
      </c>
      <c r="L67" s="347" t="s">
        <v>801</v>
      </c>
      <c r="M67" s="562" t="s">
        <v>660</v>
      </c>
      <c r="N67" s="817" t="s">
        <v>659</v>
      </c>
      <c r="O67" s="347" t="s">
        <v>52</v>
      </c>
      <c r="P67" s="347" t="s">
        <v>801</v>
      </c>
      <c r="Q67" s="562" t="s">
        <v>660</v>
      </c>
    </row>
    <row r="68" spans="1:20" s="124" customFormat="1" ht="22.5" customHeight="1" x14ac:dyDescent="0.25">
      <c r="A68" s="402" t="s">
        <v>688</v>
      </c>
      <c r="B68" s="609">
        <f>SUM(B69:B71)</f>
        <v>100873</v>
      </c>
      <c r="C68" s="1201">
        <f>SUM(C69:C71)</f>
        <v>100873</v>
      </c>
      <c r="D68" s="1201">
        <f>SUM(D69:D71)</f>
        <v>100873</v>
      </c>
      <c r="E68" s="1204">
        <f>D68-C68</f>
        <v>0</v>
      </c>
      <c r="F68" s="600">
        <f>SUM(F69:F71)</f>
        <v>0</v>
      </c>
      <c r="G68" s="1045"/>
      <c r="H68" s="762"/>
      <c r="I68" s="430">
        <f>H68-G68</f>
        <v>0</v>
      </c>
      <c r="J68" s="600">
        <f>SUM(J69:J71)</f>
        <v>0</v>
      </c>
      <c r="K68" s="1045"/>
      <c r="L68" s="1203"/>
      <c r="M68" s="620">
        <f>L68-K68</f>
        <v>0</v>
      </c>
      <c r="N68" s="600">
        <f>SUM(N69:N71)</f>
        <v>100873</v>
      </c>
      <c r="O68" s="601">
        <f>SUM(O69:O71)</f>
        <v>100873</v>
      </c>
      <c r="P68" s="601">
        <f>SUM(P69:P71)</f>
        <v>100873</v>
      </c>
      <c r="Q68" s="430">
        <f>P68-O68</f>
        <v>0</v>
      </c>
    </row>
    <row r="69" spans="1:20" s="126" customFormat="1" ht="59.25" customHeight="1" x14ac:dyDescent="0.25">
      <c r="A69" s="240" t="s">
        <v>807</v>
      </c>
      <c r="B69" s="610"/>
      <c r="C69" s="766"/>
      <c r="D69" s="368">
        <f>-C69</f>
        <v>0</v>
      </c>
      <c r="E69" s="772">
        <f>D69-C69</f>
        <v>0</v>
      </c>
      <c r="F69" s="603"/>
      <c r="G69" s="368"/>
      <c r="H69" s="368"/>
      <c r="I69" s="772">
        <f>H69-G69</f>
        <v>0</v>
      </c>
      <c r="J69" s="603"/>
      <c r="K69" s="368"/>
      <c r="L69" s="368"/>
      <c r="M69" s="764">
        <f>L69-K69</f>
        <v>0</v>
      </c>
      <c r="N69" s="606">
        <f t="shared" ref="N69:P71" si="17">B69+F69+J69</f>
        <v>0</v>
      </c>
      <c r="O69" s="1061">
        <f t="shared" si="17"/>
        <v>0</v>
      </c>
      <c r="P69" s="1061">
        <f t="shared" si="17"/>
        <v>0</v>
      </c>
      <c r="Q69" s="569">
        <f>P69-O69</f>
        <v>0</v>
      </c>
    </row>
    <row r="70" spans="1:20" s="126" customFormat="1" ht="52.8" x14ac:dyDescent="0.25">
      <c r="A70" s="240" t="s">
        <v>808</v>
      </c>
      <c r="B70" s="610">
        <v>100873</v>
      </c>
      <c r="C70" s="766">
        <v>100873</v>
      </c>
      <c r="D70" s="368">
        <v>100873</v>
      </c>
      <c r="E70" s="772">
        <f t="shared" ref="E70:E92" si="18">D70-C70</f>
        <v>0</v>
      </c>
      <c r="F70" s="603"/>
      <c r="G70" s="368"/>
      <c r="H70" s="368"/>
      <c r="I70" s="772">
        <f t="shared" ref="I70:I92" si="19">H70-G70</f>
        <v>0</v>
      </c>
      <c r="J70" s="603"/>
      <c r="K70" s="368"/>
      <c r="L70" s="368"/>
      <c r="M70" s="764">
        <f t="shared" ref="M70:M92" si="20">L70-K70</f>
        <v>0</v>
      </c>
      <c r="N70" s="1065">
        <f t="shared" si="17"/>
        <v>100873</v>
      </c>
      <c r="O70" s="368">
        <f t="shared" si="17"/>
        <v>100873</v>
      </c>
      <c r="P70" s="368">
        <f t="shared" si="17"/>
        <v>100873</v>
      </c>
      <c r="Q70" s="569">
        <f t="shared" ref="Q70:Q92" si="21">P70-O70</f>
        <v>0</v>
      </c>
    </row>
    <row r="71" spans="1:20" s="126" customFormat="1" ht="24.75" customHeight="1" x14ac:dyDescent="0.25">
      <c r="A71" s="240" t="s">
        <v>809</v>
      </c>
      <c r="B71" s="610"/>
      <c r="C71" s="766">
        <v>0</v>
      </c>
      <c r="D71" s="368"/>
      <c r="E71" s="772">
        <f t="shared" si="18"/>
        <v>0</v>
      </c>
      <c r="F71" s="603"/>
      <c r="G71" s="368"/>
      <c r="H71" s="368"/>
      <c r="I71" s="772">
        <f t="shared" si="19"/>
        <v>0</v>
      </c>
      <c r="J71" s="603"/>
      <c r="K71" s="368"/>
      <c r="L71" s="368"/>
      <c r="M71" s="764">
        <f t="shared" si="20"/>
        <v>0</v>
      </c>
      <c r="N71" s="1065">
        <f t="shared" si="17"/>
        <v>0</v>
      </c>
      <c r="O71" s="368">
        <f t="shared" si="17"/>
        <v>0</v>
      </c>
      <c r="P71" s="368">
        <f t="shared" si="17"/>
        <v>0</v>
      </c>
      <c r="Q71" s="569">
        <f t="shared" si="21"/>
        <v>0</v>
      </c>
    </row>
    <row r="72" spans="1:20" s="124" customFormat="1" ht="24.75" customHeight="1" x14ac:dyDescent="0.25">
      <c r="A72" s="238" t="s">
        <v>689</v>
      </c>
      <c r="B72" s="612">
        <f>B68+B62+B56+B41+B28+B20+B5</f>
        <v>3489786</v>
      </c>
      <c r="C72" s="767">
        <f>C68+C62+C56+C41+C28+C20+C5</f>
        <v>5981427</v>
      </c>
      <c r="D72" s="367">
        <f>D68+D62+D56+D41+D28+D20+D5</f>
        <v>5999289</v>
      </c>
      <c r="E72" s="774">
        <f t="shared" si="18"/>
        <v>17862</v>
      </c>
      <c r="F72" s="604">
        <f>F68+F62+F56+F41+F28+F20+F5</f>
        <v>36176</v>
      </c>
      <c r="G72" s="367">
        <f>G68+G62+G56+G41+G28+G20+G5</f>
        <v>42358</v>
      </c>
      <c r="H72" s="367">
        <f>H68+H62+H56+H41+H28+H20+H5</f>
        <v>42383</v>
      </c>
      <c r="I72" s="774">
        <f t="shared" si="19"/>
        <v>25</v>
      </c>
      <c r="J72" s="604">
        <f>J68+J62+J56+J41+J28+J20+J5</f>
        <v>190502</v>
      </c>
      <c r="K72" s="1067">
        <f>K68+K62+K56+K41+K28+K20+K5</f>
        <v>199299</v>
      </c>
      <c r="L72" s="1067">
        <f>L68+L62+L56+L41+L28+L20+L5</f>
        <v>201230</v>
      </c>
      <c r="M72" s="763">
        <f t="shared" si="20"/>
        <v>1931</v>
      </c>
      <c r="N72" s="770">
        <f>N68+N62+N56+N41+N28+N20+N5</f>
        <v>3716464</v>
      </c>
      <c r="O72" s="367">
        <f>O68+O62+O56+O41+O28+O20+O5</f>
        <v>6223084</v>
      </c>
      <c r="P72" s="367">
        <f>P68+P62+P56+P41+P28+P20+P5</f>
        <v>6242902</v>
      </c>
      <c r="Q72" s="570">
        <f t="shared" si="21"/>
        <v>19818</v>
      </c>
      <c r="R72" s="123"/>
      <c r="T72" s="123" t="e">
        <f>#REF!+#REF!+#REF!</f>
        <v>#REF!</v>
      </c>
    </row>
    <row r="73" spans="1:20" s="124" customFormat="1" ht="24.75" customHeight="1" x14ac:dyDescent="0.25">
      <c r="A73" s="247" t="s">
        <v>690</v>
      </c>
      <c r="B73" s="612">
        <f>B74+B77</f>
        <v>691520</v>
      </c>
      <c r="C73" s="767">
        <f>C74+C77</f>
        <v>1515105</v>
      </c>
      <c r="D73" s="367">
        <f>D74+D77</f>
        <v>1545653</v>
      </c>
      <c r="E73" s="774">
        <f t="shared" si="18"/>
        <v>30548</v>
      </c>
      <c r="F73" s="604">
        <f>F74+F77</f>
        <v>0</v>
      </c>
      <c r="G73" s="367">
        <f>G74+G77</f>
        <v>20305</v>
      </c>
      <c r="H73" s="367">
        <f>H74+H77</f>
        <v>20305</v>
      </c>
      <c r="I73" s="774">
        <f t="shared" si="19"/>
        <v>0</v>
      </c>
      <c r="J73" s="604">
        <f>J74+J77</f>
        <v>0</v>
      </c>
      <c r="K73" s="1068">
        <f>K74+K77</f>
        <v>30276</v>
      </c>
      <c r="L73" s="1068">
        <f>L74+L77</f>
        <v>30276</v>
      </c>
      <c r="M73" s="763">
        <f t="shared" si="20"/>
        <v>0</v>
      </c>
      <c r="N73" s="770">
        <f>N74+N77</f>
        <v>691520</v>
      </c>
      <c r="O73" s="367">
        <f>O74+O77</f>
        <v>1565686</v>
      </c>
      <c r="P73" s="367">
        <f>P74+P77</f>
        <v>1596234</v>
      </c>
      <c r="Q73" s="570">
        <f t="shared" si="21"/>
        <v>30548</v>
      </c>
      <c r="R73" s="123"/>
      <c r="T73" s="123"/>
    </row>
    <row r="74" spans="1:20" s="124" customFormat="1" ht="46.5" customHeight="1" x14ac:dyDescent="0.25">
      <c r="A74" s="247" t="s">
        <v>810</v>
      </c>
      <c r="B74" s="612">
        <f>SUM(B75:B76)</f>
        <v>682920</v>
      </c>
      <c r="C74" s="767">
        <f>SUM(C75:C76)</f>
        <v>852305</v>
      </c>
      <c r="D74" s="367">
        <f>SUM(D75:D76)</f>
        <v>852305</v>
      </c>
      <c r="E74" s="774">
        <f t="shared" si="18"/>
        <v>0</v>
      </c>
      <c r="F74" s="604">
        <f>SUM(F75:F76)</f>
        <v>0</v>
      </c>
      <c r="G74" s="367">
        <f>SUM(G75:G76)</f>
        <v>20305</v>
      </c>
      <c r="H74" s="367">
        <f>SUM(H75:H76)</f>
        <v>20305</v>
      </c>
      <c r="I74" s="774">
        <f t="shared" si="19"/>
        <v>0</v>
      </c>
      <c r="J74" s="604">
        <f>SUM(J75:J76)</f>
        <v>0</v>
      </c>
      <c r="K74" s="1068">
        <f>SUM(K75:K76)</f>
        <v>30276</v>
      </c>
      <c r="L74" s="1068">
        <f>SUM(L75:L76)</f>
        <v>30276</v>
      </c>
      <c r="M74" s="763">
        <f t="shared" si="20"/>
        <v>0</v>
      </c>
      <c r="N74" s="770">
        <f>B74+J74+F74</f>
        <v>682920</v>
      </c>
      <c r="O74" s="367">
        <f>C74+K74+G74</f>
        <v>902886</v>
      </c>
      <c r="P74" s="367">
        <f>D74+L74+H74</f>
        <v>902886</v>
      </c>
      <c r="Q74" s="570">
        <f t="shared" si="21"/>
        <v>0</v>
      </c>
      <c r="R74" s="123"/>
    </row>
    <row r="75" spans="1:20" s="126" customFormat="1" ht="36" customHeight="1" x14ac:dyDescent="0.25">
      <c r="A75" s="247" t="s">
        <v>111</v>
      </c>
      <c r="B75" s="610">
        <v>83488</v>
      </c>
      <c r="C75" s="766">
        <v>125363</v>
      </c>
      <c r="D75" s="368">
        <v>125363</v>
      </c>
      <c r="E75" s="772">
        <f t="shared" si="18"/>
        <v>0</v>
      </c>
      <c r="F75" s="603"/>
      <c r="G75" s="368">
        <v>20279</v>
      </c>
      <c r="H75" s="368">
        <f>'2.a tábla ÚJ '!AY47</f>
        <v>20279</v>
      </c>
      <c r="I75" s="772">
        <f t="shared" si="19"/>
        <v>0</v>
      </c>
      <c r="J75" s="603"/>
      <c r="K75" s="368">
        <v>29271</v>
      </c>
      <c r="L75" s="368">
        <f>'2.a tábla ÚJ '!AT47</f>
        <v>29271</v>
      </c>
      <c r="M75" s="764">
        <f t="shared" si="20"/>
        <v>0</v>
      </c>
      <c r="N75" s="1065">
        <f t="shared" ref="N75:P76" si="22">B75+F75+J75</f>
        <v>83488</v>
      </c>
      <c r="O75" s="368">
        <f t="shared" si="22"/>
        <v>174913</v>
      </c>
      <c r="P75" s="368">
        <f t="shared" si="22"/>
        <v>174913</v>
      </c>
      <c r="Q75" s="569">
        <f t="shared" si="21"/>
        <v>0</v>
      </c>
      <c r="R75" s="127"/>
    </row>
    <row r="76" spans="1:20" s="126" customFormat="1" ht="35.25" customHeight="1" x14ac:dyDescent="0.25">
      <c r="A76" s="240" t="s">
        <v>811</v>
      </c>
      <c r="B76" s="610">
        <v>599432</v>
      </c>
      <c r="C76" s="766">
        <v>726942</v>
      </c>
      <c r="D76" s="368">
        <v>726942</v>
      </c>
      <c r="E76" s="772">
        <f t="shared" si="18"/>
        <v>0</v>
      </c>
      <c r="F76" s="603"/>
      <c r="G76" s="368">
        <v>26</v>
      </c>
      <c r="H76" s="368">
        <f>'2.a tábla ÚJ '!AY48</f>
        <v>26</v>
      </c>
      <c r="I76" s="772">
        <f t="shared" si="19"/>
        <v>0</v>
      </c>
      <c r="J76" s="603"/>
      <c r="K76" s="368">
        <v>1005</v>
      </c>
      <c r="L76" s="368">
        <f>'2.a tábla ÚJ '!AT48</f>
        <v>1005</v>
      </c>
      <c r="M76" s="764">
        <f t="shared" si="20"/>
        <v>0</v>
      </c>
      <c r="N76" s="1065">
        <f t="shared" si="22"/>
        <v>599432</v>
      </c>
      <c r="O76" s="368">
        <f t="shared" si="22"/>
        <v>727973</v>
      </c>
      <c r="P76" s="368">
        <f t="shared" si="22"/>
        <v>727973</v>
      </c>
      <c r="Q76" s="569">
        <f t="shared" si="21"/>
        <v>0</v>
      </c>
    </row>
    <row r="77" spans="1:20" s="124" customFormat="1" ht="47.25" customHeight="1" x14ac:dyDescent="0.25">
      <c r="A77" s="248" t="s">
        <v>812</v>
      </c>
      <c r="B77" s="369">
        <f>B78+B82+B87+B88</f>
        <v>8600</v>
      </c>
      <c r="C77" s="767">
        <f>C78+C82+C87+C88</f>
        <v>662800</v>
      </c>
      <c r="D77" s="367">
        <f>D78+D82+D88+D87</f>
        <v>693348</v>
      </c>
      <c r="E77" s="774">
        <f t="shared" si="18"/>
        <v>30548</v>
      </c>
      <c r="F77" s="404">
        <f>F78+F82</f>
        <v>0</v>
      </c>
      <c r="G77" s="367">
        <f>G78+G82</f>
        <v>0</v>
      </c>
      <c r="H77" s="367"/>
      <c r="I77" s="774">
        <f t="shared" si="19"/>
        <v>0</v>
      </c>
      <c r="J77" s="616">
        <f>J78+J82</f>
        <v>0</v>
      </c>
      <c r="K77" s="369">
        <f>K78+K82</f>
        <v>0</v>
      </c>
      <c r="L77" s="367"/>
      <c r="M77" s="763">
        <f t="shared" si="20"/>
        <v>0</v>
      </c>
      <c r="N77" s="1210">
        <f>N78+N82+N87+N88</f>
        <v>8600</v>
      </c>
      <c r="O77" s="367">
        <f>O78+O82+O87+O88</f>
        <v>662800</v>
      </c>
      <c r="P77" s="367">
        <f>P78+P82+P87+P88</f>
        <v>693348</v>
      </c>
      <c r="Q77" s="570">
        <f t="shared" si="21"/>
        <v>30548</v>
      </c>
      <c r="R77" s="128"/>
    </row>
    <row r="78" spans="1:20" s="124" customFormat="1" ht="38.25" customHeight="1" x14ac:dyDescent="0.25">
      <c r="A78" s="238" t="s">
        <v>813</v>
      </c>
      <c r="B78" s="367">
        <f>SUM(B79:B81)</f>
        <v>0</v>
      </c>
      <c r="C78" s="767">
        <f>SUM(C79:C81)</f>
        <v>0</v>
      </c>
      <c r="D78" s="367"/>
      <c r="E78" s="774">
        <f t="shared" si="18"/>
        <v>0</v>
      </c>
      <c r="F78" s="959">
        <f>SUM(F79:F81)</f>
        <v>0</v>
      </c>
      <c r="G78" s="367">
        <f>SUM(G79:G81)</f>
        <v>0</v>
      </c>
      <c r="H78" s="367"/>
      <c r="I78" s="774">
        <f t="shared" si="19"/>
        <v>0</v>
      </c>
      <c r="J78" s="404">
        <f>SUM(J79:J81)</f>
        <v>0</v>
      </c>
      <c r="K78" s="367">
        <f>SUM(K79:K81)</f>
        <v>0</v>
      </c>
      <c r="L78" s="367"/>
      <c r="M78" s="763">
        <f t="shared" si="20"/>
        <v>0</v>
      </c>
      <c r="N78" s="1211">
        <f>SUM(N79:N81)</f>
        <v>0</v>
      </c>
      <c r="O78" s="367">
        <f>SUM(O79:O81)</f>
        <v>0</v>
      </c>
      <c r="P78" s="367">
        <f>SUM(P79:P81)</f>
        <v>0</v>
      </c>
      <c r="Q78" s="570">
        <f t="shared" si="21"/>
        <v>0</v>
      </c>
      <c r="R78" s="128"/>
    </row>
    <row r="79" spans="1:20" s="126" customFormat="1" ht="23.25" customHeight="1" x14ac:dyDescent="0.25">
      <c r="A79" s="240" t="s">
        <v>814</v>
      </c>
      <c r="B79" s="610"/>
      <c r="C79" s="766"/>
      <c r="D79" s="368"/>
      <c r="E79" s="772">
        <f t="shared" si="18"/>
        <v>0</v>
      </c>
      <c r="F79" s="603"/>
      <c r="G79" s="367"/>
      <c r="H79" s="367"/>
      <c r="I79" s="772">
        <f t="shared" si="19"/>
        <v>0</v>
      </c>
      <c r="J79" s="603"/>
      <c r="K79" s="367"/>
      <c r="L79" s="367"/>
      <c r="M79" s="764">
        <f t="shared" si="20"/>
        <v>0</v>
      </c>
      <c r="N79" s="1212">
        <f t="shared" ref="N79:P81" si="23">B79+J79</f>
        <v>0</v>
      </c>
      <c r="O79" s="368">
        <f t="shared" si="23"/>
        <v>0</v>
      </c>
      <c r="P79" s="368">
        <f t="shared" si="23"/>
        <v>0</v>
      </c>
      <c r="Q79" s="569">
        <f t="shared" si="21"/>
        <v>0</v>
      </c>
      <c r="R79" s="128"/>
    </row>
    <row r="80" spans="1:20" s="126" customFormat="1" ht="39.6" x14ac:dyDescent="0.25">
      <c r="A80" s="240" t="s">
        <v>815</v>
      </c>
      <c r="B80" s="610"/>
      <c r="C80" s="767"/>
      <c r="D80" s="367"/>
      <c r="E80" s="772">
        <f t="shared" si="18"/>
        <v>0</v>
      </c>
      <c r="F80" s="603"/>
      <c r="G80" s="367"/>
      <c r="H80" s="367"/>
      <c r="I80" s="772">
        <f t="shared" si="19"/>
        <v>0</v>
      </c>
      <c r="J80" s="603"/>
      <c r="K80" s="367"/>
      <c r="L80" s="367"/>
      <c r="M80" s="764">
        <f t="shared" si="20"/>
        <v>0</v>
      </c>
      <c r="N80" s="1212">
        <f t="shared" si="23"/>
        <v>0</v>
      </c>
      <c r="O80" s="368">
        <f t="shared" si="23"/>
        <v>0</v>
      </c>
      <c r="P80" s="368">
        <f t="shared" si="23"/>
        <v>0</v>
      </c>
      <c r="Q80" s="569">
        <f t="shared" si="21"/>
        <v>0</v>
      </c>
      <c r="R80" s="128"/>
    </row>
    <row r="81" spans="1:18" s="126" customFormat="1" ht="23.25" customHeight="1" x14ac:dyDescent="0.25">
      <c r="A81" s="240" t="s">
        <v>816</v>
      </c>
      <c r="B81" s="610"/>
      <c r="C81" s="767"/>
      <c r="D81" s="367"/>
      <c r="E81" s="772">
        <f t="shared" si="18"/>
        <v>0</v>
      </c>
      <c r="F81" s="603"/>
      <c r="G81" s="367"/>
      <c r="H81" s="367"/>
      <c r="I81" s="772">
        <f t="shared" si="19"/>
        <v>0</v>
      </c>
      <c r="J81" s="603"/>
      <c r="K81" s="367"/>
      <c r="L81" s="367"/>
      <c r="M81" s="764">
        <f t="shared" si="20"/>
        <v>0</v>
      </c>
      <c r="N81" s="1212">
        <f t="shared" si="23"/>
        <v>0</v>
      </c>
      <c r="O81" s="368">
        <f t="shared" si="23"/>
        <v>0</v>
      </c>
      <c r="P81" s="368">
        <f t="shared" si="23"/>
        <v>0</v>
      </c>
      <c r="Q81" s="569">
        <f t="shared" si="21"/>
        <v>0</v>
      </c>
      <c r="R81" s="128"/>
    </row>
    <row r="82" spans="1:18" s="124" customFormat="1" ht="27" customHeight="1" x14ac:dyDescent="0.25">
      <c r="A82" s="238" t="s">
        <v>817</v>
      </c>
      <c r="B82" s="367">
        <f>SUM(B83:B86)</f>
        <v>0</v>
      </c>
      <c r="C82" s="767">
        <f>SUM(C83:C86)</f>
        <v>650000</v>
      </c>
      <c r="D82" s="367">
        <f>D83+D84+D85+D86</f>
        <v>650000</v>
      </c>
      <c r="E82" s="774">
        <f t="shared" si="18"/>
        <v>0</v>
      </c>
      <c r="F82" s="404">
        <f>SUM(F83:F86)</f>
        <v>0</v>
      </c>
      <c r="G82" s="367">
        <f>SUM(G83:G86)</f>
        <v>0</v>
      </c>
      <c r="H82" s="367"/>
      <c r="I82" s="774">
        <f t="shared" si="19"/>
        <v>0</v>
      </c>
      <c r="J82" s="404">
        <f>SUM(J83:J86)</f>
        <v>0</v>
      </c>
      <c r="K82" s="367">
        <f>SUM(K83:K86)</f>
        <v>0</v>
      </c>
      <c r="L82" s="367"/>
      <c r="M82" s="763">
        <f t="shared" si="20"/>
        <v>0</v>
      </c>
      <c r="N82" s="1211">
        <f>SUM(N83:N86)</f>
        <v>0</v>
      </c>
      <c r="O82" s="367">
        <f>SUM(O83:O86)</f>
        <v>650000</v>
      </c>
      <c r="P82" s="367">
        <f>SUM(P83:P86)</f>
        <v>650000</v>
      </c>
      <c r="Q82" s="570">
        <f t="shared" si="21"/>
        <v>0</v>
      </c>
    </row>
    <row r="83" spans="1:18" s="126" customFormat="1" ht="39.6" x14ac:dyDescent="0.25">
      <c r="A83" s="249" t="s">
        <v>818</v>
      </c>
      <c r="B83" s="610"/>
      <c r="C83" s="766">
        <v>650000</v>
      </c>
      <c r="D83" s="368">
        <v>650000</v>
      </c>
      <c r="E83" s="772">
        <f t="shared" si="18"/>
        <v>0</v>
      </c>
      <c r="F83" s="603"/>
      <c r="G83" s="368"/>
      <c r="H83" s="368"/>
      <c r="I83" s="772">
        <f t="shared" si="19"/>
        <v>0</v>
      </c>
      <c r="J83" s="603"/>
      <c r="K83" s="368"/>
      <c r="L83" s="368"/>
      <c r="M83" s="764">
        <f t="shared" si="20"/>
        <v>0</v>
      </c>
      <c r="N83" s="1212">
        <f t="shared" ref="N83:P88" si="24">B83+J83</f>
        <v>0</v>
      </c>
      <c r="O83" s="368">
        <f t="shared" si="24"/>
        <v>650000</v>
      </c>
      <c r="P83" s="368">
        <f t="shared" si="24"/>
        <v>650000</v>
      </c>
      <c r="Q83" s="569">
        <f t="shared" si="21"/>
        <v>0</v>
      </c>
    </row>
    <row r="84" spans="1:18" s="126" customFormat="1" ht="23.25" customHeight="1" x14ac:dyDescent="0.25">
      <c r="A84" s="239" t="s">
        <v>819</v>
      </c>
      <c r="B84" s="610"/>
      <c r="C84" s="766"/>
      <c r="D84" s="368"/>
      <c r="E84" s="772">
        <f t="shared" si="18"/>
        <v>0</v>
      </c>
      <c r="F84" s="603"/>
      <c r="G84" s="368"/>
      <c r="H84" s="368"/>
      <c r="I84" s="772">
        <f t="shared" si="19"/>
        <v>0</v>
      </c>
      <c r="J84" s="603"/>
      <c r="K84" s="368"/>
      <c r="L84" s="368"/>
      <c r="M84" s="764">
        <f t="shared" si="20"/>
        <v>0</v>
      </c>
      <c r="N84" s="1212">
        <f t="shared" si="24"/>
        <v>0</v>
      </c>
      <c r="O84" s="368">
        <f t="shared" si="24"/>
        <v>0</v>
      </c>
      <c r="P84" s="368">
        <f t="shared" si="24"/>
        <v>0</v>
      </c>
      <c r="Q84" s="569">
        <f t="shared" si="21"/>
        <v>0</v>
      </c>
    </row>
    <row r="85" spans="1:18" s="124" customFormat="1" ht="39.6" x14ac:dyDescent="0.25">
      <c r="A85" s="250" t="s">
        <v>820</v>
      </c>
      <c r="B85" s="610"/>
      <c r="C85" s="766"/>
      <c r="D85" s="368"/>
      <c r="E85" s="772">
        <f t="shared" si="18"/>
        <v>0</v>
      </c>
      <c r="F85" s="603"/>
      <c r="G85" s="368"/>
      <c r="H85" s="368"/>
      <c r="I85" s="772">
        <f t="shared" si="19"/>
        <v>0</v>
      </c>
      <c r="J85" s="603"/>
      <c r="K85" s="368"/>
      <c r="L85" s="368"/>
      <c r="M85" s="764">
        <f t="shared" si="20"/>
        <v>0</v>
      </c>
      <c r="N85" s="1212">
        <f t="shared" si="24"/>
        <v>0</v>
      </c>
      <c r="O85" s="368">
        <f t="shared" si="24"/>
        <v>0</v>
      </c>
      <c r="P85" s="368">
        <f t="shared" si="24"/>
        <v>0</v>
      </c>
      <c r="Q85" s="569">
        <f t="shared" si="21"/>
        <v>0</v>
      </c>
    </row>
    <row r="86" spans="1:18" s="124" customFormat="1" ht="25.5" customHeight="1" x14ac:dyDescent="0.25">
      <c r="A86" s="250" t="s">
        <v>821</v>
      </c>
      <c r="B86" s="610"/>
      <c r="C86" s="766"/>
      <c r="D86" s="368"/>
      <c r="E86" s="772">
        <f t="shared" si="18"/>
        <v>0</v>
      </c>
      <c r="F86" s="603"/>
      <c r="G86" s="368"/>
      <c r="H86" s="368"/>
      <c r="I86" s="772">
        <f t="shared" si="19"/>
        <v>0</v>
      </c>
      <c r="J86" s="603"/>
      <c r="K86" s="368"/>
      <c r="L86" s="368"/>
      <c r="M86" s="764">
        <f t="shared" si="20"/>
        <v>0</v>
      </c>
      <c r="N86" s="1042">
        <f t="shared" si="24"/>
        <v>0</v>
      </c>
      <c r="O86" s="368">
        <f t="shared" si="24"/>
        <v>0</v>
      </c>
      <c r="P86" s="368">
        <f t="shared" si="24"/>
        <v>0</v>
      </c>
      <c r="Q86" s="569">
        <f t="shared" si="21"/>
        <v>0</v>
      </c>
    </row>
    <row r="87" spans="1:18" s="124" customFormat="1" ht="17.25" customHeight="1" x14ac:dyDescent="0.25">
      <c r="A87" s="431" t="s">
        <v>122</v>
      </c>
      <c r="B87" s="611"/>
      <c r="C87" s="767"/>
      <c r="D87" s="367"/>
      <c r="E87" s="774">
        <f t="shared" si="18"/>
        <v>0</v>
      </c>
      <c r="F87" s="613"/>
      <c r="G87" s="367"/>
      <c r="H87" s="367"/>
      <c r="I87" s="774">
        <f t="shared" si="19"/>
        <v>0</v>
      </c>
      <c r="J87" s="613"/>
      <c r="K87" s="367"/>
      <c r="L87" s="367"/>
      <c r="M87" s="763">
        <f t="shared" si="20"/>
        <v>0</v>
      </c>
      <c r="N87" s="955">
        <f t="shared" si="24"/>
        <v>0</v>
      </c>
      <c r="O87" s="367">
        <f t="shared" si="24"/>
        <v>0</v>
      </c>
      <c r="P87" s="367">
        <f t="shared" si="24"/>
        <v>0</v>
      </c>
      <c r="Q87" s="570">
        <f t="shared" si="21"/>
        <v>0</v>
      </c>
    </row>
    <row r="88" spans="1:18" s="124" customFormat="1" ht="25.5" customHeight="1" x14ac:dyDescent="0.25">
      <c r="A88" s="431" t="s">
        <v>393</v>
      </c>
      <c r="B88" s="611">
        <v>8600</v>
      </c>
      <c r="C88" s="767">
        <v>12800</v>
      </c>
      <c r="D88" s="367">
        <v>43348</v>
      </c>
      <c r="E88" s="774">
        <f t="shared" si="18"/>
        <v>30548</v>
      </c>
      <c r="F88" s="613"/>
      <c r="G88" s="367"/>
      <c r="H88" s="367"/>
      <c r="I88" s="774">
        <f t="shared" si="19"/>
        <v>0</v>
      </c>
      <c r="J88" s="613"/>
      <c r="K88" s="367"/>
      <c r="L88" s="367"/>
      <c r="M88" s="763">
        <f t="shared" si="20"/>
        <v>0</v>
      </c>
      <c r="N88" s="1211">
        <f t="shared" si="24"/>
        <v>8600</v>
      </c>
      <c r="O88" s="367">
        <f t="shared" si="24"/>
        <v>12800</v>
      </c>
      <c r="P88" s="367">
        <f t="shared" si="24"/>
        <v>43348</v>
      </c>
      <c r="Q88" s="570">
        <f t="shared" si="21"/>
        <v>30548</v>
      </c>
    </row>
    <row r="89" spans="1:18" s="124" customFormat="1" ht="27" customHeight="1" x14ac:dyDescent="0.25">
      <c r="A89" s="251" t="s">
        <v>822</v>
      </c>
      <c r="B89" s="367">
        <f>B77+B74</f>
        <v>691520</v>
      </c>
      <c r="C89" s="767">
        <f>C77+C74</f>
        <v>1515105</v>
      </c>
      <c r="D89" s="367">
        <f>D77+D74</f>
        <v>1545653</v>
      </c>
      <c r="E89" s="774">
        <f t="shared" si="18"/>
        <v>30548</v>
      </c>
      <c r="F89" s="617">
        <f t="shared" ref="F89:K89" si="25">F77+F74</f>
        <v>0</v>
      </c>
      <c r="G89" s="367">
        <f t="shared" si="25"/>
        <v>20305</v>
      </c>
      <c r="H89" s="367">
        <f>H74+H77</f>
        <v>20305</v>
      </c>
      <c r="I89" s="774">
        <f t="shared" si="19"/>
        <v>0</v>
      </c>
      <c r="J89" s="955">
        <f t="shared" si="25"/>
        <v>0</v>
      </c>
      <c r="K89" s="367">
        <f t="shared" si="25"/>
        <v>30276</v>
      </c>
      <c r="L89" s="367">
        <f t="shared" ref="L89" si="26">L77+L74</f>
        <v>30276</v>
      </c>
      <c r="M89" s="763">
        <f t="shared" si="20"/>
        <v>0</v>
      </c>
      <c r="N89" s="1211">
        <f>N77+N74</f>
        <v>691520</v>
      </c>
      <c r="O89" s="367">
        <f>O77+O74</f>
        <v>1565686</v>
      </c>
      <c r="P89" s="367">
        <f>P77+P74</f>
        <v>1596234</v>
      </c>
      <c r="Q89" s="570">
        <f t="shared" si="21"/>
        <v>30548</v>
      </c>
    </row>
    <row r="90" spans="1:18" s="124" customFormat="1" ht="15" customHeight="1" x14ac:dyDescent="0.25">
      <c r="A90" s="238" t="s">
        <v>823</v>
      </c>
      <c r="B90" s="611">
        <f>B72+B89</f>
        <v>4181306</v>
      </c>
      <c r="C90" s="767">
        <f>C72+C89</f>
        <v>7496532</v>
      </c>
      <c r="D90" s="367">
        <f>D89+D72</f>
        <v>7544942</v>
      </c>
      <c r="E90" s="774">
        <f t="shared" si="18"/>
        <v>48410</v>
      </c>
      <c r="F90" s="404">
        <f t="shared" ref="F90:K90" si="27">F72+F89</f>
        <v>36176</v>
      </c>
      <c r="G90" s="767">
        <f t="shared" si="27"/>
        <v>62663</v>
      </c>
      <c r="H90" s="367">
        <f>H89+H72</f>
        <v>62688</v>
      </c>
      <c r="I90" s="774">
        <f t="shared" si="19"/>
        <v>25</v>
      </c>
      <c r="J90" s="604">
        <f t="shared" si="27"/>
        <v>190502</v>
      </c>
      <c r="K90" s="367">
        <f t="shared" si="27"/>
        <v>229575</v>
      </c>
      <c r="L90" s="367">
        <f t="shared" ref="L90" si="28">L72+L89</f>
        <v>231506</v>
      </c>
      <c r="M90" s="763">
        <f t="shared" si="20"/>
        <v>1931</v>
      </c>
      <c r="N90" s="1211">
        <f>N72+N89</f>
        <v>4407984</v>
      </c>
      <c r="O90" s="367">
        <f>O72+O89</f>
        <v>7788770</v>
      </c>
      <c r="P90" s="367">
        <f>P72+P89</f>
        <v>7839136</v>
      </c>
      <c r="Q90" s="570">
        <f t="shared" si="21"/>
        <v>50366</v>
      </c>
      <c r="R90" s="123"/>
    </row>
    <row r="91" spans="1:18" x14ac:dyDescent="0.25">
      <c r="A91" s="382" t="s">
        <v>335</v>
      </c>
      <c r="B91" s="614">
        <v>52</v>
      </c>
      <c r="C91" s="1202">
        <v>52</v>
      </c>
      <c r="D91" s="773">
        <f>'2.a tábla ÚJ '!AY62+'2.a tábla ÚJ '!AY60</f>
        <v>52</v>
      </c>
      <c r="E91" s="772">
        <f t="shared" si="18"/>
        <v>0</v>
      </c>
      <c r="F91" s="618">
        <v>73.33</v>
      </c>
      <c r="G91" s="773">
        <v>73.33</v>
      </c>
      <c r="H91" s="773">
        <f>'2.a tábla ÚJ '!AY59</f>
        <v>73.33</v>
      </c>
      <c r="I91" s="772">
        <f t="shared" si="19"/>
        <v>0</v>
      </c>
      <c r="J91" s="618">
        <v>89</v>
      </c>
      <c r="K91" s="773">
        <v>88</v>
      </c>
      <c r="L91" s="773">
        <f>'2.a tábla ÚJ '!AT59</f>
        <v>88</v>
      </c>
      <c r="M91" s="764">
        <f t="shared" si="20"/>
        <v>0</v>
      </c>
      <c r="N91" s="1213">
        <f t="shared" ref="N91:P92" si="29">B91+J91+F91</f>
        <v>214.32999999999998</v>
      </c>
      <c r="O91" s="1215">
        <f t="shared" si="29"/>
        <v>213.32999999999998</v>
      </c>
      <c r="P91" s="1215">
        <f t="shared" si="29"/>
        <v>213.32999999999998</v>
      </c>
      <c r="Q91" s="569">
        <f t="shared" si="21"/>
        <v>0</v>
      </c>
    </row>
    <row r="92" spans="1:18" ht="13.8" thickBot="1" x14ac:dyDescent="0.3">
      <c r="A92" s="403" t="s">
        <v>824</v>
      </c>
      <c r="B92" s="615">
        <v>50</v>
      </c>
      <c r="C92" s="713">
        <v>50</v>
      </c>
      <c r="D92" s="713">
        <f>'2.a tábla ÚJ '!AY62</f>
        <v>50</v>
      </c>
      <c r="E92" s="954">
        <f t="shared" si="18"/>
        <v>0</v>
      </c>
      <c r="F92" s="619"/>
      <c r="G92" s="713"/>
      <c r="H92" s="713"/>
      <c r="I92" s="954">
        <f t="shared" si="19"/>
        <v>0</v>
      </c>
      <c r="J92" s="619">
        <v>10</v>
      </c>
      <c r="K92" s="713">
        <v>10</v>
      </c>
      <c r="L92" s="713">
        <f>'2.a tábla ÚJ '!AT58</f>
        <v>10</v>
      </c>
      <c r="M92" s="967">
        <f t="shared" si="20"/>
        <v>0</v>
      </c>
      <c r="N92" s="1214">
        <f t="shared" si="29"/>
        <v>60</v>
      </c>
      <c r="O92" s="615">
        <f t="shared" si="29"/>
        <v>60</v>
      </c>
      <c r="P92" s="615">
        <f t="shared" si="29"/>
        <v>60</v>
      </c>
      <c r="Q92" s="582">
        <f t="shared" si="21"/>
        <v>0</v>
      </c>
      <c r="R92" s="129"/>
    </row>
    <row r="93" spans="1:18" x14ac:dyDescent="0.25">
      <c r="B93" s="568"/>
      <c r="E93" s="568"/>
      <c r="F93" s="568"/>
      <c r="I93" s="568"/>
      <c r="J93" s="568"/>
      <c r="K93" s="714"/>
      <c r="L93" s="714"/>
      <c r="M93" s="568"/>
      <c r="N93" s="568"/>
      <c r="O93" s="568"/>
      <c r="P93" s="568"/>
    </row>
    <row r="94" spans="1:18" x14ac:dyDescent="0.25">
      <c r="B94" s="568"/>
      <c r="E94" s="568"/>
      <c r="F94" s="568"/>
      <c r="I94" s="568"/>
      <c r="J94" s="568"/>
      <c r="K94" s="714"/>
      <c r="L94" s="714"/>
      <c r="M94" s="568"/>
      <c r="N94" s="568"/>
      <c r="O94" s="568"/>
      <c r="P94" s="568"/>
    </row>
    <row r="95" spans="1:18" x14ac:dyDescent="0.25">
      <c r="B95" s="568"/>
      <c r="E95" s="568"/>
      <c r="F95" s="568"/>
      <c r="I95" s="568"/>
      <c r="J95" s="568"/>
      <c r="K95" s="714"/>
      <c r="L95" s="714"/>
      <c r="M95" s="568"/>
      <c r="N95" s="568"/>
      <c r="O95" s="568"/>
      <c r="P95" s="568"/>
    </row>
    <row r="96" spans="1:18" x14ac:dyDescent="0.25">
      <c r="B96" s="568"/>
      <c r="E96" s="568"/>
      <c r="F96" s="568"/>
      <c r="I96" s="568"/>
      <c r="J96" s="568"/>
      <c r="K96" s="714"/>
      <c r="L96" s="714"/>
      <c r="M96" s="568"/>
      <c r="N96" s="568"/>
      <c r="O96" s="568"/>
      <c r="P96" s="568"/>
    </row>
    <row r="97" spans="2:16" x14ac:dyDescent="0.25">
      <c r="B97" s="568"/>
      <c r="E97" s="568"/>
      <c r="F97" s="568"/>
      <c r="I97" s="568"/>
      <c r="J97" s="568"/>
      <c r="K97" s="714"/>
      <c r="L97" s="714"/>
      <c r="M97" s="568"/>
      <c r="N97" s="568"/>
      <c r="O97" s="568"/>
      <c r="P97" s="568"/>
    </row>
    <row r="98" spans="2:16" x14ac:dyDescent="0.25">
      <c r="B98" s="568"/>
      <c r="E98" s="568"/>
      <c r="K98" s="714"/>
      <c r="L98" s="714"/>
      <c r="M98" s="568"/>
      <c r="N98" s="568"/>
      <c r="O98" s="568"/>
      <c r="P98" s="568"/>
    </row>
    <row r="99" spans="2:16" x14ac:dyDescent="0.25">
      <c r="M99" s="568"/>
      <c r="N99" s="568"/>
      <c r="O99" s="568"/>
      <c r="P99" s="568"/>
    </row>
  </sheetData>
  <sheetProtection selectLockedCells="1" selectUnlockedCells="1"/>
  <mergeCells count="12">
    <mergeCell ref="B66:E66"/>
    <mergeCell ref="F66:I66"/>
    <mergeCell ref="J66:M66"/>
    <mergeCell ref="N66:Q66"/>
    <mergeCell ref="B3:E3"/>
    <mergeCell ref="F3:I3"/>
    <mergeCell ref="J3:M3"/>
    <mergeCell ref="N3:Q3"/>
    <mergeCell ref="B26:E26"/>
    <mergeCell ref="F26:I26"/>
    <mergeCell ref="J26:M26"/>
    <mergeCell ref="N26:Q26"/>
  </mergeCells>
  <phoneticPr fontId="28" type="noConversion"/>
  <printOptions horizontalCentered="1" gridLines="1"/>
  <pageMargins left="0.43307086614173229" right="0.43307086614173229" top="0.98425196850393704" bottom="0.23622047244094491" header="0.27559055118110237" footer="0.51181102362204722"/>
  <pageSetup paperSize="9" scale="54" firstPageNumber="0" fitToHeight="0" orientation="landscape" r:id="rId1"/>
  <headerFooter alignWithMargins="0">
    <oddHeader>&amp;C&amp;"Arial,Félkövér"&amp;12BEVÉTELEK ELŐIRÁNYZATA 2016. ÉV
2. melléklet
az önkormányzat 2016. évi költségvetéséről szóló 8/2016. (II.26.) önkormányzati rendelet
módosításáról szóló 7/2017.(II.24.) önkormányzati rendelethez
&amp;R&amp;12
&amp;P. oldal
ezer forint</oddHeader>
  </headerFooter>
  <rowBreaks count="2" manualBreakCount="2">
    <brk id="25" max="16" man="1"/>
    <brk id="65"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HT69"/>
  <sheetViews>
    <sheetView view="pageLayout" topLeftCell="AO3" zoomScaleNormal="84" zoomScaleSheetLayoutView="89" workbookViewId="0">
      <selection activeCell="AY31" sqref="AY31"/>
    </sheetView>
  </sheetViews>
  <sheetFormatPr defaultColWidth="9.109375" defaultRowHeight="13.2" x14ac:dyDescent="0.25"/>
  <cols>
    <col min="1" max="1" width="42.109375" style="113" customWidth="1"/>
    <col min="2" max="2" width="11.33203125" style="116" customWidth="1"/>
    <col min="3" max="4" width="11.88671875" style="116" customWidth="1"/>
    <col min="5" max="5" width="11.33203125" style="116" customWidth="1"/>
    <col min="6" max="17" width="11.6640625" style="116" customWidth="1"/>
    <col min="18" max="18" width="41.5546875" style="113" customWidth="1"/>
    <col min="19" max="19" width="11.33203125" style="116" customWidth="1"/>
    <col min="20" max="21" width="12.109375" style="116" customWidth="1"/>
    <col min="22" max="22" width="11.33203125" style="116" customWidth="1"/>
    <col min="23" max="26" width="12" style="116" customWidth="1"/>
    <col min="27" max="30" width="11.5546875" style="116" customWidth="1"/>
    <col min="31" max="31" width="11.44140625" style="116" customWidth="1"/>
    <col min="32" max="33" width="11.6640625" style="116" customWidth="1"/>
    <col min="34" max="34" width="11.44140625" style="116" customWidth="1"/>
    <col min="35" max="35" width="34.5546875" style="113" customWidth="1"/>
    <col min="36" max="39" width="12.33203125" style="116" customWidth="1"/>
    <col min="40" max="40" width="11.109375" style="141" customWidth="1"/>
    <col min="41" max="42" width="11.5546875" style="141" customWidth="1"/>
    <col min="43" max="43" width="11.109375" style="141" customWidth="1"/>
    <col min="44" max="47" width="11.44140625" style="116" customWidth="1"/>
    <col min="48" max="48" width="0.33203125" style="116" customWidth="1"/>
    <col min="49" max="49" width="11.109375" style="116" customWidth="1"/>
    <col min="50" max="51" width="12.88671875" style="116" customWidth="1"/>
    <col min="52" max="52" width="11.109375" style="116" customWidth="1"/>
    <col min="53" max="228" width="9.109375" style="116"/>
    <col min="229" max="16384" width="9.109375" style="93"/>
  </cols>
  <sheetData>
    <row r="1" spans="1:52" ht="12.75" hidden="1" customHeight="1" x14ac:dyDescent="0.25">
      <c r="A1" s="211"/>
      <c r="B1" s="130"/>
      <c r="C1" s="130"/>
      <c r="D1" s="130"/>
      <c r="E1" s="130"/>
      <c r="F1" s="130"/>
      <c r="G1" s="130"/>
      <c r="H1" s="130"/>
      <c r="I1" s="130"/>
      <c r="J1" s="130"/>
      <c r="K1" s="130"/>
      <c r="L1" s="130"/>
      <c r="M1" s="130"/>
      <c r="N1" s="130"/>
      <c r="O1" s="130"/>
      <c r="P1" s="130"/>
      <c r="Q1" s="130"/>
      <c r="R1" s="211"/>
      <c r="S1" s="130"/>
      <c r="T1" s="130"/>
      <c r="U1" s="130"/>
      <c r="V1" s="130"/>
      <c r="W1" s="130"/>
      <c r="X1" s="130"/>
      <c r="Y1" s="130"/>
      <c r="Z1" s="130"/>
      <c r="AA1" s="130"/>
      <c r="AB1" s="130"/>
      <c r="AC1" s="130"/>
      <c r="AD1" s="130"/>
      <c r="AE1" s="130"/>
      <c r="AF1" s="130"/>
      <c r="AG1" s="130"/>
      <c r="AH1" s="130"/>
      <c r="AI1" s="211"/>
      <c r="AJ1" s="130"/>
      <c r="AK1" s="130"/>
      <c r="AL1" s="130"/>
      <c r="AM1" s="130"/>
      <c r="AN1" s="131"/>
      <c r="AO1" s="131"/>
      <c r="AP1" s="131"/>
      <c r="AQ1" s="131"/>
      <c r="AR1" s="130"/>
      <c r="AS1" s="130"/>
      <c r="AT1" s="130"/>
      <c r="AU1" s="130"/>
      <c r="AV1" s="132"/>
      <c r="AW1" s="132"/>
      <c r="AX1" s="132"/>
      <c r="AY1" s="132"/>
      <c r="AZ1" s="132"/>
    </row>
    <row r="2" spans="1:52" ht="12.75" hidden="1" customHeight="1" x14ac:dyDescent="0.25">
      <c r="B2" s="132"/>
      <c r="C2" s="132"/>
      <c r="D2" s="132"/>
      <c r="E2" s="132"/>
      <c r="F2" s="132"/>
      <c r="G2" s="132"/>
      <c r="H2" s="132"/>
      <c r="I2" s="132"/>
      <c r="J2" s="132"/>
      <c r="K2" s="132"/>
      <c r="L2" s="132"/>
      <c r="M2" s="132"/>
      <c r="N2" s="132"/>
      <c r="O2" s="132"/>
      <c r="P2" s="132"/>
      <c r="Q2" s="132"/>
      <c r="S2" s="132"/>
      <c r="T2" s="132"/>
      <c r="U2" s="132"/>
      <c r="V2" s="132"/>
      <c r="W2" s="132"/>
      <c r="X2" s="132"/>
      <c r="Y2" s="132"/>
      <c r="Z2" s="132"/>
      <c r="AA2" s="132"/>
      <c r="AB2" s="132"/>
      <c r="AC2" s="132"/>
      <c r="AD2" s="132"/>
      <c r="AE2" s="132"/>
      <c r="AF2" s="132"/>
      <c r="AG2" s="132"/>
      <c r="AH2" s="132"/>
      <c r="AJ2" s="132"/>
      <c r="AK2" s="132"/>
      <c r="AL2" s="132"/>
      <c r="AM2" s="132"/>
      <c r="AN2" s="133"/>
      <c r="AO2" s="133"/>
      <c r="AP2" s="133"/>
      <c r="AQ2" s="133"/>
      <c r="AR2" s="132"/>
      <c r="AS2" s="132"/>
      <c r="AT2" s="132"/>
      <c r="AU2" s="132"/>
      <c r="AV2" s="132"/>
      <c r="AW2" s="132"/>
      <c r="AX2" s="132"/>
      <c r="AY2" s="132"/>
      <c r="AZ2" s="132"/>
    </row>
    <row r="3" spans="1:52" ht="12.75" customHeight="1" x14ac:dyDescent="0.25">
      <c r="B3" s="132"/>
      <c r="C3" s="132"/>
      <c r="D3" s="132"/>
      <c r="E3" s="132"/>
      <c r="F3" s="132"/>
      <c r="G3" s="132"/>
      <c r="H3" s="132"/>
      <c r="I3" s="132"/>
      <c r="J3" s="132"/>
      <c r="K3" s="132"/>
      <c r="L3" s="132"/>
      <c r="M3" s="132"/>
      <c r="N3" s="132"/>
      <c r="O3" s="132"/>
      <c r="P3" s="132"/>
      <c r="Q3" s="132"/>
      <c r="S3" s="132"/>
      <c r="T3" s="132"/>
      <c r="U3" s="132"/>
      <c r="V3" s="132"/>
      <c r="W3" s="132"/>
      <c r="X3" s="132"/>
      <c r="Y3" s="132"/>
      <c r="Z3" s="132"/>
      <c r="AA3" s="132"/>
      <c r="AB3" s="132"/>
      <c r="AC3" s="132"/>
      <c r="AD3" s="132"/>
      <c r="AE3" s="132"/>
      <c r="AF3" s="132"/>
      <c r="AG3" s="132"/>
      <c r="AH3" s="132"/>
      <c r="AJ3" s="132"/>
      <c r="AK3" s="132"/>
      <c r="AL3" s="132"/>
      <c r="AM3" s="132"/>
      <c r="AN3" s="133"/>
      <c r="AO3" s="133"/>
      <c r="AP3" s="133"/>
      <c r="AQ3" s="133"/>
      <c r="AR3" s="132"/>
      <c r="AS3" s="132"/>
      <c r="AT3" s="132"/>
      <c r="AU3" s="132"/>
      <c r="AV3" s="132"/>
      <c r="AW3" s="132"/>
      <c r="AX3" s="132"/>
      <c r="AY3" s="132"/>
      <c r="AZ3" s="132"/>
    </row>
    <row r="4" spans="1:52" ht="12.75" customHeight="1" x14ac:dyDescent="0.25">
      <c r="B4" s="132"/>
      <c r="C4" s="132"/>
      <c r="D4" s="132"/>
      <c r="E4" s="132"/>
      <c r="F4" s="132"/>
      <c r="G4" s="132"/>
      <c r="H4" s="132"/>
      <c r="I4" s="132"/>
      <c r="J4" s="132"/>
      <c r="K4" s="132"/>
      <c r="L4" s="132"/>
      <c r="M4" s="132"/>
      <c r="N4" s="132"/>
      <c r="O4" s="132"/>
      <c r="P4" s="132"/>
      <c r="Q4" s="132"/>
      <c r="S4" s="132"/>
      <c r="T4" s="132"/>
      <c r="U4" s="132"/>
      <c r="V4" s="132"/>
      <c r="W4" s="132"/>
      <c r="X4" s="132"/>
      <c r="Y4" s="132"/>
      <c r="Z4" s="132"/>
      <c r="AA4" s="132"/>
      <c r="AB4" s="132"/>
      <c r="AC4" s="132"/>
      <c r="AD4" s="132"/>
      <c r="AE4" s="132"/>
      <c r="AF4" s="132"/>
      <c r="AG4" s="132"/>
      <c r="AH4" s="132"/>
      <c r="AJ4" s="132"/>
      <c r="AK4" s="132"/>
      <c r="AL4" s="132"/>
      <c r="AM4" s="132"/>
      <c r="AN4" s="133"/>
      <c r="AO4" s="133"/>
      <c r="AP4" s="133"/>
      <c r="AQ4" s="133"/>
      <c r="AR4" s="132"/>
      <c r="AS4" s="132"/>
      <c r="AT4" s="132"/>
      <c r="AU4" s="132"/>
      <c r="AV4" s="132"/>
      <c r="AW4" s="132"/>
      <c r="AX4" s="132"/>
      <c r="AY4" s="132"/>
      <c r="AZ4" s="132"/>
    </row>
    <row r="5" spans="1:52" ht="6" customHeight="1" x14ac:dyDescent="0.25">
      <c r="B5" s="132"/>
      <c r="C5" s="132"/>
      <c r="D5" s="132"/>
      <c r="E5" s="132"/>
      <c r="F5" s="132"/>
      <c r="G5" s="132"/>
      <c r="H5" s="132"/>
      <c r="I5" s="132"/>
      <c r="J5" s="132"/>
      <c r="K5" s="132"/>
      <c r="L5" s="132"/>
      <c r="M5" s="132"/>
      <c r="N5" s="132"/>
      <c r="O5" s="132"/>
      <c r="P5" s="132"/>
      <c r="Q5" s="132"/>
      <c r="S5" s="132"/>
      <c r="T5" s="132"/>
      <c r="U5" s="132"/>
      <c r="V5" s="132"/>
      <c r="W5" s="132"/>
      <c r="X5" s="132"/>
      <c r="Y5" s="132"/>
      <c r="Z5" s="132"/>
      <c r="AA5" s="132"/>
      <c r="AB5" s="132"/>
      <c r="AC5" s="132"/>
      <c r="AD5" s="132"/>
      <c r="AE5" s="132"/>
      <c r="AF5" s="132"/>
      <c r="AG5" s="132"/>
      <c r="AH5" s="132"/>
      <c r="AJ5" s="132"/>
      <c r="AK5" s="132"/>
      <c r="AL5" s="132"/>
      <c r="AM5" s="132"/>
      <c r="AN5" s="133"/>
      <c r="AO5" s="133"/>
      <c r="AP5" s="133"/>
      <c r="AQ5" s="133"/>
      <c r="AR5" s="132"/>
      <c r="AS5" s="132"/>
      <c r="AT5" s="132"/>
      <c r="AU5" s="132"/>
      <c r="AV5" s="132"/>
      <c r="AW5" s="132"/>
      <c r="AX5" s="132"/>
      <c r="AY5" s="132"/>
      <c r="AZ5" s="132"/>
    </row>
    <row r="6" spans="1:52" ht="25.5" customHeight="1" x14ac:dyDescent="0.3">
      <c r="A6" s="1587" t="s">
        <v>798</v>
      </c>
      <c r="B6" s="1587"/>
      <c r="C6" s="1587"/>
      <c r="D6" s="1587"/>
      <c r="E6" s="1587"/>
      <c r="F6" s="1587"/>
      <c r="G6" s="1587"/>
      <c r="H6" s="1587"/>
      <c r="I6" s="1587"/>
      <c r="J6" s="1587"/>
      <c r="K6" s="1587"/>
      <c r="L6" s="1587"/>
      <c r="M6" s="1587"/>
      <c r="N6" s="1587"/>
      <c r="O6" s="1587"/>
      <c r="P6" s="1587"/>
      <c r="Q6" s="1587"/>
      <c r="S6" s="132"/>
      <c r="T6" s="132"/>
      <c r="U6" s="132"/>
      <c r="V6" s="132"/>
      <c r="W6" s="132"/>
      <c r="X6" s="132"/>
      <c r="Y6" s="132"/>
      <c r="Z6" s="132"/>
      <c r="AA6" s="132"/>
      <c r="AB6" s="132"/>
      <c r="AC6" s="132"/>
      <c r="AD6" s="132"/>
      <c r="AE6" s="132"/>
      <c r="AF6" s="132"/>
      <c r="AG6" s="132"/>
      <c r="AH6" s="132"/>
      <c r="AJ6" s="132"/>
      <c r="AK6" s="132"/>
      <c r="AL6" s="132"/>
      <c r="AM6" s="132"/>
      <c r="AN6" s="133"/>
      <c r="AO6" s="133"/>
      <c r="AP6" s="133"/>
      <c r="AQ6" s="133"/>
      <c r="AR6" s="132"/>
      <c r="AS6" s="132"/>
      <c r="AT6" s="132"/>
      <c r="AU6" s="132"/>
      <c r="AV6" s="132"/>
      <c r="AW6" s="132"/>
      <c r="AX6" s="132"/>
      <c r="AY6" s="132"/>
      <c r="AZ6" s="132"/>
    </row>
    <row r="7" spans="1:52" ht="12.75" customHeight="1" x14ac:dyDescent="0.25">
      <c r="B7" s="132"/>
      <c r="C7" s="132"/>
      <c r="D7" s="132"/>
      <c r="E7" s="132"/>
      <c r="F7" s="132"/>
      <c r="G7" s="132"/>
      <c r="H7" s="132"/>
      <c r="I7" s="132"/>
      <c r="J7" s="132"/>
      <c r="K7" s="132"/>
      <c r="L7" s="132"/>
      <c r="M7" s="132"/>
      <c r="N7" s="132"/>
      <c r="O7" s="132"/>
      <c r="P7" s="132"/>
      <c r="Q7" s="132"/>
      <c r="S7" s="132"/>
      <c r="T7" s="132"/>
      <c r="U7" s="132"/>
      <c r="V7" s="132"/>
      <c r="W7" s="132"/>
      <c r="X7" s="132"/>
      <c r="Y7" s="132"/>
      <c r="Z7" s="132"/>
      <c r="AA7" s="132"/>
      <c r="AB7" s="132"/>
      <c r="AC7" s="132"/>
      <c r="AD7" s="132"/>
      <c r="AE7" s="132"/>
      <c r="AF7" s="132"/>
      <c r="AG7" s="132"/>
      <c r="AH7" s="132"/>
      <c r="AJ7" s="132"/>
      <c r="AK7" s="132"/>
      <c r="AL7" s="132"/>
      <c r="AM7" s="132"/>
      <c r="AN7" s="133"/>
      <c r="AO7" s="133"/>
      <c r="AP7" s="133"/>
      <c r="AQ7" s="133"/>
      <c r="AR7" s="132"/>
      <c r="AS7" s="132"/>
      <c r="AT7" s="132"/>
      <c r="AU7" s="132"/>
      <c r="AV7" s="132"/>
      <c r="AW7" s="132"/>
      <c r="AX7" s="132"/>
      <c r="AY7" s="132"/>
      <c r="AZ7" s="132"/>
    </row>
    <row r="8" spans="1:52" ht="12.75" customHeight="1" x14ac:dyDescent="0.25">
      <c r="B8" s="132"/>
      <c r="C8" s="132"/>
      <c r="D8" s="132"/>
      <c r="E8" s="132"/>
      <c r="F8" s="132"/>
      <c r="G8" s="132"/>
      <c r="H8" s="132"/>
      <c r="I8" s="132"/>
      <c r="J8" s="132"/>
      <c r="K8" s="132"/>
      <c r="L8" s="132"/>
      <c r="M8" s="132"/>
      <c r="N8" s="132"/>
      <c r="O8" s="132"/>
      <c r="P8" s="132"/>
      <c r="Q8" s="132"/>
      <c r="S8" s="132"/>
      <c r="T8" s="132"/>
      <c r="U8" s="132"/>
      <c r="V8" s="132"/>
      <c r="W8" s="132"/>
      <c r="X8" s="132"/>
      <c r="Y8" s="132"/>
      <c r="Z8" s="132"/>
      <c r="AA8" s="132"/>
      <c r="AB8" s="132"/>
      <c r="AC8" s="132"/>
      <c r="AD8" s="132"/>
      <c r="AE8" s="132"/>
      <c r="AF8" s="132"/>
      <c r="AG8" s="132"/>
      <c r="AH8" s="132"/>
      <c r="AJ8" s="132"/>
      <c r="AK8" s="132"/>
      <c r="AL8" s="132"/>
      <c r="AM8" s="132"/>
      <c r="AN8" s="133"/>
      <c r="AO8" s="133"/>
      <c r="AP8" s="133"/>
      <c r="AQ8" s="133"/>
      <c r="AR8" s="132"/>
      <c r="AS8" s="132"/>
      <c r="AT8" s="132"/>
      <c r="AU8" s="132"/>
      <c r="AV8" s="132"/>
      <c r="AW8" s="132"/>
      <c r="AX8" s="132"/>
      <c r="AY8" s="132"/>
      <c r="AZ8" s="132"/>
    </row>
    <row r="9" spans="1:52" ht="12.75" customHeight="1" thickBot="1" x14ac:dyDescent="0.3">
      <c r="B9" s="132"/>
      <c r="C9" s="132"/>
      <c r="D9" s="132"/>
      <c r="E9" s="132"/>
      <c r="F9" s="132"/>
      <c r="G9" s="132"/>
      <c r="H9" s="132"/>
      <c r="I9" s="132"/>
      <c r="J9" s="132"/>
      <c r="K9" s="132"/>
      <c r="L9" s="132"/>
      <c r="M9" s="132"/>
      <c r="N9" s="132"/>
      <c r="O9" s="132"/>
      <c r="P9" s="132"/>
      <c r="Q9" s="132"/>
      <c r="S9" s="132"/>
      <c r="T9" s="132"/>
      <c r="U9" s="132"/>
      <c r="V9" s="132"/>
      <c r="W9" s="132"/>
      <c r="X9" s="132"/>
      <c r="Y9" s="132"/>
      <c r="Z9" s="132"/>
      <c r="AA9" s="132"/>
      <c r="AB9" s="132"/>
      <c r="AC9" s="132"/>
      <c r="AD9" s="132"/>
      <c r="AE9" s="132"/>
      <c r="AF9" s="132"/>
      <c r="AG9" s="132"/>
      <c r="AH9" s="132"/>
      <c r="AJ9" s="132"/>
      <c r="AK9" s="132"/>
      <c r="AL9" s="132"/>
      <c r="AM9" s="132"/>
      <c r="AN9" s="133"/>
      <c r="AO9" s="133"/>
      <c r="AP9" s="133"/>
      <c r="AQ9" s="133"/>
      <c r="AR9" s="132"/>
      <c r="AS9" s="132"/>
      <c r="AT9" s="132"/>
      <c r="AU9" s="132"/>
      <c r="AV9" s="132"/>
      <c r="AW9" s="132"/>
      <c r="AX9" s="132"/>
      <c r="AY9" s="132"/>
      <c r="AZ9" s="132"/>
    </row>
    <row r="10" spans="1:52" s="117" customFormat="1" ht="45.75" customHeight="1" thickBot="1" x14ac:dyDescent="0.3">
      <c r="A10" s="1588" t="s">
        <v>307</v>
      </c>
      <c r="B10" s="1581" t="s">
        <v>825</v>
      </c>
      <c r="C10" s="1582"/>
      <c r="D10" s="1579"/>
      <c r="E10" s="1579"/>
      <c r="F10" s="1578" t="s">
        <v>826</v>
      </c>
      <c r="G10" s="1582"/>
      <c r="H10" s="1579"/>
      <c r="I10" s="1579"/>
      <c r="J10" s="1578" t="s">
        <v>827</v>
      </c>
      <c r="K10" s="1582"/>
      <c r="L10" s="1579"/>
      <c r="M10" s="1579"/>
      <c r="N10" s="1578" t="s">
        <v>828</v>
      </c>
      <c r="O10" s="1579"/>
      <c r="P10" s="1579"/>
      <c r="Q10" s="1579"/>
      <c r="R10" s="1588" t="s">
        <v>307</v>
      </c>
      <c r="S10" s="1581" t="s">
        <v>829</v>
      </c>
      <c r="T10" s="1582"/>
      <c r="U10" s="1579"/>
      <c r="V10" s="1579"/>
      <c r="W10" s="1591" t="s">
        <v>830</v>
      </c>
      <c r="X10" s="1592"/>
      <c r="Y10" s="1593"/>
      <c r="Z10" s="1593"/>
      <c r="AA10" s="1578" t="s">
        <v>831</v>
      </c>
      <c r="AB10" s="1582"/>
      <c r="AC10" s="1579"/>
      <c r="AD10" s="1580"/>
      <c r="AE10" s="1581" t="s">
        <v>832</v>
      </c>
      <c r="AF10" s="1579"/>
      <c r="AG10" s="1579"/>
      <c r="AH10" s="1579"/>
      <c r="AI10" s="1588" t="s">
        <v>307</v>
      </c>
      <c r="AJ10" s="1581" t="s">
        <v>833</v>
      </c>
      <c r="AK10" s="1582"/>
      <c r="AL10" s="1579"/>
      <c r="AM10" s="1579"/>
      <c r="AN10" s="1583" t="s">
        <v>834</v>
      </c>
      <c r="AO10" s="1584"/>
      <c r="AP10" s="1585"/>
      <c r="AQ10" s="1586"/>
      <c r="AR10" s="1581" t="s">
        <v>835</v>
      </c>
      <c r="AS10" s="1582"/>
      <c r="AT10" s="1582"/>
      <c r="AU10" s="1582"/>
      <c r="AV10" s="870"/>
      <c r="AW10" s="1578" t="s">
        <v>718</v>
      </c>
      <c r="AX10" s="1579"/>
      <c r="AY10" s="1579"/>
      <c r="AZ10" s="1580"/>
    </row>
    <row r="11" spans="1:52" s="118" customFormat="1" ht="59.25" customHeight="1" thickBot="1" x14ac:dyDescent="0.3">
      <c r="A11" s="1589"/>
      <c r="B11" s="846" t="s">
        <v>659</v>
      </c>
      <c r="C11" s="347" t="s">
        <v>52</v>
      </c>
      <c r="D11" s="347" t="s">
        <v>800</v>
      </c>
      <c r="E11" s="843" t="s">
        <v>660</v>
      </c>
      <c r="F11" s="817" t="s">
        <v>659</v>
      </c>
      <c r="G11" s="347" t="s">
        <v>52</v>
      </c>
      <c r="H11" s="347" t="s">
        <v>800</v>
      </c>
      <c r="I11" s="843" t="s">
        <v>660</v>
      </c>
      <c r="J11" s="817" t="s">
        <v>659</v>
      </c>
      <c r="K11" s="347" t="s">
        <v>52</v>
      </c>
      <c r="L11" s="347" t="s">
        <v>800</v>
      </c>
      <c r="M11" s="843" t="s">
        <v>660</v>
      </c>
      <c r="N11" s="817" t="s">
        <v>659</v>
      </c>
      <c r="O11" s="347" t="s">
        <v>52</v>
      </c>
      <c r="P11" s="347" t="s">
        <v>800</v>
      </c>
      <c r="Q11" s="843" t="s">
        <v>660</v>
      </c>
      <c r="R11" s="1590"/>
      <c r="S11" s="817" t="s">
        <v>659</v>
      </c>
      <c r="T11" s="347" t="s">
        <v>52</v>
      </c>
      <c r="U11" s="347" t="s">
        <v>800</v>
      </c>
      <c r="V11" s="843" t="s">
        <v>660</v>
      </c>
      <c r="W11" s="817" t="s">
        <v>659</v>
      </c>
      <c r="X11" s="347" t="s">
        <v>52</v>
      </c>
      <c r="Y11" s="347" t="s">
        <v>800</v>
      </c>
      <c r="Z11" s="843" t="s">
        <v>660</v>
      </c>
      <c r="AA11" s="817" t="s">
        <v>659</v>
      </c>
      <c r="AB11" s="347" t="s">
        <v>52</v>
      </c>
      <c r="AC11" s="347" t="s">
        <v>800</v>
      </c>
      <c r="AD11" s="843" t="s">
        <v>660</v>
      </c>
      <c r="AE11" s="817" t="s">
        <v>659</v>
      </c>
      <c r="AF11" s="347" t="s">
        <v>52</v>
      </c>
      <c r="AG11" s="347" t="s">
        <v>800</v>
      </c>
      <c r="AH11" s="843" t="s">
        <v>660</v>
      </c>
      <c r="AI11" s="1590"/>
      <c r="AJ11" s="817" t="s">
        <v>659</v>
      </c>
      <c r="AK11" s="347" t="s">
        <v>52</v>
      </c>
      <c r="AL11" s="347" t="s">
        <v>800</v>
      </c>
      <c r="AM11" s="843" t="s">
        <v>660</v>
      </c>
      <c r="AN11" s="817" t="s">
        <v>659</v>
      </c>
      <c r="AO11" s="347" t="s">
        <v>52</v>
      </c>
      <c r="AP11" s="347" t="s">
        <v>800</v>
      </c>
      <c r="AQ11" s="843" t="s">
        <v>660</v>
      </c>
      <c r="AR11" s="817" t="s">
        <v>659</v>
      </c>
      <c r="AS11" s="347" t="s">
        <v>52</v>
      </c>
      <c r="AT11" s="347" t="s">
        <v>800</v>
      </c>
      <c r="AU11" s="346" t="s">
        <v>660</v>
      </c>
      <c r="AV11" s="872"/>
      <c r="AW11" s="817" t="s">
        <v>659</v>
      </c>
      <c r="AX11" s="347" t="s">
        <v>52</v>
      </c>
      <c r="AY11" s="347" t="s">
        <v>800</v>
      </c>
      <c r="AZ11" s="346" t="s">
        <v>660</v>
      </c>
    </row>
    <row r="12" spans="1:52" s="118" customFormat="1" ht="26.4" x14ac:dyDescent="0.25">
      <c r="A12" s="847" t="s">
        <v>836</v>
      </c>
      <c r="B12" s="627">
        <f t="shared" ref="B12:P12" si="0">B13</f>
        <v>0</v>
      </c>
      <c r="C12" s="629">
        <f t="shared" si="0"/>
        <v>101</v>
      </c>
      <c r="D12" s="629">
        <f t="shared" si="0"/>
        <v>101</v>
      </c>
      <c r="E12" s="626">
        <f>D12-C12</f>
        <v>0</v>
      </c>
      <c r="F12" s="627">
        <f t="shared" si="0"/>
        <v>0</v>
      </c>
      <c r="G12" s="629">
        <f t="shared" si="0"/>
        <v>0</v>
      </c>
      <c r="H12" s="629">
        <f t="shared" si="0"/>
        <v>0</v>
      </c>
      <c r="I12" s="626">
        <f>H12-G12</f>
        <v>0</v>
      </c>
      <c r="J12" s="627">
        <f t="shared" si="0"/>
        <v>0</v>
      </c>
      <c r="K12" s="629">
        <f t="shared" si="0"/>
        <v>0</v>
      </c>
      <c r="L12" s="629">
        <f t="shared" si="0"/>
        <v>0</v>
      </c>
      <c r="M12" s="626">
        <f>L12-K12</f>
        <v>0</v>
      </c>
      <c r="N12" s="627">
        <f t="shared" si="0"/>
        <v>0</v>
      </c>
      <c r="O12" s="629">
        <f t="shared" si="0"/>
        <v>843</v>
      </c>
      <c r="P12" s="629">
        <f t="shared" si="0"/>
        <v>843</v>
      </c>
      <c r="Q12" s="626">
        <f>P12-O12</f>
        <v>0</v>
      </c>
      <c r="R12" s="847" t="s">
        <v>836</v>
      </c>
      <c r="S12" s="627">
        <f>S13</f>
        <v>0</v>
      </c>
      <c r="T12" s="629">
        <f>T13</f>
        <v>0</v>
      </c>
      <c r="U12" s="629">
        <f>U13</f>
        <v>0</v>
      </c>
      <c r="V12" s="626">
        <f>U12-T12</f>
        <v>0</v>
      </c>
      <c r="W12" s="627">
        <f>W13</f>
        <v>0</v>
      </c>
      <c r="X12" s="629">
        <f>X13</f>
        <v>0</v>
      </c>
      <c r="Y12" s="629">
        <f>Y13</f>
        <v>0</v>
      </c>
      <c r="Z12" s="626">
        <f>Y12-X12</f>
        <v>0</v>
      </c>
      <c r="AA12" s="627">
        <f>AA13</f>
        <v>0</v>
      </c>
      <c r="AB12" s="629">
        <f>AB13</f>
        <v>944</v>
      </c>
      <c r="AC12" s="629">
        <f>AC13</f>
        <v>944</v>
      </c>
      <c r="AD12" s="626">
        <f>AC12-AB12</f>
        <v>0</v>
      </c>
      <c r="AE12" s="627">
        <f>AE13</f>
        <v>800</v>
      </c>
      <c r="AF12" s="629">
        <f>AF13</f>
        <v>2313</v>
      </c>
      <c r="AG12" s="629">
        <f>AG13</f>
        <v>2313</v>
      </c>
      <c r="AH12" s="626">
        <f>AG12-AF12</f>
        <v>0</v>
      </c>
      <c r="AI12" s="860" t="s">
        <v>836</v>
      </c>
      <c r="AJ12" s="627">
        <f t="shared" ref="AJ12:AT12" si="1">AJ13</f>
        <v>90000</v>
      </c>
      <c r="AK12" s="629">
        <f t="shared" si="1"/>
        <v>94693</v>
      </c>
      <c r="AL12" s="629">
        <f t="shared" si="1"/>
        <v>94693</v>
      </c>
      <c r="AM12" s="626">
        <f>AL12-AK12</f>
        <v>0</v>
      </c>
      <c r="AN12" s="627">
        <f t="shared" si="1"/>
        <v>0</v>
      </c>
      <c r="AO12" s="629">
        <f t="shared" si="1"/>
        <v>151</v>
      </c>
      <c r="AP12" s="629">
        <f t="shared" si="1"/>
        <v>151</v>
      </c>
      <c r="AQ12" s="626">
        <f>AP12-AO12</f>
        <v>0</v>
      </c>
      <c r="AR12" s="627">
        <f t="shared" si="1"/>
        <v>90800</v>
      </c>
      <c r="AS12" s="629">
        <f t="shared" si="1"/>
        <v>98101</v>
      </c>
      <c r="AT12" s="629">
        <f t="shared" si="1"/>
        <v>98101</v>
      </c>
      <c r="AU12" s="626">
        <f>AT12-AS12</f>
        <v>0</v>
      </c>
      <c r="AV12" s="873">
        <f>AV13+AV16</f>
        <v>0</v>
      </c>
      <c r="AW12" s="627">
        <f>AW13+AW16</f>
        <v>16525</v>
      </c>
      <c r="AX12" s="629">
        <f>AX13+AX16</f>
        <v>22707</v>
      </c>
      <c r="AY12" s="629">
        <f>AY13+AY16</f>
        <v>22732</v>
      </c>
      <c r="AZ12" s="626">
        <f>AY12-AX12</f>
        <v>25</v>
      </c>
    </row>
    <row r="13" spans="1:52" s="117" customFormat="1" ht="26.4" x14ac:dyDescent="0.25">
      <c r="A13" s="848" t="s">
        <v>729</v>
      </c>
      <c r="B13" s="622"/>
      <c r="C13" s="557">
        <v>101</v>
      </c>
      <c r="D13" s="781">
        <v>101</v>
      </c>
      <c r="E13" s="628">
        <f>D13-C13</f>
        <v>0</v>
      </c>
      <c r="F13" s="622"/>
      <c r="G13" s="557">
        <v>0</v>
      </c>
      <c r="H13" s="557">
        <v>0</v>
      </c>
      <c r="I13" s="552">
        <f>H13-G13</f>
        <v>0</v>
      </c>
      <c r="J13" s="622"/>
      <c r="K13" s="557"/>
      <c r="L13" s="557"/>
      <c r="M13" s="552">
        <f>L13-K13</f>
        <v>0</v>
      </c>
      <c r="N13" s="622"/>
      <c r="O13" s="557">
        <v>843</v>
      </c>
      <c r="P13" s="557">
        <v>843</v>
      </c>
      <c r="Q13" s="552">
        <f>P13-O13</f>
        <v>0</v>
      </c>
      <c r="R13" s="848" t="s">
        <v>729</v>
      </c>
      <c r="S13" s="622"/>
      <c r="T13" s="557">
        <v>0</v>
      </c>
      <c r="U13" s="557">
        <v>0</v>
      </c>
      <c r="V13" s="552">
        <f>U13-T13</f>
        <v>0</v>
      </c>
      <c r="W13" s="622"/>
      <c r="X13" s="557">
        <v>0</v>
      </c>
      <c r="Y13" s="557">
        <v>0</v>
      </c>
      <c r="Z13" s="552">
        <f>Y13-X13</f>
        <v>0</v>
      </c>
      <c r="AA13" s="622">
        <f>B13+F13+J13+N13+S13+W13</f>
        <v>0</v>
      </c>
      <c r="AB13" s="549">
        <f>C13+G13+K13+O13+T13+X13</f>
        <v>944</v>
      </c>
      <c r="AC13" s="549">
        <f>D13+H13+L13+P13+U13+Y13</f>
        <v>944</v>
      </c>
      <c r="AD13" s="628">
        <f>AC13-AB13</f>
        <v>0</v>
      </c>
      <c r="AE13" s="622">
        <v>800</v>
      </c>
      <c r="AF13" s="781">
        <v>2313</v>
      </c>
      <c r="AG13" s="781">
        <v>2313</v>
      </c>
      <c r="AH13" s="628">
        <f>AG13-AF13</f>
        <v>0</v>
      </c>
      <c r="AI13" s="861" t="s">
        <v>729</v>
      </c>
      <c r="AJ13" s="622">
        <v>90000</v>
      </c>
      <c r="AK13" s="557">
        <v>94693</v>
      </c>
      <c r="AL13" s="557">
        <v>94693</v>
      </c>
      <c r="AM13" s="552">
        <f>AL13-AK13</f>
        <v>0</v>
      </c>
      <c r="AN13" s="622"/>
      <c r="AO13" s="785">
        <v>151</v>
      </c>
      <c r="AP13" s="785">
        <v>151</v>
      </c>
      <c r="AQ13" s="552">
        <f>AP13-AO13</f>
        <v>0</v>
      </c>
      <c r="AR13" s="622">
        <f t="shared" ref="AR13:AT20" si="2">+AA13+AE13+AJ13+AN13</f>
        <v>90800</v>
      </c>
      <c r="AS13" s="549">
        <f t="shared" si="2"/>
        <v>98101</v>
      </c>
      <c r="AT13" s="549">
        <f t="shared" si="2"/>
        <v>98101</v>
      </c>
      <c r="AU13" s="552">
        <f>AT13-AS13</f>
        <v>0</v>
      </c>
      <c r="AV13" s="874"/>
      <c r="AW13" s="622">
        <v>16525</v>
      </c>
      <c r="AX13" s="791">
        <v>22707</v>
      </c>
      <c r="AY13" s="791">
        <v>22732</v>
      </c>
      <c r="AZ13" s="552">
        <f>AY13-AX13</f>
        <v>25</v>
      </c>
    </row>
    <row r="14" spans="1:52" s="117" customFormat="1" ht="22.5" customHeight="1" x14ac:dyDescent="0.25">
      <c r="A14" s="848" t="s">
        <v>730</v>
      </c>
      <c r="B14" s="622"/>
      <c r="C14" s="557"/>
      <c r="D14" s="781"/>
      <c r="E14" s="628">
        <f t="shared" ref="E14:E62" si="3">D14-C14</f>
        <v>0</v>
      </c>
      <c r="F14" s="622"/>
      <c r="G14" s="557"/>
      <c r="H14" s="557"/>
      <c r="I14" s="552">
        <f t="shared" ref="I14:I62" si="4">H14-G14</f>
        <v>0</v>
      </c>
      <c r="J14" s="622"/>
      <c r="K14" s="557"/>
      <c r="L14" s="557"/>
      <c r="M14" s="552">
        <f t="shared" ref="M14:M62" si="5">L14-K14</f>
        <v>0</v>
      </c>
      <c r="N14" s="622"/>
      <c r="O14" s="557"/>
      <c r="P14" s="557"/>
      <c r="Q14" s="552">
        <f t="shared" ref="Q14:Q62" si="6">P14-O14</f>
        <v>0</v>
      </c>
      <c r="R14" s="848" t="s">
        <v>730</v>
      </c>
      <c r="S14" s="622"/>
      <c r="T14" s="557"/>
      <c r="U14" s="557"/>
      <c r="V14" s="552">
        <f t="shared" ref="V14:V62" si="7">U14-T14</f>
        <v>0</v>
      </c>
      <c r="W14" s="622"/>
      <c r="X14" s="557"/>
      <c r="Y14" s="557"/>
      <c r="Z14" s="552">
        <f t="shared" ref="Z14:Z62" si="8">Y14-X14</f>
        <v>0</v>
      </c>
      <c r="AA14" s="622">
        <f>B14+F14+J14+N14+S14+W14</f>
        <v>0</v>
      </c>
      <c r="AB14" s="781"/>
      <c r="AC14" s="781"/>
      <c r="AD14" s="628">
        <f t="shared" ref="AD14:AD62" si="9">AC14-AB14</f>
        <v>0</v>
      </c>
      <c r="AE14" s="622"/>
      <c r="AF14" s="781"/>
      <c r="AG14" s="781"/>
      <c r="AH14" s="628">
        <f t="shared" ref="AH14:AH62" si="10">AG14-AF14</f>
        <v>0</v>
      </c>
      <c r="AI14" s="861" t="s">
        <v>730</v>
      </c>
      <c r="AJ14" s="622">
        <v>90000</v>
      </c>
      <c r="AK14" s="557">
        <v>93801</v>
      </c>
      <c r="AL14" s="557">
        <v>93801</v>
      </c>
      <c r="AM14" s="552">
        <f t="shared" ref="AM14:AM62" si="11">AL14-AK14</f>
        <v>0</v>
      </c>
      <c r="AN14" s="622"/>
      <c r="AO14" s="785"/>
      <c r="AP14" s="785"/>
      <c r="AQ14" s="552">
        <f t="shared" ref="AQ14:AQ62" si="12">AP14-AO14</f>
        <v>0</v>
      </c>
      <c r="AR14" s="622">
        <f t="shared" si="2"/>
        <v>90000</v>
      </c>
      <c r="AS14" s="549">
        <f t="shared" si="2"/>
        <v>93801</v>
      </c>
      <c r="AT14" s="549">
        <f t="shared" si="2"/>
        <v>93801</v>
      </c>
      <c r="AU14" s="552">
        <f t="shared" ref="AU14:AU62" si="13">AT14-AS14</f>
        <v>0</v>
      </c>
      <c r="AV14" s="874"/>
      <c r="AW14" s="622"/>
      <c r="AX14" s="791"/>
      <c r="AY14" s="791"/>
      <c r="AZ14" s="552">
        <f t="shared" ref="AZ14:AZ62" si="14">AY14-AX14</f>
        <v>0</v>
      </c>
    </row>
    <row r="15" spans="1:52" s="118" customFormat="1" ht="23.25" customHeight="1" x14ac:dyDescent="0.25">
      <c r="A15" s="849" t="s">
        <v>683</v>
      </c>
      <c r="B15" s="621">
        <f t="shared" ref="B15:P15" si="15">B16</f>
        <v>0</v>
      </c>
      <c r="C15" s="458">
        <f t="shared" si="15"/>
        <v>0</v>
      </c>
      <c r="D15" s="458">
        <f t="shared" si="15"/>
        <v>0</v>
      </c>
      <c r="E15" s="625">
        <f t="shared" si="3"/>
        <v>0</v>
      </c>
      <c r="F15" s="621">
        <f t="shared" si="15"/>
        <v>0</v>
      </c>
      <c r="G15" s="458">
        <f t="shared" si="15"/>
        <v>0</v>
      </c>
      <c r="H15" s="458">
        <f t="shared" si="15"/>
        <v>0</v>
      </c>
      <c r="I15" s="551">
        <f t="shared" si="4"/>
        <v>0</v>
      </c>
      <c r="J15" s="621">
        <f t="shared" si="15"/>
        <v>0</v>
      </c>
      <c r="K15" s="458">
        <f t="shared" si="15"/>
        <v>0</v>
      </c>
      <c r="L15" s="458">
        <f t="shared" si="15"/>
        <v>0</v>
      </c>
      <c r="M15" s="551">
        <f t="shared" si="5"/>
        <v>0</v>
      </c>
      <c r="N15" s="621">
        <f t="shared" si="15"/>
        <v>0</v>
      </c>
      <c r="O15" s="458">
        <f t="shared" si="15"/>
        <v>0</v>
      </c>
      <c r="P15" s="458">
        <f t="shared" si="15"/>
        <v>0</v>
      </c>
      <c r="Q15" s="551">
        <f t="shared" si="6"/>
        <v>0</v>
      </c>
      <c r="R15" s="849" t="s">
        <v>683</v>
      </c>
      <c r="S15" s="621">
        <f t="shared" ref="S15:AF15" si="16">S16</f>
        <v>0</v>
      </c>
      <c r="T15" s="458">
        <f t="shared" si="16"/>
        <v>0</v>
      </c>
      <c r="U15" s="458">
        <f t="shared" si="16"/>
        <v>0</v>
      </c>
      <c r="V15" s="551">
        <f t="shared" si="7"/>
        <v>0</v>
      </c>
      <c r="W15" s="621">
        <f t="shared" si="16"/>
        <v>0</v>
      </c>
      <c r="X15" s="458">
        <f t="shared" si="16"/>
        <v>0</v>
      </c>
      <c r="Y15" s="556"/>
      <c r="Z15" s="551">
        <f t="shared" si="8"/>
        <v>0</v>
      </c>
      <c r="AA15" s="621">
        <f t="shared" si="16"/>
        <v>0</v>
      </c>
      <c r="AB15" s="775"/>
      <c r="AC15" s="775"/>
      <c r="AD15" s="625">
        <f t="shared" si="9"/>
        <v>0</v>
      </c>
      <c r="AE15" s="621">
        <f t="shared" si="16"/>
        <v>0</v>
      </c>
      <c r="AF15" s="458">
        <f t="shared" si="16"/>
        <v>0</v>
      </c>
      <c r="AG15" s="775"/>
      <c r="AH15" s="625">
        <f t="shared" si="10"/>
        <v>0</v>
      </c>
      <c r="AI15" s="862" t="s">
        <v>683</v>
      </c>
      <c r="AJ15" s="621">
        <f>AJ16</f>
        <v>0</v>
      </c>
      <c r="AK15" s="458">
        <f>AK16</f>
        <v>246</v>
      </c>
      <c r="AL15" s="458">
        <f>AL16</f>
        <v>246</v>
      </c>
      <c r="AM15" s="551">
        <f t="shared" si="11"/>
        <v>0</v>
      </c>
      <c r="AN15" s="621">
        <f>AN16</f>
        <v>0</v>
      </c>
      <c r="AO15" s="458">
        <f>AO16</f>
        <v>0</v>
      </c>
      <c r="AP15" s="556"/>
      <c r="AQ15" s="551">
        <f t="shared" si="12"/>
        <v>0</v>
      </c>
      <c r="AR15" s="621">
        <f t="shared" si="2"/>
        <v>0</v>
      </c>
      <c r="AS15" s="458">
        <f t="shared" si="2"/>
        <v>246</v>
      </c>
      <c r="AT15" s="458">
        <f t="shared" si="2"/>
        <v>246</v>
      </c>
      <c r="AU15" s="551">
        <f t="shared" si="13"/>
        <v>0</v>
      </c>
      <c r="AV15" s="779">
        <f>AV16</f>
        <v>0</v>
      </c>
      <c r="AW15" s="621">
        <f>AW16</f>
        <v>0</v>
      </c>
      <c r="AX15" s="458">
        <f>AX16</f>
        <v>0</v>
      </c>
      <c r="AY15" s="556"/>
      <c r="AZ15" s="551">
        <f t="shared" si="14"/>
        <v>0</v>
      </c>
    </row>
    <row r="16" spans="1:52" s="117" customFormat="1" ht="26.4" x14ac:dyDescent="0.25">
      <c r="A16" s="848" t="s">
        <v>735</v>
      </c>
      <c r="B16" s="622"/>
      <c r="C16" s="557"/>
      <c r="D16" s="781"/>
      <c r="E16" s="628">
        <f t="shared" si="3"/>
        <v>0</v>
      </c>
      <c r="F16" s="622"/>
      <c r="G16" s="557"/>
      <c r="H16" s="557"/>
      <c r="I16" s="552">
        <f t="shared" si="4"/>
        <v>0</v>
      </c>
      <c r="J16" s="622"/>
      <c r="K16" s="557"/>
      <c r="L16" s="557"/>
      <c r="M16" s="552">
        <f t="shared" si="5"/>
        <v>0</v>
      </c>
      <c r="N16" s="622"/>
      <c r="O16" s="557"/>
      <c r="P16" s="557"/>
      <c r="Q16" s="552">
        <f t="shared" si="6"/>
        <v>0</v>
      </c>
      <c r="R16" s="848" t="s">
        <v>735</v>
      </c>
      <c r="S16" s="622"/>
      <c r="T16" s="557"/>
      <c r="U16" s="557"/>
      <c r="V16" s="552">
        <f t="shared" si="7"/>
        <v>0</v>
      </c>
      <c r="W16" s="622"/>
      <c r="X16" s="557"/>
      <c r="Y16" s="557"/>
      <c r="Z16" s="552">
        <f t="shared" si="8"/>
        <v>0</v>
      </c>
      <c r="AA16" s="622">
        <f>B16+F16+J16+N16+S16+W16</f>
        <v>0</v>
      </c>
      <c r="AB16" s="781"/>
      <c r="AC16" s="781"/>
      <c r="AD16" s="628">
        <f t="shared" si="9"/>
        <v>0</v>
      </c>
      <c r="AE16" s="622"/>
      <c r="AF16" s="781"/>
      <c r="AG16" s="781"/>
      <c r="AH16" s="628">
        <f t="shared" si="10"/>
        <v>0</v>
      </c>
      <c r="AI16" s="861" t="s">
        <v>735</v>
      </c>
      <c r="AJ16" s="622"/>
      <c r="AK16" s="557">
        <v>246</v>
      </c>
      <c r="AL16" s="557">
        <v>246</v>
      </c>
      <c r="AM16" s="552">
        <f t="shared" si="11"/>
        <v>0</v>
      </c>
      <c r="AN16" s="622"/>
      <c r="AO16" s="785"/>
      <c r="AP16" s="785"/>
      <c r="AQ16" s="552">
        <f t="shared" si="12"/>
        <v>0</v>
      </c>
      <c r="AR16" s="622">
        <f t="shared" si="2"/>
        <v>0</v>
      </c>
      <c r="AS16" s="549">
        <f t="shared" si="2"/>
        <v>246</v>
      </c>
      <c r="AT16" s="549">
        <f t="shared" si="2"/>
        <v>246</v>
      </c>
      <c r="AU16" s="552">
        <f t="shared" si="13"/>
        <v>0</v>
      </c>
      <c r="AV16" s="874"/>
      <c r="AW16" s="622"/>
      <c r="AX16" s="791"/>
      <c r="AY16" s="791"/>
      <c r="AZ16" s="552">
        <f t="shared" si="14"/>
        <v>0</v>
      </c>
    </row>
    <row r="17" spans="1:55" s="118" customFormat="1" ht="13.8" x14ac:dyDescent="0.25">
      <c r="A17" s="850" t="s">
        <v>837</v>
      </c>
      <c r="B17" s="621"/>
      <c r="C17" s="556"/>
      <c r="D17" s="775"/>
      <c r="E17" s="625">
        <f t="shared" si="3"/>
        <v>0</v>
      </c>
      <c r="F17" s="621"/>
      <c r="G17" s="556"/>
      <c r="H17" s="556"/>
      <c r="I17" s="551">
        <f t="shared" si="4"/>
        <v>0</v>
      </c>
      <c r="J17" s="621"/>
      <c r="K17" s="556"/>
      <c r="L17" s="556"/>
      <c r="M17" s="551">
        <f t="shared" si="5"/>
        <v>0</v>
      </c>
      <c r="N17" s="621"/>
      <c r="O17" s="556"/>
      <c r="P17" s="556"/>
      <c r="Q17" s="551">
        <f t="shared" si="6"/>
        <v>0</v>
      </c>
      <c r="R17" s="850" t="s">
        <v>837</v>
      </c>
      <c r="S17" s="621"/>
      <c r="T17" s="556"/>
      <c r="U17" s="556"/>
      <c r="V17" s="551">
        <f t="shared" si="7"/>
        <v>0</v>
      </c>
      <c r="W17" s="621"/>
      <c r="X17" s="556"/>
      <c r="Y17" s="556"/>
      <c r="Z17" s="551">
        <f t="shared" si="8"/>
        <v>0</v>
      </c>
      <c r="AA17" s="621"/>
      <c r="AB17" s="775"/>
      <c r="AC17" s="775"/>
      <c r="AD17" s="625">
        <f t="shared" si="9"/>
        <v>0</v>
      </c>
      <c r="AE17" s="621"/>
      <c r="AF17" s="775"/>
      <c r="AG17" s="775"/>
      <c r="AH17" s="625">
        <f t="shared" si="10"/>
        <v>0</v>
      </c>
      <c r="AI17" s="863" t="s">
        <v>837</v>
      </c>
      <c r="AJ17" s="621"/>
      <c r="AK17" s="556"/>
      <c r="AL17" s="556"/>
      <c r="AM17" s="551">
        <f t="shared" si="11"/>
        <v>0</v>
      </c>
      <c r="AN17" s="621"/>
      <c r="AO17" s="786"/>
      <c r="AP17" s="786"/>
      <c r="AQ17" s="551">
        <f t="shared" si="12"/>
        <v>0</v>
      </c>
      <c r="AR17" s="621">
        <f t="shared" si="2"/>
        <v>0</v>
      </c>
      <c r="AS17" s="458">
        <f t="shared" si="2"/>
        <v>0</v>
      </c>
      <c r="AT17" s="458">
        <f t="shared" si="2"/>
        <v>0</v>
      </c>
      <c r="AU17" s="551">
        <f t="shared" si="13"/>
        <v>0</v>
      </c>
      <c r="AV17" s="779" t="e">
        <f>AE17+AI17+AJ17+AN17+AR17</f>
        <v>#VALUE!</v>
      </c>
      <c r="AW17" s="880">
        <f>SUM(AW18:AW20)</f>
        <v>500</v>
      </c>
      <c r="AX17" s="335">
        <f>SUM(AX18:AX20)</f>
        <v>500</v>
      </c>
      <c r="AY17" s="335">
        <f>SUM(AY18:AY20)</f>
        <v>500</v>
      </c>
      <c r="AZ17" s="551">
        <f t="shared" si="14"/>
        <v>0</v>
      </c>
    </row>
    <row r="18" spans="1:55" s="117" customFormat="1" ht="13.8" x14ac:dyDescent="0.25">
      <c r="A18" s="848" t="s">
        <v>736</v>
      </c>
      <c r="B18" s="622"/>
      <c r="C18" s="557"/>
      <c r="D18" s="781"/>
      <c r="E18" s="628">
        <f t="shared" si="3"/>
        <v>0</v>
      </c>
      <c r="F18" s="622"/>
      <c r="G18" s="557"/>
      <c r="H18" s="557"/>
      <c r="I18" s="552">
        <f t="shared" si="4"/>
        <v>0</v>
      </c>
      <c r="J18" s="622"/>
      <c r="K18" s="557"/>
      <c r="L18" s="557"/>
      <c r="M18" s="552">
        <f t="shared" si="5"/>
        <v>0</v>
      </c>
      <c r="N18" s="622"/>
      <c r="O18" s="557"/>
      <c r="P18" s="557"/>
      <c r="Q18" s="552">
        <f t="shared" si="6"/>
        <v>0</v>
      </c>
      <c r="R18" s="848" t="s">
        <v>736</v>
      </c>
      <c r="S18" s="622"/>
      <c r="T18" s="557"/>
      <c r="U18" s="557"/>
      <c r="V18" s="552">
        <f t="shared" si="7"/>
        <v>0</v>
      </c>
      <c r="W18" s="622"/>
      <c r="X18" s="557"/>
      <c r="Y18" s="557"/>
      <c r="Z18" s="552">
        <f t="shared" si="8"/>
        <v>0</v>
      </c>
      <c r="AA18" s="622"/>
      <c r="AB18" s="781"/>
      <c r="AC18" s="781"/>
      <c r="AD18" s="628">
        <f t="shared" si="9"/>
        <v>0</v>
      </c>
      <c r="AE18" s="622"/>
      <c r="AF18" s="781"/>
      <c r="AG18" s="781"/>
      <c r="AH18" s="628">
        <f t="shared" si="10"/>
        <v>0</v>
      </c>
      <c r="AI18" s="861" t="s">
        <v>736</v>
      </c>
      <c r="AJ18" s="622"/>
      <c r="AK18" s="557"/>
      <c r="AL18" s="557"/>
      <c r="AM18" s="552">
        <f t="shared" si="11"/>
        <v>0</v>
      </c>
      <c r="AN18" s="622"/>
      <c r="AO18" s="785"/>
      <c r="AP18" s="785"/>
      <c r="AQ18" s="552">
        <f t="shared" si="12"/>
        <v>0</v>
      </c>
      <c r="AR18" s="622">
        <f t="shared" si="2"/>
        <v>0</v>
      </c>
      <c r="AS18" s="549">
        <f t="shared" si="2"/>
        <v>0</v>
      </c>
      <c r="AT18" s="549">
        <f t="shared" si="2"/>
        <v>0</v>
      </c>
      <c r="AU18" s="552">
        <f t="shared" si="13"/>
        <v>0</v>
      </c>
      <c r="AV18" s="875" t="e">
        <f>#REF!+#REF!+#REF!+#REF!+#REF!+B18+F18+#REF!+S18+#REF!+AE18+#REF!+AJ18+AN18+AR18</f>
        <v>#REF!</v>
      </c>
      <c r="AW18" s="622"/>
      <c r="AX18" s="791"/>
      <c r="AY18" s="791"/>
      <c r="AZ18" s="552">
        <f t="shared" si="14"/>
        <v>0</v>
      </c>
    </row>
    <row r="19" spans="1:55" s="117" customFormat="1" ht="13.8" x14ac:dyDescent="0.25">
      <c r="A19" s="848" t="s">
        <v>739</v>
      </c>
      <c r="B19" s="622"/>
      <c r="C19" s="557"/>
      <c r="D19" s="781"/>
      <c r="E19" s="628">
        <f t="shared" si="3"/>
        <v>0</v>
      </c>
      <c r="F19" s="622"/>
      <c r="G19" s="557"/>
      <c r="H19" s="557"/>
      <c r="I19" s="552">
        <f t="shared" si="4"/>
        <v>0</v>
      </c>
      <c r="J19" s="622"/>
      <c r="K19" s="557"/>
      <c r="L19" s="557"/>
      <c r="M19" s="552">
        <f t="shared" si="5"/>
        <v>0</v>
      </c>
      <c r="N19" s="622"/>
      <c r="O19" s="557"/>
      <c r="P19" s="557"/>
      <c r="Q19" s="552">
        <f t="shared" si="6"/>
        <v>0</v>
      </c>
      <c r="R19" s="848" t="s">
        <v>739</v>
      </c>
      <c r="S19" s="622"/>
      <c r="T19" s="557"/>
      <c r="U19" s="557"/>
      <c r="V19" s="552">
        <f t="shared" si="7"/>
        <v>0</v>
      </c>
      <c r="W19" s="622"/>
      <c r="X19" s="557"/>
      <c r="Y19" s="557"/>
      <c r="Z19" s="552">
        <f t="shared" si="8"/>
        <v>0</v>
      </c>
      <c r="AA19" s="622"/>
      <c r="AB19" s="781"/>
      <c r="AC19" s="781"/>
      <c r="AD19" s="628">
        <f t="shared" si="9"/>
        <v>0</v>
      </c>
      <c r="AE19" s="622"/>
      <c r="AF19" s="781"/>
      <c r="AG19" s="781"/>
      <c r="AH19" s="628">
        <f t="shared" si="10"/>
        <v>0</v>
      </c>
      <c r="AI19" s="861" t="s">
        <v>739</v>
      </c>
      <c r="AJ19" s="622"/>
      <c r="AK19" s="557"/>
      <c r="AL19" s="557"/>
      <c r="AM19" s="552">
        <f t="shared" si="11"/>
        <v>0</v>
      </c>
      <c r="AN19" s="622"/>
      <c r="AO19" s="785"/>
      <c r="AP19" s="785"/>
      <c r="AQ19" s="552">
        <f t="shared" si="12"/>
        <v>0</v>
      </c>
      <c r="AR19" s="622">
        <f t="shared" si="2"/>
        <v>0</v>
      </c>
      <c r="AS19" s="549">
        <f t="shared" si="2"/>
        <v>0</v>
      </c>
      <c r="AT19" s="549">
        <f t="shared" si="2"/>
        <v>0</v>
      </c>
      <c r="AU19" s="552">
        <f t="shared" si="13"/>
        <v>0</v>
      </c>
      <c r="AV19" s="874"/>
      <c r="AW19" s="622"/>
      <c r="AX19" s="791"/>
      <c r="AY19" s="791"/>
      <c r="AZ19" s="552">
        <f t="shared" si="14"/>
        <v>0</v>
      </c>
    </row>
    <row r="20" spans="1:55" s="117" customFormat="1" ht="15" customHeight="1" x14ac:dyDescent="0.25">
      <c r="A20" s="848" t="s">
        <v>746</v>
      </c>
      <c r="B20" s="622"/>
      <c r="C20" s="557"/>
      <c r="D20" s="781"/>
      <c r="E20" s="628">
        <f t="shared" si="3"/>
        <v>0</v>
      </c>
      <c r="F20" s="622"/>
      <c r="G20" s="557"/>
      <c r="H20" s="557"/>
      <c r="I20" s="552">
        <f t="shared" si="4"/>
        <v>0</v>
      </c>
      <c r="J20" s="622"/>
      <c r="K20" s="557"/>
      <c r="L20" s="557"/>
      <c r="M20" s="552">
        <f t="shared" si="5"/>
        <v>0</v>
      </c>
      <c r="N20" s="622"/>
      <c r="O20" s="557"/>
      <c r="P20" s="557"/>
      <c r="Q20" s="552">
        <f t="shared" si="6"/>
        <v>0</v>
      </c>
      <c r="R20" s="848" t="s">
        <v>746</v>
      </c>
      <c r="S20" s="622"/>
      <c r="T20" s="557"/>
      <c r="U20" s="557"/>
      <c r="V20" s="552">
        <f t="shared" si="7"/>
        <v>0</v>
      </c>
      <c r="W20" s="622"/>
      <c r="X20" s="557"/>
      <c r="Y20" s="557"/>
      <c r="Z20" s="552">
        <f t="shared" si="8"/>
        <v>0</v>
      </c>
      <c r="AA20" s="622"/>
      <c r="AB20" s="781"/>
      <c r="AC20" s="781"/>
      <c r="AD20" s="628">
        <f t="shared" si="9"/>
        <v>0</v>
      </c>
      <c r="AE20" s="622"/>
      <c r="AF20" s="781"/>
      <c r="AG20" s="781"/>
      <c r="AH20" s="628">
        <f t="shared" si="10"/>
        <v>0</v>
      </c>
      <c r="AI20" s="861" t="s">
        <v>746</v>
      </c>
      <c r="AJ20" s="622"/>
      <c r="AK20" s="557"/>
      <c r="AL20" s="557"/>
      <c r="AM20" s="552">
        <f t="shared" si="11"/>
        <v>0</v>
      </c>
      <c r="AN20" s="622"/>
      <c r="AO20" s="785"/>
      <c r="AP20" s="785"/>
      <c r="AQ20" s="552">
        <f t="shared" si="12"/>
        <v>0</v>
      </c>
      <c r="AR20" s="622">
        <f t="shared" si="2"/>
        <v>0</v>
      </c>
      <c r="AS20" s="549">
        <f t="shared" si="2"/>
        <v>0</v>
      </c>
      <c r="AT20" s="549">
        <f t="shared" si="2"/>
        <v>0</v>
      </c>
      <c r="AU20" s="552">
        <f t="shared" si="13"/>
        <v>0</v>
      </c>
      <c r="AV20" s="874"/>
      <c r="AW20" s="622">
        <v>500</v>
      </c>
      <c r="AX20" s="791">
        <v>500</v>
      </c>
      <c r="AY20" s="791">
        <v>500</v>
      </c>
      <c r="AZ20" s="552">
        <f t="shared" si="14"/>
        <v>0</v>
      </c>
    </row>
    <row r="21" spans="1:55" s="124" customFormat="1" ht="13.8" x14ac:dyDescent="0.25">
      <c r="A21" s="850" t="s">
        <v>685</v>
      </c>
      <c r="B21" s="621">
        <f>B22+B23+B25+B26+B27+B28+B29+B30+B33</f>
        <v>24855</v>
      </c>
      <c r="C21" s="458">
        <f>C22+C23+C25+C26+C27+C28+C29+C30+C33</f>
        <v>25554</v>
      </c>
      <c r="D21" s="458">
        <f>D22+D23+D25+D26+D27+D28+D29+D30+D33</f>
        <v>25554</v>
      </c>
      <c r="E21" s="625">
        <f t="shared" si="3"/>
        <v>0</v>
      </c>
      <c r="F21" s="621">
        <f>F22+F23+F25+F26+F27+F28+F29+F30+F33</f>
        <v>23321</v>
      </c>
      <c r="G21" s="458">
        <f>G22+G23+G25+G26+G27+G28+G29+G30+G33</f>
        <v>23632</v>
      </c>
      <c r="H21" s="458">
        <f>H22+H23+H25+H26+H27+H28+H29+H30+H33</f>
        <v>24493</v>
      </c>
      <c r="I21" s="551">
        <f t="shared" si="4"/>
        <v>861</v>
      </c>
      <c r="J21" s="621">
        <f>J22+J23+J25+J26+J27+J28+J29+J30+J33</f>
        <v>1174</v>
      </c>
      <c r="K21" s="458">
        <f>K22+K23+K25+K26+K27+K28+K29+K30+K33</f>
        <v>1174</v>
      </c>
      <c r="L21" s="458">
        <f>L22+L23+L25+L26+L27+L28+L29+L30+L33</f>
        <v>1618</v>
      </c>
      <c r="M21" s="551">
        <f t="shared" si="5"/>
        <v>444</v>
      </c>
      <c r="N21" s="621">
        <f>N22+N23+N25+N26+N27+N28+N29+N30+N33</f>
        <v>12008</v>
      </c>
      <c r="O21" s="458">
        <f>O22+O23+O25+O26+O27+O28+O29+O30+O33</f>
        <v>12008</v>
      </c>
      <c r="P21" s="458">
        <f>P22+P23+P25+P26+P27+P28+P29+P30+P33</f>
        <v>12008</v>
      </c>
      <c r="Q21" s="551">
        <f t="shared" si="6"/>
        <v>0</v>
      </c>
      <c r="R21" s="850" t="s">
        <v>747</v>
      </c>
      <c r="S21" s="621">
        <f>S22+S23+S25+S26+S27+S28+S29+S30+S33</f>
        <v>1102</v>
      </c>
      <c r="T21" s="458">
        <f>T22+T23+T25+T26+T27+T28+T29+T30+T33</f>
        <v>1102</v>
      </c>
      <c r="U21" s="458">
        <f>U22+U23+U25+U26+U27+U28+U29+U30+U33</f>
        <v>1705</v>
      </c>
      <c r="V21" s="551">
        <f t="shared" si="7"/>
        <v>603</v>
      </c>
      <c r="W21" s="621">
        <f>W22+W23+W25+W26+W27+W28+W29+W30+W33</f>
        <v>0</v>
      </c>
      <c r="X21" s="458">
        <f>X22+X23+X25+X26+X27+X28+X29+X30+X33</f>
        <v>0</v>
      </c>
      <c r="Y21" s="458">
        <f>Y22+Y23+Y25+Y26+Y27+Y28+Y29+Y30+Y33</f>
        <v>23</v>
      </c>
      <c r="Z21" s="551">
        <f t="shared" si="8"/>
        <v>23</v>
      </c>
      <c r="AA21" s="621">
        <f>AA22+AA23+AA25+AA26+AA27+AA28+AA29+AA30+AA33</f>
        <v>62460</v>
      </c>
      <c r="AB21" s="458">
        <f>AB22+AB23+AB25+AB26+AB27+AB28+AB29+AB30+AB33</f>
        <v>63470</v>
      </c>
      <c r="AC21" s="458">
        <f>AC22+AC23+AC25+AC26+AC27+AC28+AC29+AC30+AC33</f>
        <v>65401</v>
      </c>
      <c r="AD21" s="625">
        <f t="shared" si="9"/>
        <v>1931</v>
      </c>
      <c r="AE21" s="621">
        <f>AE22+AE23+AE25+AE26+AE27+AE28+AE29+AE30+AE33</f>
        <v>2790</v>
      </c>
      <c r="AF21" s="458">
        <f>AF22+AF23+AF25+AF26+AF27+AF28+AF29+AF30+AF33</f>
        <v>2790</v>
      </c>
      <c r="AG21" s="458">
        <f>AG22+AG23+AG25+AG26+AG27+AG28+AG29+AG30+AG33</f>
        <v>2790</v>
      </c>
      <c r="AH21" s="625">
        <f t="shared" si="10"/>
        <v>0</v>
      </c>
      <c r="AI21" s="863" t="s">
        <v>685</v>
      </c>
      <c r="AJ21" s="621">
        <f>AJ22+AJ23+AJ25+AJ26+AJ27+AJ28+AJ29+AJ30+AJ33</f>
        <v>33260</v>
      </c>
      <c r="AK21" s="458">
        <f>AK22+AK23+AK25+AK26+AK27+AK28+AK29+AK30+AK33</f>
        <v>33260</v>
      </c>
      <c r="AL21" s="458">
        <f>AL22+AL23+AL25+AL26+AL27+AL28+AL29+AL30+AL33</f>
        <v>33260</v>
      </c>
      <c r="AM21" s="551">
        <f t="shared" si="11"/>
        <v>0</v>
      </c>
      <c r="AN21" s="621">
        <f>AN22+AN23+AN25+AN26+AN27+AN28+AN29+AN30+AN33</f>
        <v>1192</v>
      </c>
      <c r="AO21" s="458">
        <f>AO22+AO23+AO25+AO26+AO27+AO28+AO29+AO30+AO33</f>
        <v>1432</v>
      </c>
      <c r="AP21" s="458">
        <f>AP22+AP23+AP25+AP26+AP27+AP28+AP29+AP30+AP33</f>
        <v>1432</v>
      </c>
      <c r="AQ21" s="551">
        <f t="shared" si="12"/>
        <v>0</v>
      </c>
      <c r="AR21" s="621">
        <f>AR22+AR23+AR25+AR26+AR27+AR28+AR29+AR30+AR33</f>
        <v>99702</v>
      </c>
      <c r="AS21" s="458">
        <f>AS22+AS23+AS25+AS26+AS27+AS28+AS29+AS30+AS33</f>
        <v>100952</v>
      </c>
      <c r="AT21" s="458">
        <f>AT22+AT23+AT25+AT26+AT27+AT28+AT29+AT30+AT33</f>
        <v>102883</v>
      </c>
      <c r="AU21" s="551">
        <f t="shared" si="13"/>
        <v>1931</v>
      </c>
      <c r="AV21" s="779" t="e">
        <f>AV22+AV23+AV25+AV26+AV27+AV28+AV29+AV30+AV33</f>
        <v>#VALUE!</v>
      </c>
      <c r="AW21" s="881">
        <f>AW22+AW23+AW25+AW26+AW27+AW28+AW29+AW30+AW33</f>
        <v>19151</v>
      </c>
      <c r="AX21" s="554">
        <f>AX22+AX23+AX25+AX26+AX27+AX28+AX29+AX30+AX33</f>
        <v>19151</v>
      </c>
      <c r="AY21" s="554">
        <f>AY22+AY23+AY25+AY26+AY27+AY28+AY29+AY30+AY33</f>
        <v>19151</v>
      </c>
      <c r="AZ21" s="551">
        <f t="shared" si="14"/>
        <v>0</v>
      </c>
      <c r="BA21" s="123">
        <f>AR23+AR25+AR27+AR286+AR28+AR33+AR29</f>
        <v>99702</v>
      </c>
      <c r="BB21" s="123" t="e">
        <f>#REF!+#REF!+#REF!+#REF!+#REF!+#REF!+#REF!</f>
        <v>#REF!</v>
      </c>
      <c r="BC21" s="123"/>
    </row>
    <row r="22" spans="1:55" s="125" customFormat="1" ht="17.25" customHeight="1" x14ac:dyDescent="0.25">
      <c r="A22" s="396" t="s">
        <v>585</v>
      </c>
      <c r="B22" s="622"/>
      <c r="C22" s="557"/>
      <c r="D22" s="781"/>
      <c r="E22" s="628">
        <f t="shared" si="3"/>
        <v>0</v>
      </c>
      <c r="F22" s="622"/>
      <c r="G22" s="557"/>
      <c r="H22" s="557"/>
      <c r="I22" s="552">
        <f t="shared" si="4"/>
        <v>0</v>
      </c>
      <c r="J22" s="622"/>
      <c r="K22" s="557"/>
      <c r="L22" s="557"/>
      <c r="M22" s="552">
        <f t="shared" si="5"/>
        <v>0</v>
      </c>
      <c r="N22" s="622"/>
      <c r="O22" s="557"/>
      <c r="P22" s="557"/>
      <c r="Q22" s="552">
        <f t="shared" si="6"/>
        <v>0</v>
      </c>
      <c r="R22" s="396" t="s">
        <v>585</v>
      </c>
      <c r="S22" s="622"/>
      <c r="T22" s="557"/>
      <c r="U22" s="557"/>
      <c r="V22" s="552">
        <f t="shared" si="7"/>
        <v>0</v>
      </c>
      <c r="W22" s="622"/>
      <c r="X22" s="557"/>
      <c r="Y22" s="557"/>
      <c r="Z22" s="552">
        <f t="shared" si="8"/>
        <v>0</v>
      </c>
      <c r="AA22" s="622">
        <f t="shared" ref="AA22:AA30" si="17">B22+F22+J22+N22+S22+W22</f>
        <v>0</v>
      </c>
      <c r="AB22" s="781"/>
      <c r="AC22" s="781"/>
      <c r="AD22" s="628">
        <f t="shared" si="9"/>
        <v>0</v>
      </c>
      <c r="AE22" s="622"/>
      <c r="AF22" s="781"/>
      <c r="AG22" s="781"/>
      <c r="AH22" s="628">
        <f t="shared" si="10"/>
        <v>0</v>
      </c>
      <c r="AI22" s="864" t="s">
        <v>748</v>
      </c>
      <c r="AJ22" s="622"/>
      <c r="AK22" s="557"/>
      <c r="AL22" s="557"/>
      <c r="AM22" s="552">
        <f t="shared" si="11"/>
        <v>0</v>
      </c>
      <c r="AN22" s="622"/>
      <c r="AO22" s="785"/>
      <c r="AP22" s="785"/>
      <c r="AQ22" s="552">
        <f t="shared" si="12"/>
        <v>0</v>
      </c>
      <c r="AR22" s="622">
        <f t="shared" ref="AR22:AT28" si="18">+AA22+AE22+AJ22+AN22</f>
        <v>0</v>
      </c>
      <c r="AS22" s="549">
        <f t="shared" si="18"/>
        <v>0</v>
      </c>
      <c r="AT22" s="549">
        <f t="shared" si="18"/>
        <v>0</v>
      </c>
      <c r="AU22" s="552">
        <f t="shared" si="13"/>
        <v>0</v>
      </c>
      <c r="AV22" s="875" t="e">
        <f t="shared" ref="AV22:AV30" si="19">AE22+AI22+AJ22+AN22+AR22</f>
        <v>#VALUE!</v>
      </c>
      <c r="AW22" s="622"/>
      <c r="AX22" s="793"/>
      <c r="AY22" s="793"/>
      <c r="AZ22" s="552">
        <f t="shared" si="14"/>
        <v>0</v>
      </c>
    </row>
    <row r="23" spans="1:55" s="126" customFormat="1" ht="17.25" customHeight="1" x14ac:dyDescent="0.25">
      <c r="A23" s="396" t="s">
        <v>586</v>
      </c>
      <c r="B23" s="622">
        <v>701</v>
      </c>
      <c r="C23" s="557">
        <v>701</v>
      </c>
      <c r="D23" s="781">
        <v>701</v>
      </c>
      <c r="E23" s="628">
        <f t="shared" si="3"/>
        <v>0</v>
      </c>
      <c r="F23" s="622">
        <v>385</v>
      </c>
      <c r="G23" s="557">
        <v>385</v>
      </c>
      <c r="H23" s="557">
        <v>1063</v>
      </c>
      <c r="I23" s="552">
        <f t="shared" si="4"/>
        <v>678</v>
      </c>
      <c r="J23" s="622"/>
      <c r="K23" s="557"/>
      <c r="L23" s="557"/>
      <c r="M23" s="552">
        <f t="shared" si="5"/>
        <v>0</v>
      </c>
      <c r="N23" s="622">
        <v>4390</v>
      </c>
      <c r="O23" s="557">
        <v>4390</v>
      </c>
      <c r="P23" s="557">
        <v>4390</v>
      </c>
      <c r="Q23" s="552">
        <f t="shared" si="6"/>
        <v>0</v>
      </c>
      <c r="R23" s="396" t="s">
        <v>586</v>
      </c>
      <c r="S23" s="622">
        <v>820</v>
      </c>
      <c r="T23" s="557">
        <v>820</v>
      </c>
      <c r="U23" s="557">
        <v>1258</v>
      </c>
      <c r="V23" s="552">
        <f t="shared" si="7"/>
        <v>438</v>
      </c>
      <c r="W23" s="622"/>
      <c r="X23" s="557"/>
      <c r="Y23" s="557"/>
      <c r="Z23" s="552">
        <f t="shared" si="8"/>
        <v>0</v>
      </c>
      <c r="AA23" s="622">
        <f t="shared" si="17"/>
        <v>6296</v>
      </c>
      <c r="AB23" s="549">
        <f t="shared" ref="AB23:AC30" si="20">C23+G23+K23+O23+T23+X23</f>
        <v>6296</v>
      </c>
      <c r="AC23" s="549">
        <f t="shared" si="20"/>
        <v>7412</v>
      </c>
      <c r="AD23" s="628">
        <f t="shared" si="9"/>
        <v>1116</v>
      </c>
      <c r="AE23" s="622">
        <v>2319</v>
      </c>
      <c r="AF23" s="781">
        <v>2319</v>
      </c>
      <c r="AG23" s="781">
        <v>2319</v>
      </c>
      <c r="AH23" s="628">
        <f t="shared" si="10"/>
        <v>0</v>
      </c>
      <c r="AI23" s="864" t="s">
        <v>749</v>
      </c>
      <c r="AJ23" s="622">
        <v>33260</v>
      </c>
      <c r="AK23" s="557">
        <v>33260</v>
      </c>
      <c r="AL23" s="557">
        <v>33260</v>
      </c>
      <c r="AM23" s="552">
        <f t="shared" si="11"/>
        <v>0</v>
      </c>
      <c r="AN23" s="622"/>
      <c r="AO23" s="785"/>
      <c r="AP23" s="785"/>
      <c r="AQ23" s="552">
        <f t="shared" si="12"/>
        <v>0</v>
      </c>
      <c r="AR23" s="622">
        <f t="shared" si="18"/>
        <v>41875</v>
      </c>
      <c r="AS23" s="549">
        <f t="shared" si="18"/>
        <v>41875</v>
      </c>
      <c r="AT23" s="549">
        <f t="shared" si="18"/>
        <v>42991</v>
      </c>
      <c r="AU23" s="552">
        <f t="shared" si="13"/>
        <v>1116</v>
      </c>
      <c r="AV23" s="875" t="e">
        <f t="shared" si="19"/>
        <v>#VALUE!</v>
      </c>
      <c r="AW23" s="622">
        <v>13700</v>
      </c>
      <c r="AX23" s="794">
        <v>13700</v>
      </c>
      <c r="AY23" s="794">
        <v>13700</v>
      </c>
      <c r="AZ23" s="552">
        <f t="shared" si="14"/>
        <v>0</v>
      </c>
    </row>
    <row r="24" spans="1:55" s="126" customFormat="1" ht="18.75" customHeight="1" x14ac:dyDescent="0.25">
      <c r="A24" s="851" t="s">
        <v>121</v>
      </c>
      <c r="B24" s="622">
        <v>701</v>
      </c>
      <c r="C24" s="557">
        <v>701</v>
      </c>
      <c r="D24" s="781">
        <v>701</v>
      </c>
      <c r="E24" s="628">
        <f t="shared" si="3"/>
        <v>0</v>
      </c>
      <c r="F24" s="622">
        <v>385</v>
      </c>
      <c r="G24" s="557">
        <v>385</v>
      </c>
      <c r="H24" s="557">
        <v>1246</v>
      </c>
      <c r="I24" s="552">
        <f t="shared" si="4"/>
        <v>861</v>
      </c>
      <c r="J24" s="622"/>
      <c r="K24" s="557"/>
      <c r="L24" s="557"/>
      <c r="M24" s="552">
        <f t="shared" si="5"/>
        <v>0</v>
      </c>
      <c r="N24" s="622">
        <v>4390</v>
      </c>
      <c r="O24" s="557">
        <v>4390</v>
      </c>
      <c r="P24" s="557">
        <v>4390</v>
      </c>
      <c r="Q24" s="552">
        <f t="shared" si="6"/>
        <v>0</v>
      </c>
      <c r="R24" s="851" t="s">
        <v>121</v>
      </c>
      <c r="S24" s="622">
        <v>382</v>
      </c>
      <c r="T24" s="557">
        <v>382</v>
      </c>
      <c r="U24" s="557">
        <v>820</v>
      </c>
      <c r="V24" s="552">
        <f t="shared" si="7"/>
        <v>438</v>
      </c>
      <c r="W24" s="622"/>
      <c r="X24" s="557"/>
      <c r="Y24" s="557"/>
      <c r="Z24" s="552">
        <f t="shared" si="8"/>
        <v>0</v>
      </c>
      <c r="AA24" s="622">
        <f t="shared" si="17"/>
        <v>5858</v>
      </c>
      <c r="AB24" s="549">
        <f t="shared" si="20"/>
        <v>5858</v>
      </c>
      <c r="AC24" s="549">
        <f t="shared" si="20"/>
        <v>7157</v>
      </c>
      <c r="AD24" s="628">
        <f t="shared" si="9"/>
        <v>1299</v>
      </c>
      <c r="AE24" s="622">
        <v>50</v>
      </c>
      <c r="AF24" s="781">
        <v>50</v>
      </c>
      <c r="AG24" s="781">
        <v>50</v>
      </c>
      <c r="AH24" s="628">
        <f t="shared" si="10"/>
        <v>0</v>
      </c>
      <c r="AI24" s="864" t="s">
        <v>121</v>
      </c>
      <c r="AJ24" s="622">
        <v>6200</v>
      </c>
      <c r="AK24" s="557">
        <v>6200</v>
      </c>
      <c r="AL24" s="557">
        <v>6200</v>
      </c>
      <c r="AM24" s="552">
        <f t="shared" si="11"/>
        <v>0</v>
      </c>
      <c r="AN24" s="622"/>
      <c r="AO24" s="785"/>
      <c r="AP24" s="785"/>
      <c r="AQ24" s="552">
        <f t="shared" si="12"/>
        <v>0</v>
      </c>
      <c r="AR24" s="622">
        <f t="shared" si="18"/>
        <v>12108</v>
      </c>
      <c r="AS24" s="549">
        <f t="shared" si="18"/>
        <v>12108</v>
      </c>
      <c r="AT24" s="549">
        <f t="shared" si="18"/>
        <v>13407</v>
      </c>
      <c r="AU24" s="552">
        <f t="shared" si="13"/>
        <v>1299</v>
      </c>
      <c r="AV24" s="875" t="e">
        <f t="shared" si="19"/>
        <v>#VALUE!</v>
      </c>
      <c r="AW24" s="622">
        <v>8500</v>
      </c>
      <c r="AX24" s="794">
        <v>8500</v>
      </c>
      <c r="AY24" s="794">
        <v>8500</v>
      </c>
      <c r="AZ24" s="552">
        <f t="shared" si="14"/>
        <v>0</v>
      </c>
    </row>
    <row r="25" spans="1:55" s="126" customFormat="1" ht="17.25" customHeight="1" x14ac:dyDescent="0.25">
      <c r="A25" s="848" t="s">
        <v>750</v>
      </c>
      <c r="B25" s="622">
        <v>355</v>
      </c>
      <c r="C25" s="557">
        <v>355</v>
      </c>
      <c r="D25" s="781">
        <v>355</v>
      </c>
      <c r="E25" s="628">
        <f t="shared" si="3"/>
        <v>0</v>
      </c>
      <c r="F25" s="622">
        <v>765</v>
      </c>
      <c r="G25" s="557">
        <v>765</v>
      </c>
      <c r="H25" s="557">
        <v>765</v>
      </c>
      <c r="I25" s="552">
        <f t="shared" si="4"/>
        <v>0</v>
      </c>
      <c r="J25" s="622">
        <v>170</v>
      </c>
      <c r="K25" s="557">
        <v>170</v>
      </c>
      <c r="L25" s="557">
        <v>207</v>
      </c>
      <c r="M25" s="552">
        <f t="shared" si="5"/>
        <v>37</v>
      </c>
      <c r="N25" s="622">
        <v>427</v>
      </c>
      <c r="O25" s="557">
        <v>427</v>
      </c>
      <c r="P25" s="557">
        <v>427</v>
      </c>
      <c r="Q25" s="552">
        <f t="shared" si="6"/>
        <v>0</v>
      </c>
      <c r="R25" s="848" t="s">
        <v>750</v>
      </c>
      <c r="S25" s="622">
        <v>48</v>
      </c>
      <c r="T25" s="557">
        <v>48</v>
      </c>
      <c r="U25" s="557">
        <v>50</v>
      </c>
      <c r="V25" s="552">
        <f t="shared" si="7"/>
        <v>2</v>
      </c>
      <c r="W25" s="622"/>
      <c r="X25" s="557"/>
      <c r="Y25" s="557"/>
      <c r="Z25" s="552">
        <f t="shared" si="8"/>
        <v>0</v>
      </c>
      <c r="AA25" s="622">
        <f t="shared" si="17"/>
        <v>1765</v>
      </c>
      <c r="AB25" s="549">
        <f t="shared" si="20"/>
        <v>1765</v>
      </c>
      <c r="AC25" s="549">
        <f t="shared" si="20"/>
        <v>1804</v>
      </c>
      <c r="AD25" s="628">
        <f t="shared" si="9"/>
        <v>39</v>
      </c>
      <c r="AE25" s="622"/>
      <c r="AF25" s="781"/>
      <c r="AG25" s="781"/>
      <c r="AH25" s="628">
        <f t="shared" si="10"/>
        <v>0</v>
      </c>
      <c r="AI25" s="861" t="s">
        <v>750</v>
      </c>
      <c r="AJ25" s="622"/>
      <c r="AK25" s="557"/>
      <c r="AL25" s="557"/>
      <c r="AM25" s="552">
        <f t="shared" si="11"/>
        <v>0</v>
      </c>
      <c r="AN25" s="622"/>
      <c r="AO25" s="785"/>
      <c r="AP25" s="785"/>
      <c r="AQ25" s="552">
        <f t="shared" si="12"/>
        <v>0</v>
      </c>
      <c r="AR25" s="622">
        <f t="shared" si="18"/>
        <v>1765</v>
      </c>
      <c r="AS25" s="549">
        <f t="shared" si="18"/>
        <v>1765</v>
      </c>
      <c r="AT25" s="549">
        <f t="shared" si="18"/>
        <v>1804</v>
      </c>
      <c r="AU25" s="552">
        <f t="shared" si="13"/>
        <v>39</v>
      </c>
      <c r="AV25" s="875" t="e">
        <f t="shared" si="19"/>
        <v>#VALUE!</v>
      </c>
      <c r="AW25" s="622">
        <v>1372</v>
      </c>
      <c r="AX25" s="794">
        <v>1372</v>
      </c>
      <c r="AY25" s="794">
        <v>1372</v>
      </c>
      <c r="AZ25" s="552">
        <f t="shared" si="14"/>
        <v>0</v>
      </c>
    </row>
    <row r="26" spans="1:55" s="126" customFormat="1" ht="17.25" customHeight="1" x14ac:dyDescent="0.25">
      <c r="A26" s="848" t="s">
        <v>668</v>
      </c>
      <c r="B26" s="622"/>
      <c r="C26" s="557"/>
      <c r="D26" s="781"/>
      <c r="E26" s="628">
        <f t="shared" si="3"/>
        <v>0</v>
      </c>
      <c r="F26" s="622"/>
      <c r="G26" s="557"/>
      <c r="H26" s="557"/>
      <c r="I26" s="552">
        <f t="shared" si="4"/>
        <v>0</v>
      </c>
      <c r="J26" s="622"/>
      <c r="K26" s="557"/>
      <c r="L26" s="557"/>
      <c r="M26" s="552">
        <f t="shared" si="5"/>
        <v>0</v>
      </c>
      <c r="N26" s="622"/>
      <c r="O26" s="557"/>
      <c r="P26" s="557"/>
      <c r="Q26" s="552">
        <f t="shared" si="6"/>
        <v>0</v>
      </c>
      <c r="R26" s="848" t="s">
        <v>668</v>
      </c>
      <c r="S26" s="622"/>
      <c r="T26" s="557"/>
      <c r="U26" s="557"/>
      <c r="V26" s="552">
        <f t="shared" si="7"/>
        <v>0</v>
      </c>
      <c r="W26" s="622"/>
      <c r="X26" s="557"/>
      <c r="Y26" s="557"/>
      <c r="Z26" s="552">
        <f t="shared" si="8"/>
        <v>0</v>
      </c>
      <c r="AA26" s="622">
        <f t="shared" si="17"/>
        <v>0</v>
      </c>
      <c r="AB26" s="549">
        <f t="shared" si="20"/>
        <v>0</v>
      </c>
      <c r="AC26" s="549">
        <f t="shared" si="20"/>
        <v>0</v>
      </c>
      <c r="AD26" s="628">
        <f t="shared" si="9"/>
        <v>0</v>
      </c>
      <c r="AE26" s="622"/>
      <c r="AF26" s="781"/>
      <c r="AG26" s="781"/>
      <c r="AH26" s="628">
        <f t="shared" si="10"/>
        <v>0</v>
      </c>
      <c r="AI26" s="861" t="s">
        <v>668</v>
      </c>
      <c r="AJ26" s="622"/>
      <c r="AK26" s="557"/>
      <c r="AL26" s="557"/>
      <c r="AM26" s="552">
        <f t="shared" si="11"/>
        <v>0</v>
      </c>
      <c r="AN26" s="622"/>
      <c r="AO26" s="785"/>
      <c r="AP26" s="785"/>
      <c r="AQ26" s="552">
        <f t="shared" si="12"/>
        <v>0</v>
      </c>
      <c r="AR26" s="622">
        <f t="shared" si="18"/>
        <v>0</v>
      </c>
      <c r="AS26" s="549">
        <f t="shared" si="18"/>
        <v>0</v>
      </c>
      <c r="AT26" s="549">
        <f t="shared" si="18"/>
        <v>0</v>
      </c>
      <c r="AU26" s="552">
        <f t="shared" si="13"/>
        <v>0</v>
      </c>
      <c r="AV26" s="875" t="e">
        <f t="shared" si="19"/>
        <v>#VALUE!</v>
      </c>
      <c r="AW26" s="622"/>
      <c r="AX26" s="794"/>
      <c r="AY26" s="794"/>
      <c r="AZ26" s="552">
        <f t="shared" si="14"/>
        <v>0</v>
      </c>
    </row>
    <row r="27" spans="1:55" s="126" customFormat="1" ht="13.5" customHeight="1" x14ac:dyDescent="0.25">
      <c r="A27" s="852" t="s">
        <v>753</v>
      </c>
      <c r="B27" s="622">
        <v>15089</v>
      </c>
      <c r="C27" s="557">
        <v>15788</v>
      </c>
      <c r="D27" s="781">
        <v>15788</v>
      </c>
      <c r="E27" s="628">
        <f t="shared" si="3"/>
        <v>0</v>
      </c>
      <c r="F27" s="622">
        <v>14524</v>
      </c>
      <c r="G27" s="557">
        <v>14835</v>
      </c>
      <c r="H27" s="557">
        <v>14835</v>
      </c>
      <c r="I27" s="552">
        <f t="shared" si="4"/>
        <v>0</v>
      </c>
      <c r="J27" s="622">
        <v>518</v>
      </c>
      <c r="K27" s="557">
        <v>518</v>
      </c>
      <c r="L27" s="557">
        <v>858</v>
      </c>
      <c r="M27" s="552">
        <f t="shared" si="5"/>
        <v>340</v>
      </c>
      <c r="N27" s="622">
        <v>4009</v>
      </c>
      <c r="O27" s="557">
        <v>4009</v>
      </c>
      <c r="P27" s="557">
        <v>4009</v>
      </c>
      <c r="Q27" s="552">
        <f t="shared" si="6"/>
        <v>0</v>
      </c>
      <c r="R27" s="852" t="s">
        <v>753</v>
      </c>
      <c r="S27" s="622"/>
      <c r="T27" s="557"/>
      <c r="U27" s="557">
        <v>34</v>
      </c>
      <c r="V27" s="552">
        <f t="shared" si="7"/>
        <v>34</v>
      </c>
      <c r="W27" s="622"/>
      <c r="X27" s="557"/>
      <c r="Y27" s="557"/>
      <c r="Z27" s="552">
        <f t="shared" si="8"/>
        <v>0</v>
      </c>
      <c r="AA27" s="622">
        <f t="shared" si="17"/>
        <v>34140</v>
      </c>
      <c r="AB27" s="549">
        <f t="shared" si="20"/>
        <v>35150</v>
      </c>
      <c r="AC27" s="549">
        <f t="shared" si="20"/>
        <v>35524</v>
      </c>
      <c r="AD27" s="628">
        <f t="shared" si="9"/>
        <v>374</v>
      </c>
      <c r="AE27" s="622"/>
      <c r="AF27" s="781"/>
      <c r="AG27" s="781"/>
      <c r="AH27" s="628">
        <f t="shared" si="10"/>
        <v>0</v>
      </c>
      <c r="AI27" s="865" t="s">
        <v>753</v>
      </c>
      <c r="AJ27" s="622"/>
      <c r="AK27" s="557"/>
      <c r="AL27" s="557"/>
      <c r="AM27" s="552">
        <f t="shared" si="11"/>
        <v>0</v>
      </c>
      <c r="AN27" s="622">
        <v>1192</v>
      </c>
      <c r="AO27" s="785">
        <v>1432</v>
      </c>
      <c r="AP27" s="785">
        <v>1432</v>
      </c>
      <c r="AQ27" s="552">
        <f t="shared" si="12"/>
        <v>0</v>
      </c>
      <c r="AR27" s="622">
        <f t="shared" si="18"/>
        <v>35332</v>
      </c>
      <c r="AS27" s="549">
        <f t="shared" si="18"/>
        <v>36582</v>
      </c>
      <c r="AT27" s="549">
        <f t="shared" si="18"/>
        <v>36956</v>
      </c>
      <c r="AU27" s="552">
        <f t="shared" si="13"/>
        <v>374</v>
      </c>
      <c r="AV27" s="875" t="e">
        <f t="shared" si="19"/>
        <v>#VALUE!</v>
      </c>
      <c r="AW27" s="622"/>
      <c r="AX27" s="794"/>
      <c r="AY27" s="794"/>
      <c r="AZ27" s="552">
        <f t="shared" si="14"/>
        <v>0</v>
      </c>
    </row>
    <row r="28" spans="1:55" s="126" customFormat="1" ht="13.8" x14ac:dyDescent="0.25">
      <c r="A28" s="851" t="s">
        <v>754</v>
      </c>
      <c r="B28" s="622">
        <v>4359</v>
      </c>
      <c r="C28" s="557">
        <v>4359</v>
      </c>
      <c r="D28" s="781">
        <v>4359</v>
      </c>
      <c r="E28" s="628">
        <f t="shared" si="3"/>
        <v>0</v>
      </c>
      <c r="F28" s="622">
        <v>4232</v>
      </c>
      <c r="G28" s="557">
        <v>4232</v>
      </c>
      <c r="H28" s="557">
        <v>4415</v>
      </c>
      <c r="I28" s="552">
        <f t="shared" si="4"/>
        <v>183</v>
      </c>
      <c r="J28" s="622">
        <v>186</v>
      </c>
      <c r="K28" s="557">
        <v>186</v>
      </c>
      <c r="L28" s="557">
        <v>289</v>
      </c>
      <c r="M28" s="552">
        <f t="shared" si="5"/>
        <v>103</v>
      </c>
      <c r="N28" s="622">
        <v>2383</v>
      </c>
      <c r="O28" s="557">
        <v>2383</v>
      </c>
      <c r="P28" s="557">
        <v>2383</v>
      </c>
      <c r="Q28" s="552">
        <f t="shared" si="6"/>
        <v>0</v>
      </c>
      <c r="R28" s="851" t="s">
        <v>754</v>
      </c>
      <c r="S28" s="622">
        <v>234</v>
      </c>
      <c r="T28" s="557">
        <v>234</v>
      </c>
      <c r="U28" s="557">
        <v>363</v>
      </c>
      <c r="V28" s="552">
        <f t="shared" si="7"/>
        <v>129</v>
      </c>
      <c r="W28" s="622"/>
      <c r="X28" s="557"/>
      <c r="Y28" s="557"/>
      <c r="Z28" s="552">
        <f t="shared" si="8"/>
        <v>0</v>
      </c>
      <c r="AA28" s="622">
        <f t="shared" si="17"/>
        <v>11394</v>
      </c>
      <c r="AB28" s="549">
        <f t="shared" si="20"/>
        <v>11394</v>
      </c>
      <c r="AC28" s="549">
        <f t="shared" si="20"/>
        <v>11809</v>
      </c>
      <c r="AD28" s="628">
        <f t="shared" si="9"/>
        <v>415</v>
      </c>
      <c r="AE28" s="622">
        <v>451</v>
      </c>
      <c r="AF28" s="781">
        <v>451</v>
      </c>
      <c r="AG28" s="781">
        <v>451</v>
      </c>
      <c r="AH28" s="628">
        <f t="shared" si="10"/>
        <v>0</v>
      </c>
      <c r="AI28" s="864" t="s">
        <v>754</v>
      </c>
      <c r="AJ28" s="622"/>
      <c r="AK28" s="557"/>
      <c r="AL28" s="557"/>
      <c r="AM28" s="552">
        <f t="shared" si="11"/>
        <v>0</v>
      </c>
      <c r="AN28" s="622"/>
      <c r="AO28" s="787"/>
      <c r="AP28" s="787"/>
      <c r="AQ28" s="552">
        <f t="shared" si="12"/>
        <v>0</v>
      </c>
      <c r="AR28" s="622">
        <f t="shared" si="18"/>
        <v>11845</v>
      </c>
      <c r="AS28" s="549">
        <f t="shared" si="18"/>
        <v>11845</v>
      </c>
      <c r="AT28" s="549">
        <f t="shared" si="18"/>
        <v>12260</v>
      </c>
      <c r="AU28" s="552">
        <f t="shared" si="13"/>
        <v>415</v>
      </c>
      <c r="AV28" s="875" t="e">
        <f t="shared" si="19"/>
        <v>#VALUE!</v>
      </c>
      <c r="AW28" s="622">
        <v>4069</v>
      </c>
      <c r="AX28" s="794">
        <v>4069</v>
      </c>
      <c r="AY28" s="794">
        <v>4069</v>
      </c>
      <c r="AZ28" s="552">
        <f t="shared" si="14"/>
        <v>0</v>
      </c>
    </row>
    <row r="29" spans="1:55" s="126" customFormat="1" ht="13.8" x14ac:dyDescent="0.25">
      <c r="A29" s="851" t="s">
        <v>755</v>
      </c>
      <c r="B29" s="622">
        <v>4351</v>
      </c>
      <c r="C29" s="557">
        <v>4351</v>
      </c>
      <c r="D29" s="781">
        <v>4351</v>
      </c>
      <c r="E29" s="628">
        <f t="shared" si="3"/>
        <v>0</v>
      </c>
      <c r="F29" s="622">
        <v>3415</v>
      </c>
      <c r="G29" s="557">
        <v>3415</v>
      </c>
      <c r="H29" s="557">
        <v>3415</v>
      </c>
      <c r="I29" s="552">
        <f t="shared" si="4"/>
        <v>0</v>
      </c>
      <c r="J29" s="622">
        <v>300</v>
      </c>
      <c r="K29" s="557">
        <v>300</v>
      </c>
      <c r="L29" s="557">
        <v>264</v>
      </c>
      <c r="M29" s="552">
        <f t="shared" si="5"/>
        <v>-36</v>
      </c>
      <c r="N29" s="622">
        <v>799</v>
      </c>
      <c r="O29" s="557">
        <v>799</v>
      </c>
      <c r="P29" s="557">
        <v>799</v>
      </c>
      <c r="Q29" s="552">
        <f t="shared" si="6"/>
        <v>0</v>
      </c>
      <c r="R29" s="851" t="s">
        <v>755</v>
      </c>
      <c r="S29" s="622"/>
      <c r="T29" s="557"/>
      <c r="U29" s="557"/>
      <c r="V29" s="552">
        <f t="shared" si="7"/>
        <v>0</v>
      </c>
      <c r="W29" s="622"/>
      <c r="X29" s="557"/>
      <c r="Y29" s="557"/>
      <c r="Z29" s="552">
        <f t="shared" si="8"/>
        <v>0</v>
      </c>
      <c r="AA29" s="622">
        <f t="shared" si="17"/>
        <v>8865</v>
      </c>
      <c r="AB29" s="549">
        <f t="shared" si="20"/>
        <v>8865</v>
      </c>
      <c r="AC29" s="549">
        <f t="shared" si="20"/>
        <v>8829</v>
      </c>
      <c r="AD29" s="628">
        <f t="shared" si="9"/>
        <v>-36</v>
      </c>
      <c r="AE29" s="622"/>
      <c r="AF29" s="781"/>
      <c r="AG29" s="781"/>
      <c r="AH29" s="628">
        <f t="shared" si="10"/>
        <v>0</v>
      </c>
      <c r="AI29" s="864" t="s">
        <v>755</v>
      </c>
      <c r="AJ29" s="622"/>
      <c r="AK29" s="557"/>
      <c r="AL29" s="557"/>
      <c r="AM29" s="552">
        <f t="shared" si="11"/>
        <v>0</v>
      </c>
      <c r="AN29" s="622"/>
      <c r="AO29" s="785"/>
      <c r="AP29" s="785"/>
      <c r="AQ29" s="552">
        <f t="shared" si="12"/>
        <v>0</v>
      </c>
      <c r="AR29" s="622">
        <v>8865</v>
      </c>
      <c r="AS29" s="549">
        <f>+AB29+AF29+AK29+AO29</f>
        <v>8865</v>
      </c>
      <c r="AT29" s="549">
        <f>+AC29+AG29+AL29+AP29</f>
        <v>8829</v>
      </c>
      <c r="AU29" s="552">
        <f t="shared" si="13"/>
        <v>-36</v>
      </c>
      <c r="AV29" s="875" t="e">
        <f t="shared" si="19"/>
        <v>#VALUE!</v>
      </c>
      <c r="AW29" s="622"/>
      <c r="AX29" s="794"/>
      <c r="AY29" s="794"/>
      <c r="AZ29" s="552">
        <f t="shared" si="14"/>
        <v>0</v>
      </c>
    </row>
    <row r="30" spans="1:55" s="126" customFormat="1" ht="15" customHeight="1" x14ac:dyDescent="0.25">
      <c r="A30" s="851" t="s">
        <v>756</v>
      </c>
      <c r="B30" s="622"/>
      <c r="C30" s="557"/>
      <c r="D30" s="781"/>
      <c r="E30" s="628">
        <f t="shared" si="3"/>
        <v>0</v>
      </c>
      <c r="F30" s="622"/>
      <c r="G30" s="557"/>
      <c r="H30" s="557"/>
      <c r="I30" s="552">
        <f t="shared" si="4"/>
        <v>0</v>
      </c>
      <c r="J30" s="622"/>
      <c r="K30" s="557"/>
      <c r="L30" s="557"/>
      <c r="M30" s="552">
        <f t="shared" si="5"/>
        <v>0</v>
      </c>
      <c r="N30" s="622"/>
      <c r="O30" s="557"/>
      <c r="P30" s="557"/>
      <c r="Q30" s="552">
        <f t="shared" si="6"/>
        <v>0</v>
      </c>
      <c r="R30" s="851" t="s">
        <v>756</v>
      </c>
      <c r="S30" s="622"/>
      <c r="T30" s="557"/>
      <c r="U30" s="557"/>
      <c r="V30" s="552">
        <f t="shared" si="7"/>
        <v>0</v>
      </c>
      <c r="W30" s="622"/>
      <c r="X30" s="557"/>
      <c r="Y30" s="557">
        <v>13</v>
      </c>
      <c r="Z30" s="552">
        <f t="shared" si="8"/>
        <v>13</v>
      </c>
      <c r="AA30" s="622">
        <f t="shared" si="17"/>
        <v>0</v>
      </c>
      <c r="AB30" s="549">
        <f t="shared" si="20"/>
        <v>0</v>
      </c>
      <c r="AC30" s="549">
        <f t="shared" si="20"/>
        <v>13</v>
      </c>
      <c r="AD30" s="628">
        <f t="shared" si="9"/>
        <v>13</v>
      </c>
      <c r="AE30" s="622"/>
      <c r="AF30" s="781"/>
      <c r="AG30" s="781"/>
      <c r="AH30" s="628">
        <f t="shared" si="10"/>
        <v>0</v>
      </c>
      <c r="AI30" s="864" t="s">
        <v>756</v>
      </c>
      <c r="AJ30" s="622"/>
      <c r="AK30" s="557"/>
      <c r="AL30" s="557"/>
      <c r="AM30" s="552">
        <f t="shared" si="11"/>
        <v>0</v>
      </c>
      <c r="AN30" s="622"/>
      <c r="AO30" s="785"/>
      <c r="AP30" s="785"/>
      <c r="AQ30" s="552">
        <f t="shared" si="12"/>
        <v>0</v>
      </c>
      <c r="AR30" s="622">
        <f>+AA30+AE30+AJ30+AN30</f>
        <v>0</v>
      </c>
      <c r="AS30" s="549">
        <f>+AB30+AF30+AK30+AO30</f>
        <v>0</v>
      </c>
      <c r="AT30" s="549">
        <f>+AC30+AG30+AL30+AP30</f>
        <v>13</v>
      </c>
      <c r="AU30" s="552">
        <f t="shared" si="13"/>
        <v>13</v>
      </c>
      <c r="AV30" s="875" t="e">
        <f t="shared" si="19"/>
        <v>#VALUE!</v>
      </c>
      <c r="AW30" s="622">
        <v>10</v>
      </c>
      <c r="AX30" s="794">
        <v>10</v>
      </c>
      <c r="AY30" s="794">
        <v>10</v>
      </c>
      <c r="AZ30" s="552">
        <f t="shared" si="14"/>
        <v>0</v>
      </c>
    </row>
    <row r="31" spans="1:55" s="126" customFormat="1" ht="15" customHeight="1" x14ac:dyDescent="0.25">
      <c r="A31" s="396" t="s">
        <v>589</v>
      </c>
      <c r="B31" s="622"/>
      <c r="C31" s="557"/>
      <c r="D31" s="781"/>
      <c r="E31" s="628">
        <f t="shared" si="3"/>
        <v>0</v>
      </c>
      <c r="F31" s="622"/>
      <c r="G31" s="557"/>
      <c r="H31" s="557"/>
      <c r="I31" s="552">
        <f t="shared" si="4"/>
        <v>0</v>
      </c>
      <c r="J31" s="622"/>
      <c r="K31" s="557"/>
      <c r="L31" s="557"/>
      <c r="M31" s="552">
        <f t="shared" si="5"/>
        <v>0</v>
      </c>
      <c r="N31" s="622"/>
      <c r="O31" s="557"/>
      <c r="P31" s="557"/>
      <c r="Q31" s="552">
        <f t="shared" si="6"/>
        <v>0</v>
      </c>
      <c r="R31" s="396" t="s">
        <v>589</v>
      </c>
      <c r="S31" s="622"/>
      <c r="T31" s="557"/>
      <c r="U31" s="557"/>
      <c r="V31" s="552">
        <f t="shared" si="7"/>
        <v>0</v>
      </c>
      <c r="W31" s="622"/>
      <c r="X31" s="557"/>
      <c r="Y31" s="557"/>
      <c r="Z31" s="552">
        <f t="shared" si="8"/>
        <v>0</v>
      </c>
      <c r="AA31" s="622"/>
      <c r="AB31" s="781"/>
      <c r="AC31" s="781"/>
      <c r="AD31" s="628">
        <f t="shared" si="9"/>
        <v>0</v>
      </c>
      <c r="AE31" s="622"/>
      <c r="AF31" s="781"/>
      <c r="AG31" s="781"/>
      <c r="AH31" s="628">
        <f t="shared" si="10"/>
        <v>0</v>
      </c>
      <c r="AI31" s="864"/>
      <c r="AJ31" s="622"/>
      <c r="AK31" s="557"/>
      <c r="AL31" s="557"/>
      <c r="AM31" s="552">
        <f t="shared" si="11"/>
        <v>0</v>
      </c>
      <c r="AN31" s="622"/>
      <c r="AO31" s="785"/>
      <c r="AP31" s="785"/>
      <c r="AQ31" s="552">
        <f t="shared" si="12"/>
        <v>0</v>
      </c>
      <c r="AR31" s="622"/>
      <c r="AS31" s="549"/>
      <c r="AT31" s="549"/>
      <c r="AU31" s="552">
        <f t="shared" si="13"/>
        <v>0</v>
      </c>
      <c r="AV31" s="875"/>
      <c r="AW31" s="622"/>
      <c r="AX31" s="794"/>
      <c r="AY31" s="794"/>
      <c r="AZ31" s="552">
        <f t="shared" si="14"/>
        <v>0</v>
      </c>
    </row>
    <row r="32" spans="1:55" s="126" customFormat="1" ht="15" customHeight="1" x14ac:dyDescent="0.25">
      <c r="A32" s="396" t="s">
        <v>587</v>
      </c>
      <c r="B32" s="622"/>
      <c r="C32" s="557"/>
      <c r="D32" s="781"/>
      <c r="E32" s="628">
        <f t="shared" si="3"/>
        <v>0</v>
      </c>
      <c r="F32" s="622"/>
      <c r="G32" s="557"/>
      <c r="H32" s="557"/>
      <c r="I32" s="552">
        <f t="shared" si="4"/>
        <v>0</v>
      </c>
      <c r="J32" s="622"/>
      <c r="K32" s="557"/>
      <c r="L32" s="557"/>
      <c r="M32" s="552">
        <f t="shared" si="5"/>
        <v>0</v>
      </c>
      <c r="N32" s="622"/>
      <c r="O32" s="557"/>
      <c r="P32" s="557"/>
      <c r="Q32" s="552">
        <f t="shared" si="6"/>
        <v>0</v>
      </c>
      <c r="R32" s="396" t="s">
        <v>587</v>
      </c>
      <c r="S32" s="622"/>
      <c r="T32" s="557"/>
      <c r="U32" s="557"/>
      <c r="V32" s="552">
        <f t="shared" si="7"/>
        <v>0</v>
      </c>
      <c r="W32" s="622"/>
      <c r="X32" s="557"/>
      <c r="Y32" s="557"/>
      <c r="Z32" s="552">
        <f t="shared" si="8"/>
        <v>0</v>
      </c>
      <c r="AA32" s="622"/>
      <c r="AB32" s="781"/>
      <c r="AC32" s="781"/>
      <c r="AD32" s="628">
        <f t="shared" si="9"/>
        <v>0</v>
      </c>
      <c r="AE32" s="622"/>
      <c r="AF32" s="781"/>
      <c r="AG32" s="781"/>
      <c r="AH32" s="628">
        <f t="shared" si="10"/>
        <v>0</v>
      </c>
      <c r="AI32" s="864"/>
      <c r="AJ32" s="622"/>
      <c r="AK32" s="557"/>
      <c r="AL32" s="557"/>
      <c r="AM32" s="552">
        <f t="shared" si="11"/>
        <v>0</v>
      </c>
      <c r="AN32" s="622"/>
      <c r="AO32" s="785"/>
      <c r="AP32" s="785"/>
      <c r="AQ32" s="552">
        <f t="shared" si="12"/>
        <v>0</v>
      </c>
      <c r="AR32" s="622"/>
      <c r="AS32" s="549"/>
      <c r="AT32" s="549"/>
      <c r="AU32" s="552">
        <f t="shared" si="13"/>
        <v>0</v>
      </c>
      <c r="AV32" s="875"/>
      <c r="AW32" s="622"/>
      <c r="AX32" s="794"/>
      <c r="AY32" s="794"/>
      <c r="AZ32" s="552">
        <f t="shared" si="14"/>
        <v>0</v>
      </c>
    </row>
    <row r="33" spans="1:55" s="126" customFormat="1" ht="17.25" customHeight="1" x14ac:dyDescent="0.25">
      <c r="A33" s="853" t="s">
        <v>588</v>
      </c>
      <c r="B33" s="622"/>
      <c r="C33" s="557"/>
      <c r="D33" s="781"/>
      <c r="E33" s="628">
        <f t="shared" si="3"/>
        <v>0</v>
      </c>
      <c r="F33" s="622"/>
      <c r="G33" s="557"/>
      <c r="H33" s="557"/>
      <c r="I33" s="552">
        <f t="shared" si="4"/>
        <v>0</v>
      </c>
      <c r="J33" s="622"/>
      <c r="K33" s="557"/>
      <c r="L33" s="557"/>
      <c r="M33" s="552">
        <f t="shared" si="5"/>
        <v>0</v>
      </c>
      <c r="N33" s="622"/>
      <c r="O33" s="557"/>
      <c r="P33" s="557"/>
      <c r="Q33" s="552">
        <f t="shared" si="6"/>
        <v>0</v>
      </c>
      <c r="R33" s="853" t="s">
        <v>588</v>
      </c>
      <c r="S33" s="622"/>
      <c r="T33" s="557"/>
      <c r="U33" s="557"/>
      <c r="V33" s="552">
        <f t="shared" si="7"/>
        <v>0</v>
      </c>
      <c r="W33" s="622"/>
      <c r="X33" s="557"/>
      <c r="Y33" s="557">
        <v>10</v>
      </c>
      <c r="Z33" s="552">
        <f t="shared" si="8"/>
        <v>10</v>
      </c>
      <c r="AA33" s="622">
        <f>B33+F33+J33+N33+S33+W33</f>
        <v>0</v>
      </c>
      <c r="AB33" s="549">
        <f>C33+G33+K33+O33+T33+X33</f>
        <v>0</v>
      </c>
      <c r="AC33" s="549">
        <f>D33+H33+L33+P33+U33+Y33</f>
        <v>10</v>
      </c>
      <c r="AD33" s="628">
        <f t="shared" si="9"/>
        <v>10</v>
      </c>
      <c r="AE33" s="622">
        <v>20</v>
      </c>
      <c r="AF33" s="781">
        <v>20</v>
      </c>
      <c r="AG33" s="781">
        <v>20</v>
      </c>
      <c r="AH33" s="628">
        <f t="shared" si="10"/>
        <v>0</v>
      </c>
      <c r="AI33" s="865" t="s">
        <v>757</v>
      </c>
      <c r="AJ33" s="622"/>
      <c r="AK33" s="557"/>
      <c r="AL33" s="557"/>
      <c r="AM33" s="552">
        <f t="shared" si="11"/>
        <v>0</v>
      </c>
      <c r="AN33" s="622"/>
      <c r="AO33" s="785"/>
      <c r="AP33" s="785"/>
      <c r="AQ33" s="552">
        <f t="shared" si="12"/>
        <v>0</v>
      </c>
      <c r="AR33" s="622">
        <f>+AA33+AE33+AJ33+AN33</f>
        <v>20</v>
      </c>
      <c r="AS33" s="549">
        <f>+AB33+AF33+AK33+AO33</f>
        <v>20</v>
      </c>
      <c r="AT33" s="549">
        <f>+AC33+AG33+AL33+AP33</f>
        <v>30</v>
      </c>
      <c r="AU33" s="552">
        <f t="shared" si="13"/>
        <v>10</v>
      </c>
      <c r="AV33" s="875" t="e">
        <f>AE33+AI33+AJ33+AN33+AR33</f>
        <v>#VALUE!</v>
      </c>
      <c r="AW33" s="622"/>
      <c r="AX33" s="794"/>
      <c r="AY33" s="794"/>
      <c r="AZ33" s="552">
        <f t="shared" si="14"/>
        <v>0</v>
      </c>
    </row>
    <row r="34" spans="1:55" s="124" customFormat="1" ht="14.25" customHeight="1" x14ac:dyDescent="0.25">
      <c r="A34" s="850" t="s">
        <v>686</v>
      </c>
      <c r="B34" s="621">
        <f>SUM(B35:B39)</f>
        <v>0</v>
      </c>
      <c r="C34" s="458">
        <f>SUM(C35:C39)</f>
        <v>0</v>
      </c>
      <c r="D34" s="458">
        <f>SUM(D35:D39)</f>
        <v>0</v>
      </c>
      <c r="E34" s="625">
        <f t="shared" si="3"/>
        <v>0</v>
      </c>
      <c r="F34" s="621">
        <f>SUM(F35:F39)</f>
        <v>0</v>
      </c>
      <c r="G34" s="458">
        <f>SUM(G35:G39)</f>
        <v>0</v>
      </c>
      <c r="H34" s="458">
        <f>SUM(H35:H39)</f>
        <v>0</v>
      </c>
      <c r="I34" s="551">
        <f t="shared" si="4"/>
        <v>0</v>
      </c>
      <c r="J34" s="621">
        <f>SUM(J35:J39)</f>
        <v>0</v>
      </c>
      <c r="K34" s="458">
        <f>SUM(K35:K39)</f>
        <v>0</v>
      </c>
      <c r="L34" s="458">
        <f>SUM(L35:L39)</f>
        <v>0</v>
      </c>
      <c r="M34" s="551">
        <f t="shared" si="5"/>
        <v>0</v>
      </c>
      <c r="N34" s="621">
        <f>SUM(N35:N39)</f>
        <v>0</v>
      </c>
      <c r="O34" s="458">
        <f>SUM(O35:O39)</f>
        <v>0</v>
      </c>
      <c r="P34" s="458">
        <f>SUM(P35:P39)</f>
        <v>0</v>
      </c>
      <c r="Q34" s="551">
        <f t="shared" si="6"/>
        <v>0</v>
      </c>
      <c r="R34" s="850" t="s">
        <v>686</v>
      </c>
      <c r="S34" s="621">
        <f>SUM(S35:S39)</f>
        <v>0</v>
      </c>
      <c r="T34" s="458">
        <f>SUM(T35:T39)</f>
        <v>0</v>
      </c>
      <c r="U34" s="458">
        <f>SUM(U35:U39)</f>
        <v>0</v>
      </c>
      <c r="V34" s="551">
        <f t="shared" si="7"/>
        <v>0</v>
      </c>
      <c r="W34" s="621">
        <f>SUM(W35:W39)</f>
        <v>0</v>
      </c>
      <c r="X34" s="458">
        <f>SUM(X35:X39)</f>
        <v>0</v>
      </c>
      <c r="Y34" s="556"/>
      <c r="Z34" s="551">
        <f t="shared" si="8"/>
        <v>0</v>
      </c>
      <c r="AA34" s="621">
        <f>SUM(AA35:AA39)</f>
        <v>0</v>
      </c>
      <c r="AB34" s="458">
        <f>SUM(AB35:AB39)</f>
        <v>0</v>
      </c>
      <c r="AC34" s="458">
        <f>SUM(AC35:AC39)</f>
        <v>0</v>
      </c>
      <c r="AD34" s="625">
        <f t="shared" si="9"/>
        <v>0</v>
      </c>
      <c r="AE34" s="621">
        <f>SUM(AE35:AE39)</f>
        <v>0</v>
      </c>
      <c r="AF34" s="458">
        <f>SUM(AF35:AF39)</f>
        <v>0</v>
      </c>
      <c r="AG34" s="458">
        <f>SUM(AG35:AG39)</f>
        <v>0</v>
      </c>
      <c r="AH34" s="625">
        <f t="shared" si="10"/>
        <v>0</v>
      </c>
      <c r="AI34" s="863" t="s">
        <v>686</v>
      </c>
      <c r="AJ34" s="621">
        <f>SUM(AJ35:AJ39)</f>
        <v>0</v>
      </c>
      <c r="AK34" s="458">
        <f>SUM(AK35:AK39)</f>
        <v>0</v>
      </c>
      <c r="AL34" s="458">
        <f>SUM(AL35:AL39)</f>
        <v>0</v>
      </c>
      <c r="AM34" s="551">
        <f t="shared" si="11"/>
        <v>0</v>
      </c>
      <c r="AN34" s="621">
        <f>SUM(AN35:AN39)</f>
        <v>0</v>
      </c>
      <c r="AO34" s="458">
        <f>SUM(AO35:AO39)</f>
        <v>0</v>
      </c>
      <c r="AP34" s="458">
        <f>SUM(AP35:AP39)</f>
        <v>0</v>
      </c>
      <c r="AQ34" s="551">
        <f t="shared" si="12"/>
        <v>0</v>
      </c>
      <c r="AR34" s="621">
        <f>SUM(AR35:AR39)</f>
        <v>0</v>
      </c>
      <c r="AS34" s="458">
        <f>SUM(AS35:AS39)</f>
        <v>0</v>
      </c>
      <c r="AT34" s="458">
        <f>SUM(AT35:AT39)</f>
        <v>0</v>
      </c>
      <c r="AU34" s="551">
        <f t="shared" si="13"/>
        <v>0</v>
      </c>
      <c r="AV34" s="779" t="e">
        <f>AE34+AI34+AJ34+AN34+AR34</f>
        <v>#VALUE!</v>
      </c>
      <c r="AW34" s="621">
        <f>SUM(AW35:AW39)</f>
        <v>0</v>
      </c>
      <c r="AX34" s="458">
        <f>SUM(AX35:AX39)</f>
        <v>0</v>
      </c>
      <c r="AY34" s="556"/>
      <c r="AZ34" s="551">
        <f t="shared" si="14"/>
        <v>0</v>
      </c>
    </row>
    <row r="35" spans="1:55" s="126" customFormat="1" ht="15" customHeight="1" x14ac:dyDescent="0.25">
      <c r="A35" s="848" t="s">
        <v>758</v>
      </c>
      <c r="B35" s="622"/>
      <c r="C35" s="557"/>
      <c r="D35" s="781"/>
      <c r="E35" s="628">
        <f t="shared" si="3"/>
        <v>0</v>
      </c>
      <c r="F35" s="622"/>
      <c r="G35" s="557"/>
      <c r="H35" s="557"/>
      <c r="I35" s="552">
        <f t="shared" si="4"/>
        <v>0</v>
      </c>
      <c r="J35" s="622"/>
      <c r="K35" s="557"/>
      <c r="L35" s="557"/>
      <c r="M35" s="552">
        <f t="shared" si="5"/>
        <v>0</v>
      </c>
      <c r="N35" s="622"/>
      <c r="O35" s="557"/>
      <c r="P35" s="557"/>
      <c r="Q35" s="552">
        <f t="shared" si="6"/>
        <v>0</v>
      </c>
      <c r="R35" s="848" t="s">
        <v>758</v>
      </c>
      <c r="S35" s="622"/>
      <c r="T35" s="557"/>
      <c r="U35" s="557"/>
      <c r="V35" s="552">
        <f t="shared" si="7"/>
        <v>0</v>
      </c>
      <c r="W35" s="622"/>
      <c r="X35" s="557"/>
      <c r="Y35" s="557"/>
      <c r="Z35" s="552">
        <f t="shared" si="8"/>
        <v>0</v>
      </c>
      <c r="AA35" s="622">
        <f t="shared" ref="AA35:AC39" si="21">B35+F35+J35+N35+S35+W35</f>
        <v>0</v>
      </c>
      <c r="AB35" s="549">
        <f t="shared" si="21"/>
        <v>0</v>
      </c>
      <c r="AC35" s="549">
        <f t="shared" si="21"/>
        <v>0</v>
      </c>
      <c r="AD35" s="628">
        <f t="shared" si="9"/>
        <v>0</v>
      </c>
      <c r="AE35" s="622"/>
      <c r="AF35" s="781"/>
      <c r="AG35" s="781"/>
      <c r="AH35" s="628">
        <f t="shared" si="10"/>
        <v>0</v>
      </c>
      <c r="AI35" s="861" t="s">
        <v>758</v>
      </c>
      <c r="AJ35" s="622"/>
      <c r="AK35" s="557"/>
      <c r="AL35" s="557"/>
      <c r="AM35" s="552">
        <f t="shared" si="11"/>
        <v>0</v>
      </c>
      <c r="AN35" s="622"/>
      <c r="AO35" s="557"/>
      <c r="AP35" s="557"/>
      <c r="AQ35" s="552">
        <f t="shared" si="12"/>
        <v>0</v>
      </c>
      <c r="AR35" s="622">
        <f t="shared" ref="AR35:AT39" si="22">+AA35+AE35+AJ35+AN35</f>
        <v>0</v>
      </c>
      <c r="AS35" s="549">
        <f t="shared" si="22"/>
        <v>0</v>
      </c>
      <c r="AT35" s="549">
        <f t="shared" si="22"/>
        <v>0</v>
      </c>
      <c r="AU35" s="552">
        <f t="shared" si="13"/>
        <v>0</v>
      </c>
      <c r="AV35" s="876"/>
      <c r="AW35" s="622"/>
      <c r="AX35" s="794"/>
      <c r="AY35" s="794"/>
      <c r="AZ35" s="552">
        <f t="shared" si="14"/>
        <v>0</v>
      </c>
    </row>
    <row r="36" spans="1:55" s="126" customFormat="1" ht="15" customHeight="1" x14ac:dyDescent="0.25">
      <c r="A36" s="848" t="s">
        <v>759</v>
      </c>
      <c r="B36" s="622"/>
      <c r="C36" s="557"/>
      <c r="D36" s="781"/>
      <c r="E36" s="628">
        <f t="shared" si="3"/>
        <v>0</v>
      </c>
      <c r="F36" s="622"/>
      <c r="G36" s="557"/>
      <c r="H36" s="557"/>
      <c r="I36" s="552">
        <f t="shared" si="4"/>
        <v>0</v>
      </c>
      <c r="J36" s="622"/>
      <c r="K36" s="557"/>
      <c r="L36" s="557"/>
      <c r="M36" s="552">
        <f t="shared" si="5"/>
        <v>0</v>
      </c>
      <c r="N36" s="622"/>
      <c r="O36" s="557"/>
      <c r="P36" s="557"/>
      <c r="Q36" s="552">
        <f t="shared" si="6"/>
        <v>0</v>
      </c>
      <c r="R36" s="848" t="s">
        <v>759</v>
      </c>
      <c r="S36" s="622"/>
      <c r="T36" s="557"/>
      <c r="U36" s="557"/>
      <c r="V36" s="552">
        <f t="shared" si="7"/>
        <v>0</v>
      </c>
      <c r="W36" s="622"/>
      <c r="X36" s="557"/>
      <c r="Y36" s="557"/>
      <c r="Z36" s="552">
        <f t="shared" si="8"/>
        <v>0</v>
      </c>
      <c r="AA36" s="622">
        <f t="shared" si="21"/>
        <v>0</v>
      </c>
      <c r="AB36" s="549">
        <f t="shared" si="21"/>
        <v>0</v>
      </c>
      <c r="AC36" s="549">
        <f t="shared" si="21"/>
        <v>0</v>
      </c>
      <c r="AD36" s="628">
        <f t="shared" si="9"/>
        <v>0</v>
      </c>
      <c r="AE36" s="622"/>
      <c r="AF36" s="781"/>
      <c r="AG36" s="781"/>
      <c r="AH36" s="628">
        <f t="shared" si="10"/>
        <v>0</v>
      </c>
      <c r="AI36" s="861" t="s">
        <v>759</v>
      </c>
      <c r="AJ36" s="622"/>
      <c r="AK36" s="557"/>
      <c r="AL36" s="557"/>
      <c r="AM36" s="552">
        <f t="shared" si="11"/>
        <v>0</v>
      </c>
      <c r="AN36" s="622"/>
      <c r="AO36" s="785"/>
      <c r="AP36" s="785"/>
      <c r="AQ36" s="552">
        <f t="shared" si="12"/>
        <v>0</v>
      </c>
      <c r="AR36" s="622">
        <f t="shared" si="22"/>
        <v>0</v>
      </c>
      <c r="AS36" s="549">
        <f t="shared" si="22"/>
        <v>0</v>
      </c>
      <c r="AT36" s="549">
        <f t="shared" si="22"/>
        <v>0</v>
      </c>
      <c r="AU36" s="552">
        <f t="shared" si="13"/>
        <v>0</v>
      </c>
      <c r="AV36" s="876"/>
      <c r="AW36" s="622"/>
      <c r="AX36" s="794"/>
      <c r="AY36" s="794"/>
      <c r="AZ36" s="552">
        <f t="shared" si="14"/>
        <v>0</v>
      </c>
    </row>
    <row r="37" spans="1:55" s="126" customFormat="1" ht="15" customHeight="1" x14ac:dyDescent="0.25">
      <c r="A37" s="854" t="s">
        <v>760</v>
      </c>
      <c r="B37" s="622"/>
      <c r="C37" s="557"/>
      <c r="D37" s="781"/>
      <c r="E37" s="628">
        <f t="shared" si="3"/>
        <v>0</v>
      </c>
      <c r="F37" s="622"/>
      <c r="G37" s="557"/>
      <c r="H37" s="557"/>
      <c r="I37" s="552">
        <f t="shared" si="4"/>
        <v>0</v>
      </c>
      <c r="J37" s="622"/>
      <c r="K37" s="557"/>
      <c r="L37" s="557"/>
      <c r="M37" s="552">
        <f t="shared" si="5"/>
        <v>0</v>
      </c>
      <c r="N37" s="622"/>
      <c r="O37" s="557"/>
      <c r="P37" s="557"/>
      <c r="Q37" s="552">
        <f t="shared" si="6"/>
        <v>0</v>
      </c>
      <c r="R37" s="854" t="s">
        <v>760</v>
      </c>
      <c r="S37" s="622"/>
      <c r="T37" s="557"/>
      <c r="U37" s="557"/>
      <c r="V37" s="552">
        <f t="shared" si="7"/>
        <v>0</v>
      </c>
      <c r="W37" s="622"/>
      <c r="X37" s="557"/>
      <c r="Y37" s="557"/>
      <c r="Z37" s="552">
        <f t="shared" si="8"/>
        <v>0</v>
      </c>
      <c r="AA37" s="622">
        <f t="shared" si="21"/>
        <v>0</v>
      </c>
      <c r="AB37" s="549">
        <f t="shared" si="21"/>
        <v>0</v>
      </c>
      <c r="AC37" s="549">
        <f t="shared" si="21"/>
        <v>0</v>
      </c>
      <c r="AD37" s="628">
        <f t="shared" si="9"/>
        <v>0</v>
      </c>
      <c r="AE37" s="622"/>
      <c r="AF37" s="781"/>
      <c r="AG37" s="781"/>
      <c r="AH37" s="628">
        <f t="shared" si="10"/>
        <v>0</v>
      </c>
      <c r="AI37" s="866" t="s">
        <v>760</v>
      </c>
      <c r="AJ37" s="622"/>
      <c r="AK37" s="557"/>
      <c r="AL37" s="557"/>
      <c r="AM37" s="552">
        <f t="shared" si="11"/>
        <v>0</v>
      </c>
      <c r="AN37" s="622"/>
      <c r="AO37" s="785"/>
      <c r="AP37" s="785"/>
      <c r="AQ37" s="552">
        <f t="shared" si="12"/>
        <v>0</v>
      </c>
      <c r="AR37" s="622">
        <f t="shared" si="22"/>
        <v>0</v>
      </c>
      <c r="AS37" s="549">
        <f t="shared" si="22"/>
        <v>0</v>
      </c>
      <c r="AT37" s="549">
        <f t="shared" si="22"/>
        <v>0</v>
      </c>
      <c r="AU37" s="552">
        <f t="shared" si="13"/>
        <v>0</v>
      </c>
      <c r="AV37" s="876"/>
      <c r="AW37" s="622"/>
      <c r="AX37" s="794"/>
      <c r="AY37" s="794"/>
      <c r="AZ37" s="552">
        <f t="shared" si="14"/>
        <v>0</v>
      </c>
    </row>
    <row r="38" spans="1:55" s="126" customFormat="1" ht="15" customHeight="1" x14ac:dyDescent="0.25">
      <c r="A38" s="848" t="s">
        <v>761</v>
      </c>
      <c r="B38" s="622"/>
      <c r="C38" s="557"/>
      <c r="D38" s="781"/>
      <c r="E38" s="628">
        <f t="shared" si="3"/>
        <v>0</v>
      </c>
      <c r="F38" s="622"/>
      <c r="G38" s="557"/>
      <c r="H38" s="557"/>
      <c r="I38" s="552">
        <f t="shared" si="4"/>
        <v>0</v>
      </c>
      <c r="J38" s="622"/>
      <c r="K38" s="557"/>
      <c r="L38" s="557"/>
      <c r="M38" s="552">
        <f t="shared" si="5"/>
        <v>0</v>
      </c>
      <c r="N38" s="622"/>
      <c r="O38" s="557"/>
      <c r="P38" s="557"/>
      <c r="Q38" s="552">
        <f t="shared" si="6"/>
        <v>0</v>
      </c>
      <c r="R38" s="848" t="s">
        <v>761</v>
      </c>
      <c r="S38" s="622"/>
      <c r="T38" s="557"/>
      <c r="U38" s="557"/>
      <c r="V38" s="552">
        <f t="shared" si="7"/>
        <v>0</v>
      </c>
      <c r="W38" s="622"/>
      <c r="X38" s="557"/>
      <c r="Y38" s="557"/>
      <c r="Z38" s="552">
        <f t="shared" si="8"/>
        <v>0</v>
      </c>
      <c r="AA38" s="622">
        <f t="shared" si="21"/>
        <v>0</v>
      </c>
      <c r="AB38" s="549">
        <f t="shared" si="21"/>
        <v>0</v>
      </c>
      <c r="AC38" s="549">
        <f t="shared" si="21"/>
        <v>0</v>
      </c>
      <c r="AD38" s="628">
        <f t="shared" si="9"/>
        <v>0</v>
      </c>
      <c r="AE38" s="622"/>
      <c r="AF38" s="781"/>
      <c r="AG38" s="781"/>
      <c r="AH38" s="628">
        <f t="shared" si="10"/>
        <v>0</v>
      </c>
      <c r="AI38" s="861" t="s">
        <v>761</v>
      </c>
      <c r="AJ38" s="622"/>
      <c r="AK38" s="557"/>
      <c r="AL38" s="557"/>
      <c r="AM38" s="552">
        <f t="shared" si="11"/>
        <v>0</v>
      </c>
      <c r="AN38" s="622"/>
      <c r="AO38" s="785"/>
      <c r="AP38" s="785"/>
      <c r="AQ38" s="552">
        <f t="shared" si="12"/>
        <v>0</v>
      </c>
      <c r="AR38" s="622">
        <f t="shared" si="22"/>
        <v>0</v>
      </c>
      <c r="AS38" s="549">
        <f t="shared" si="22"/>
        <v>0</v>
      </c>
      <c r="AT38" s="549">
        <f t="shared" si="22"/>
        <v>0</v>
      </c>
      <c r="AU38" s="552">
        <f t="shared" si="13"/>
        <v>0</v>
      </c>
      <c r="AV38" s="876"/>
      <c r="AW38" s="622"/>
      <c r="AX38" s="794"/>
      <c r="AY38" s="794"/>
      <c r="AZ38" s="552">
        <f t="shared" si="14"/>
        <v>0</v>
      </c>
    </row>
    <row r="39" spans="1:55" s="126" customFormat="1" ht="24" customHeight="1" x14ac:dyDescent="0.25">
      <c r="A39" s="848" t="s">
        <v>762</v>
      </c>
      <c r="B39" s="622"/>
      <c r="C39" s="557"/>
      <c r="D39" s="781"/>
      <c r="E39" s="628">
        <f t="shared" si="3"/>
        <v>0</v>
      </c>
      <c r="F39" s="622"/>
      <c r="G39" s="557"/>
      <c r="H39" s="557"/>
      <c r="I39" s="552">
        <f t="shared" si="4"/>
        <v>0</v>
      </c>
      <c r="J39" s="622"/>
      <c r="K39" s="557"/>
      <c r="L39" s="557"/>
      <c r="M39" s="552">
        <f t="shared" si="5"/>
        <v>0</v>
      </c>
      <c r="N39" s="622"/>
      <c r="O39" s="557"/>
      <c r="P39" s="557"/>
      <c r="Q39" s="552">
        <f t="shared" si="6"/>
        <v>0</v>
      </c>
      <c r="R39" s="848" t="s">
        <v>762</v>
      </c>
      <c r="S39" s="622"/>
      <c r="T39" s="557"/>
      <c r="U39" s="557"/>
      <c r="V39" s="552">
        <f t="shared" si="7"/>
        <v>0</v>
      </c>
      <c r="W39" s="622"/>
      <c r="X39" s="557"/>
      <c r="Y39" s="557"/>
      <c r="Z39" s="552">
        <f t="shared" si="8"/>
        <v>0</v>
      </c>
      <c r="AA39" s="622">
        <f t="shared" si="21"/>
        <v>0</v>
      </c>
      <c r="AB39" s="549">
        <f t="shared" si="21"/>
        <v>0</v>
      </c>
      <c r="AC39" s="549">
        <f t="shared" si="21"/>
        <v>0</v>
      </c>
      <c r="AD39" s="628">
        <f t="shared" si="9"/>
        <v>0</v>
      </c>
      <c r="AE39" s="622"/>
      <c r="AF39" s="781"/>
      <c r="AG39" s="781"/>
      <c r="AH39" s="628">
        <f t="shared" si="10"/>
        <v>0</v>
      </c>
      <c r="AI39" s="861" t="s">
        <v>762</v>
      </c>
      <c r="AJ39" s="622"/>
      <c r="AK39" s="557"/>
      <c r="AL39" s="557"/>
      <c r="AM39" s="552">
        <f t="shared" si="11"/>
        <v>0</v>
      </c>
      <c r="AN39" s="622"/>
      <c r="AO39" s="785"/>
      <c r="AP39" s="785"/>
      <c r="AQ39" s="552">
        <f t="shared" si="12"/>
        <v>0</v>
      </c>
      <c r="AR39" s="622">
        <f t="shared" si="22"/>
        <v>0</v>
      </c>
      <c r="AS39" s="549">
        <f t="shared" si="22"/>
        <v>0</v>
      </c>
      <c r="AT39" s="549">
        <f t="shared" si="22"/>
        <v>0</v>
      </c>
      <c r="AU39" s="552">
        <f t="shared" si="13"/>
        <v>0</v>
      </c>
      <c r="AV39" s="876"/>
      <c r="AW39" s="622"/>
      <c r="AX39" s="794"/>
      <c r="AY39" s="794"/>
      <c r="AZ39" s="552">
        <f t="shared" si="14"/>
        <v>0</v>
      </c>
    </row>
    <row r="40" spans="1:55" s="124" customFormat="1" ht="24.75" customHeight="1" x14ac:dyDescent="0.25">
      <c r="A40" s="850" t="s">
        <v>687</v>
      </c>
      <c r="B40" s="621">
        <f t="shared" ref="B40:P40" si="23">SUM(B41)</f>
        <v>0</v>
      </c>
      <c r="C40" s="458">
        <f t="shared" si="23"/>
        <v>0</v>
      </c>
      <c r="D40" s="458">
        <f t="shared" si="23"/>
        <v>0</v>
      </c>
      <c r="E40" s="625">
        <f t="shared" si="3"/>
        <v>0</v>
      </c>
      <c r="F40" s="621">
        <f t="shared" si="23"/>
        <v>0</v>
      </c>
      <c r="G40" s="458">
        <f t="shared" si="23"/>
        <v>0</v>
      </c>
      <c r="H40" s="458">
        <f t="shared" si="23"/>
        <v>0</v>
      </c>
      <c r="I40" s="551">
        <f t="shared" si="4"/>
        <v>0</v>
      </c>
      <c r="J40" s="621">
        <f t="shared" si="23"/>
        <v>0</v>
      </c>
      <c r="K40" s="458">
        <f t="shared" si="23"/>
        <v>0</v>
      </c>
      <c r="L40" s="458">
        <f t="shared" si="23"/>
        <v>0</v>
      </c>
      <c r="M40" s="551">
        <f t="shared" si="5"/>
        <v>0</v>
      </c>
      <c r="N40" s="621">
        <f t="shared" si="23"/>
        <v>0</v>
      </c>
      <c r="O40" s="458">
        <f t="shared" si="23"/>
        <v>0</v>
      </c>
      <c r="P40" s="458">
        <f t="shared" si="23"/>
        <v>0</v>
      </c>
      <c r="Q40" s="551">
        <f t="shared" si="6"/>
        <v>0</v>
      </c>
      <c r="R40" s="850" t="s">
        <v>687</v>
      </c>
      <c r="S40" s="621">
        <f t="shared" ref="S40:AF40" si="24">SUM(S41)</f>
        <v>0</v>
      </c>
      <c r="T40" s="458">
        <f t="shared" si="24"/>
        <v>0</v>
      </c>
      <c r="U40" s="458">
        <f t="shared" si="24"/>
        <v>0</v>
      </c>
      <c r="V40" s="551">
        <f t="shared" si="7"/>
        <v>0</v>
      </c>
      <c r="W40" s="621">
        <f t="shared" si="24"/>
        <v>0</v>
      </c>
      <c r="X40" s="458">
        <f t="shared" si="24"/>
        <v>0</v>
      </c>
      <c r="Y40" s="556"/>
      <c r="Z40" s="551">
        <f t="shared" si="8"/>
        <v>0</v>
      </c>
      <c r="AA40" s="621">
        <f t="shared" si="24"/>
        <v>0</v>
      </c>
      <c r="AB40" s="458">
        <f t="shared" si="24"/>
        <v>0</v>
      </c>
      <c r="AC40" s="458">
        <f t="shared" si="24"/>
        <v>0</v>
      </c>
      <c r="AD40" s="625">
        <f t="shared" si="9"/>
        <v>0</v>
      </c>
      <c r="AE40" s="621">
        <f t="shared" si="24"/>
        <v>0</v>
      </c>
      <c r="AF40" s="458">
        <f t="shared" si="24"/>
        <v>0</v>
      </c>
      <c r="AG40" s="775"/>
      <c r="AH40" s="625">
        <f t="shared" si="10"/>
        <v>0</v>
      </c>
      <c r="AI40" s="863" t="s">
        <v>687</v>
      </c>
      <c r="AJ40" s="621">
        <f t="shared" ref="AJ40:AT40" si="25">SUM(AJ41)</f>
        <v>0</v>
      </c>
      <c r="AK40" s="458">
        <f t="shared" si="25"/>
        <v>0</v>
      </c>
      <c r="AL40" s="458">
        <f t="shared" si="25"/>
        <v>0</v>
      </c>
      <c r="AM40" s="551">
        <f t="shared" si="11"/>
        <v>0</v>
      </c>
      <c r="AN40" s="621">
        <f t="shared" si="25"/>
        <v>0</v>
      </c>
      <c r="AO40" s="458">
        <f t="shared" si="25"/>
        <v>0</v>
      </c>
      <c r="AP40" s="458">
        <f t="shared" si="25"/>
        <v>0</v>
      </c>
      <c r="AQ40" s="551">
        <f t="shared" si="12"/>
        <v>0</v>
      </c>
      <c r="AR40" s="621">
        <f t="shared" si="25"/>
        <v>0</v>
      </c>
      <c r="AS40" s="458">
        <f t="shared" si="25"/>
        <v>0</v>
      </c>
      <c r="AT40" s="458">
        <f t="shared" si="25"/>
        <v>0</v>
      </c>
      <c r="AU40" s="551">
        <f t="shared" si="13"/>
        <v>0</v>
      </c>
      <c r="AV40" s="779" t="e">
        <f>AE40+AI40+AJ40+AN40+AR40</f>
        <v>#VALUE!</v>
      </c>
      <c r="AW40" s="621">
        <f>SUM(AW41)</f>
        <v>0</v>
      </c>
      <c r="AX40" s="458">
        <f>SUM(AX41)</f>
        <v>0</v>
      </c>
      <c r="AY40" s="458">
        <f>SUM(AY41)</f>
        <v>0</v>
      </c>
      <c r="AZ40" s="551">
        <f t="shared" si="14"/>
        <v>0</v>
      </c>
    </row>
    <row r="41" spans="1:55" s="126" customFormat="1" ht="26.4" x14ac:dyDescent="0.25">
      <c r="A41" s="848" t="s">
        <v>806</v>
      </c>
      <c r="B41" s="622"/>
      <c r="C41" s="557"/>
      <c r="D41" s="781"/>
      <c r="E41" s="628">
        <f t="shared" si="3"/>
        <v>0</v>
      </c>
      <c r="F41" s="622"/>
      <c r="G41" s="557"/>
      <c r="H41" s="557"/>
      <c r="I41" s="552">
        <f t="shared" si="4"/>
        <v>0</v>
      </c>
      <c r="J41" s="622"/>
      <c r="K41" s="557"/>
      <c r="L41" s="557"/>
      <c r="M41" s="552">
        <f t="shared" si="5"/>
        <v>0</v>
      </c>
      <c r="N41" s="622"/>
      <c r="O41" s="557"/>
      <c r="P41" s="557"/>
      <c r="Q41" s="552">
        <f t="shared" si="6"/>
        <v>0</v>
      </c>
      <c r="R41" s="848" t="s">
        <v>806</v>
      </c>
      <c r="S41" s="622"/>
      <c r="T41" s="557"/>
      <c r="U41" s="557"/>
      <c r="V41" s="552">
        <f t="shared" si="7"/>
        <v>0</v>
      </c>
      <c r="W41" s="622"/>
      <c r="X41" s="557"/>
      <c r="Y41" s="557"/>
      <c r="Z41" s="552">
        <f t="shared" si="8"/>
        <v>0</v>
      </c>
      <c r="AA41" s="622">
        <f>B41+F41+J41+N41+S41+W41</f>
        <v>0</v>
      </c>
      <c r="AB41" s="549">
        <f>C41+G41+K41+O41+T41+X41</f>
        <v>0</v>
      </c>
      <c r="AC41" s="549">
        <f>D41+H41+L41+P41+U41+Y41</f>
        <v>0</v>
      </c>
      <c r="AD41" s="628">
        <f t="shared" si="9"/>
        <v>0</v>
      </c>
      <c r="AE41" s="622"/>
      <c r="AF41" s="781"/>
      <c r="AG41" s="781"/>
      <c r="AH41" s="628">
        <f t="shared" si="10"/>
        <v>0</v>
      </c>
      <c r="AI41" s="861" t="s">
        <v>806</v>
      </c>
      <c r="AJ41" s="622"/>
      <c r="AK41" s="557"/>
      <c r="AL41" s="557"/>
      <c r="AM41" s="552">
        <f t="shared" si="11"/>
        <v>0</v>
      </c>
      <c r="AN41" s="622"/>
      <c r="AO41" s="785"/>
      <c r="AP41" s="785"/>
      <c r="AQ41" s="552">
        <f t="shared" si="12"/>
        <v>0</v>
      </c>
      <c r="AR41" s="622">
        <f t="shared" ref="AR41:AT43" si="26">+AA41+AE41+AJ41+AN41</f>
        <v>0</v>
      </c>
      <c r="AS41" s="549">
        <f t="shared" si="26"/>
        <v>0</v>
      </c>
      <c r="AT41" s="549">
        <f t="shared" si="26"/>
        <v>0</v>
      </c>
      <c r="AU41" s="552">
        <f t="shared" si="13"/>
        <v>0</v>
      </c>
      <c r="AV41" s="876"/>
      <c r="AW41" s="622"/>
      <c r="AX41" s="794"/>
      <c r="AY41" s="794"/>
      <c r="AZ41" s="552">
        <f t="shared" si="14"/>
        <v>0</v>
      </c>
    </row>
    <row r="42" spans="1:55" s="124" customFormat="1" ht="27" customHeight="1" x14ac:dyDescent="0.25">
      <c r="A42" s="849" t="s">
        <v>688</v>
      </c>
      <c r="B42" s="621">
        <f t="shared" ref="B42:P42" si="27">SUM(B43)</f>
        <v>0</v>
      </c>
      <c r="C42" s="458">
        <f t="shared" si="27"/>
        <v>0</v>
      </c>
      <c r="D42" s="458">
        <f t="shared" si="27"/>
        <v>0</v>
      </c>
      <c r="E42" s="625">
        <f t="shared" si="3"/>
        <v>0</v>
      </c>
      <c r="F42" s="621">
        <f t="shared" si="27"/>
        <v>0</v>
      </c>
      <c r="G42" s="458">
        <f t="shared" si="27"/>
        <v>0</v>
      </c>
      <c r="H42" s="458">
        <f t="shared" si="27"/>
        <v>0</v>
      </c>
      <c r="I42" s="551">
        <f t="shared" si="4"/>
        <v>0</v>
      </c>
      <c r="J42" s="621">
        <f t="shared" si="27"/>
        <v>0</v>
      </c>
      <c r="K42" s="458">
        <f t="shared" si="27"/>
        <v>0</v>
      </c>
      <c r="L42" s="458">
        <f t="shared" si="27"/>
        <v>0</v>
      </c>
      <c r="M42" s="551">
        <f t="shared" si="5"/>
        <v>0</v>
      </c>
      <c r="N42" s="621">
        <f t="shared" si="27"/>
        <v>0</v>
      </c>
      <c r="O42" s="458">
        <f t="shared" si="27"/>
        <v>0</v>
      </c>
      <c r="P42" s="458">
        <f t="shared" si="27"/>
        <v>0</v>
      </c>
      <c r="Q42" s="551">
        <f t="shared" si="6"/>
        <v>0</v>
      </c>
      <c r="R42" s="849" t="s">
        <v>688</v>
      </c>
      <c r="S42" s="621">
        <f t="shared" ref="S42:AF42" si="28">SUM(S43)</f>
        <v>0</v>
      </c>
      <c r="T42" s="458">
        <f t="shared" si="28"/>
        <v>0</v>
      </c>
      <c r="U42" s="458">
        <f t="shared" si="28"/>
        <v>0</v>
      </c>
      <c r="V42" s="551">
        <f t="shared" si="7"/>
        <v>0</v>
      </c>
      <c r="W42" s="621">
        <f t="shared" si="28"/>
        <v>0</v>
      </c>
      <c r="X42" s="458">
        <f t="shared" si="28"/>
        <v>0</v>
      </c>
      <c r="Y42" s="556"/>
      <c r="Z42" s="551">
        <f t="shared" si="8"/>
        <v>0</v>
      </c>
      <c r="AA42" s="621">
        <f t="shared" si="28"/>
        <v>0</v>
      </c>
      <c r="AB42" s="458">
        <f>SUM(AB43)</f>
        <v>0</v>
      </c>
      <c r="AC42" s="458">
        <f t="shared" si="28"/>
        <v>0</v>
      </c>
      <c r="AD42" s="625">
        <f t="shared" si="9"/>
        <v>0</v>
      </c>
      <c r="AE42" s="621">
        <f t="shared" si="28"/>
        <v>0</v>
      </c>
      <c r="AF42" s="458">
        <f t="shared" si="28"/>
        <v>0</v>
      </c>
      <c r="AG42" s="775"/>
      <c r="AH42" s="625">
        <f t="shared" si="10"/>
        <v>0</v>
      </c>
      <c r="AI42" s="862" t="s">
        <v>688</v>
      </c>
      <c r="AJ42" s="621">
        <f>SUM(AJ43)</f>
        <v>0</v>
      </c>
      <c r="AK42" s="458">
        <f>SUM(AK43)</f>
        <v>0</v>
      </c>
      <c r="AL42" s="458">
        <f t="shared" ref="AL42:AM42" si="29">SUM(AL43)</f>
        <v>0</v>
      </c>
      <c r="AM42" s="458">
        <f t="shared" si="29"/>
        <v>0</v>
      </c>
      <c r="AN42" s="621">
        <f>SUM(AN43)</f>
        <v>0</v>
      </c>
      <c r="AO42" s="458">
        <f>SUM(AO43)</f>
        <v>0</v>
      </c>
      <c r="AP42" s="458">
        <f>SUM(AP43)</f>
        <v>0</v>
      </c>
      <c r="AQ42" s="551">
        <f t="shared" si="12"/>
        <v>0</v>
      </c>
      <c r="AR42" s="621">
        <f t="shared" si="26"/>
        <v>0</v>
      </c>
      <c r="AS42" s="458">
        <f t="shared" si="26"/>
        <v>0</v>
      </c>
      <c r="AT42" s="458">
        <f t="shared" si="26"/>
        <v>0</v>
      </c>
      <c r="AU42" s="551">
        <f t="shared" si="13"/>
        <v>0</v>
      </c>
      <c r="AV42" s="779" t="e">
        <f>AE42+AI42+AJ42+AN42+AR42</f>
        <v>#VALUE!</v>
      </c>
      <c r="AW42" s="621">
        <f>SUM(AW43)</f>
        <v>0</v>
      </c>
      <c r="AX42" s="458">
        <f>SUM(AX43)</f>
        <v>0</v>
      </c>
      <c r="AY42" s="458">
        <f>SUM(AY43)</f>
        <v>0</v>
      </c>
      <c r="AZ42" s="551">
        <f t="shared" si="14"/>
        <v>0</v>
      </c>
    </row>
    <row r="43" spans="1:55" s="126" customFormat="1" ht="22.5" customHeight="1" x14ac:dyDescent="0.25">
      <c r="A43" s="848" t="s">
        <v>809</v>
      </c>
      <c r="B43" s="622"/>
      <c r="C43" s="557"/>
      <c r="D43" s="781"/>
      <c r="E43" s="628">
        <f t="shared" si="3"/>
        <v>0</v>
      </c>
      <c r="F43" s="622"/>
      <c r="G43" s="557"/>
      <c r="H43" s="557"/>
      <c r="I43" s="552">
        <f t="shared" si="4"/>
        <v>0</v>
      </c>
      <c r="J43" s="622"/>
      <c r="K43" s="557"/>
      <c r="L43" s="557"/>
      <c r="M43" s="552">
        <f t="shared" si="5"/>
        <v>0</v>
      </c>
      <c r="N43" s="622"/>
      <c r="O43" s="557"/>
      <c r="P43" s="557"/>
      <c r="Q43" s="552">
        <f t="shared" si="6"/>
        <v>0</v>
      </c>
      <c r="R43" s="848" t="s">
        <v>809</v>
      </c>
      <c r="S43" s="622"/>
      <c r="T43" s="557"/>
      <c r="U43" s="557"/>
      <c r="V43" s="552">
        <f t="shared" si="7"/>
        <v>0</v>
      </c>
      <c r="W43" s="622"/>
      <c r="X43" s="557"/>
      <c r="Y43" s="557"/>
      <c r="Z43" s="552">
        <f t="shared" si="8"/>
        <v>0</v>
      </c>
      <c r="AA43" s="622">
        <f>B43+F43+J43+N43+S43+W43</f>
        <v>0</v>
      </c>
      <c r="AB43" s="549">
        <f>C43+G43+K43+O43+T43+X43</f>
        <v>0</v>
      </c>
      <c r="AC43" s="549">
        <f>D43+H43+L43+P43+U43+Y43</f>
        <v>0</v>
      </c>
      <c r="AD43" s="628">
        <f>AC43-AB43</f>
        <v>0</v>
      </c>
      <c r="AE43" s="622"/>
      <c r="AF43" s="781"/>
      <c r="AG43" s="781"/>
      <c r="AH43" s="628">
        <f t="shared" si="10"/>
        <v>0</v>
      </c>
      <c r="AI43" s="861" t="s">
        <v>809</v>
      </c>
      <c r="AJ43" s="622"/>
      <c r="AK43" s="557"/>
      <c r="AL43" s="557"/>
      <c r="AM43" s="552">
        <f t="shared" si="11"/>
        <v>0</v>
      </c>
      <c r="AN43" s="622"/>
      <c r="AO43" s="785"/>
      <c r="AP43" s="785"/>
      <c r="AQ43" s="552">
        <f t="shared" si="12"/>
        <v>0</v>
      </c>
      <c r="AR43" s="622">
        <f t="shared" si="26"/>
        <v>0</v>
      </c>
      <c r="AS43" s="549">
        <f>+AB43+AF43+AK43+AO43</f>
        <v>0</v>
      </c>
      <c r="AT43" s="549">
        <f>+AC43+AG43+AL43+AP43</f>
        <v>0</v>
      </c>
      <c r="AU43" s="552">
        <f t="shared" si="13"/>
        <v>0</v>
      </c>
      <c r="AV43" s="876"/>
      <c r="AW43" s="622"/>
      <c r="AX43" s="794"/>
      <c r="AY43" s="794"/>
      <c r="AZ43" s="552">
        <f t="shared" si="14"/>
        <v>0</v>
      </c>
    </row>
    <row r="44" spans="1:55" s="124" customFormat="1" ht="18" customHeight="1" x14ac:dyDescent="0.25">
      <c r="A44" s="850" t="s">
        <v>689</v>
      </c>
      <c r="B44" s="621">
        <f>B42+B40+B34+B21+B17+B15+B12</f>
        <v>24855</v>
      </c>
      <c r="C44" s="458">
        <f>C42+C40+C34+C21+C17+C15+C12</f>
        <v>25655</v>
      </c>
      <c r="D44" s="458">
        <f>D42+D40+D34+D21+D17+D15+D12</f>
        <v>25655</v>
      </c>
      <c r="E44" s="625">
        <f t="shared" si="3"/>
        <v>0</v>
      </c>
      <c r="F44" s="883">
        <f>F42+F40+F34+F21+F17+F15+F12</f>
        <v>23321</v>
      </c>
      <c r="G44" s="458">
        <f>G42+G40+G34+G21+G17+G15+G12</f>
        <v>23632</v>
      </c>
      <c r="H44" s="458">
        <f>H42+H40+H34+H21+H17+H15+H12</f>
        <v>24493</v>
      </c>
      <c r="I44" s="551">
        <f t="shared" si="4"/>
        <v>861</v>
      </c>
      <c r="J44" s="883">
        <f>J42+J40+J34+J21+J17+J15+J12</f>
        <v>1174</v>
      </c>
      <c r="K44" s="458">
        <f>K42+K40+K34+K21+K17+K15+K12</f>
        <v>1174</v>
      </c>
      <c r="L44" s="458">
        <f>L42+L40+L34+L21+L17+L15+L12</f>
        <v>1618</v>
      </c>
      <c r="M44" s="551">
        <f t="shared" si="5"/>
        <v>444</v>
      </c>
      <c r="N44" s="621">
        <f>N42+N40+N34+N21+N17+N15+N12</f>
        <v>12008</v>
      </c>
      <c r="O44" s="458">
        <f>O42+O40+O34+O21+O17+O15+O12</f>
        <v>12851</v>
      </c>
      <c r="P44" s="458">
        <f>P42+P40+P34+P21+P17+P15+P12</f>
        <v>12851</v>
      </c>
      <c r="Q44" s="551">
        <f t="shared" si="6"/>
        <v>0</v>
      </c>
      <c r="R44" s="850" t="s">
        <v>689</v>
      </c>
      <c r="S44" s="621">
        <f>S42+S40+S34+S21+S17+S15+S12</f>
        <v>1102</v>
      </c>
      <c r="T44" s="458">
        <f>T42+T40+T34+T21+T17+T15+T12</f>
        <v>1102</v>
      </c>
      <c r="U44" s="458">
        <f>U42+U40+U34+U21+U17+U15+U12</f>
        <v>1705</v>
      </c>
      <c r="V44" s="551">
        <f t="shared" si="7"/>
        <v>603</v>
      </c>
      <c r="W44" s="621">
        <f>W42+W40+W34+W21+W17+W15+W12</f>
        <v>0</v>
      </c>
      <c r="X44" s="458">
        <f>X42+X40+X34+X21+X17+X15+X12</f>
        <v>0</v>
      </c>
      <c r="Y44" s="458">
        <f>Y42+Y40+Y34+Y21+Y17+Y15+Y12</f>
        <v>23</v>
      </c>
      <c r="Z44" s="551">
        <f t="shared" si="8"/>
        <v>23</v>
      </c>
      <c r="AA44" s="621">
        <f>AA42+AA40+AA34+AA21+AA17+AA15+AA12</f>
        <v>62460</v>
      </c>
      <c r="AB44" s="458">
        <f>AB42+AB40+AB34+AB21+AB17+AB15+AB12</f>
        <v>64414</v>
      </c>
      <c r="AC44" s="458">
        <f>AC42+AC40+AC34+AC21+AC17+AC15+AC12</f>
        <v>66345</v>
      </c>
      <c r="AD44" s="625">
        <f>AC44-AB44</f>
        <v>1931</v>
      </c>
      <c r="AE44" s="621">
        <f>AE42+AE40+AE34+AE21+AE17+AE15+AE12</f>
        <v>3590</v>
      </c>
      <c r="AF44" s="458">
        <f>AF42+AF40+AF34+AF21+AF17+AF15+AF12</f>
        <v>5103</v>
      </c>
      <c r="AG44" s="458">
        <f>AG42+AG40+AG34+AG21+AG17+AG15+AG12</f>
        <v>5103</v>
      </c>
      <c r="AH44" s="625">
        <f t="shared" si="10"/>
        <v>0</v>
      </c>
      <c r="AI44" s="863" t="s">
        <v>689</v>
      </c>
      <c r="AJ44" s="621">
        <f>AJ42+AJ40+AJ34+AJ21+AJ17+AJ15+AJ12</f>
        <v>123260</v>
      </c>
      <c r="AK44" s="458">
        <f>AK42+AK40+AK34+AK21+AK17+AK15+AK12</f>
        <v>128199</v>
      </c>
      <c r="AL44" s="458">
        <f>AL42+AL40+AL34+AL21+AL17+AL15+AL12</f>
        <v>128199</v>
      </c>
      <c r="AM44" s="551">
        <f t="shared" si="11"/>
        <v>0</v>
      </c>
      <c r="AN44" s="621">
        <f>AN42+AN40+AN34+AN21+AN17+AN15+AN12</f>
        <v>1192</v>
      </c>
      <c r="AO44" s="458">
        <f>AO42+AO40+AO34+AO21+AO17+AO15+AO12</f>
        <v>1583</v>
      </c>
      <c r="AP44" s="458">
        <f>AP42+AP40+AP34+AP21+AP17+AP15+AP12</f>
        <v>1583</v>
      </c>
      <c r="AQ44" s="551">
        <f t="shared" si="12"/>
        <v>0</v>
      </c>
      <c r="AR44" s="621">
        <f>AR42+AR40+AR34+AR21+AR17+AR15+AR12</f>
        <v>190502</v>
      </c>
      <c r="AS44" s="458">
        <f>AS42+AS40+AS34+AS21+AS17+AS15+AS12</f>
        <v>199299</v>
      </c>
      <c r="AT44" s="458">
        <f>AT42+AT40+AT34+AT21+AT17+AT15+AT12</f>
        <v>201230</v>
      </c>
      <c r="AU44" s="551">
        <f t="shared" si="13"/>
        <v>1931</v>
      </c>
      <c r="AV44" s="779" t="e">
        <f>AV42+AV40+AV34+AV21+AV17+AV15+AV12</f>
        <v>#VALUE!</v>
      </c>
      <c r="AW44" s="621">
        <f>AW42+AW40+AW34+AW21+AW17+AW15+AW12</f>
        <v>36176</v>
      </c>
      <c r="AX44" s="458">
        <f>AX42+AX40+AX34+AX21+AX17+AX15+AX12</f>
        <v>42358</v>
      </c>
      <c r="AY44" s="458">
        <f>AY42+AY40+AY34+AY21+AY17+AY15+AY12</f>
        <v>42383</v>
      </c>
      <c r="AZ44" s="551">
        <f t="shared" si="14"/>
        <v>25</v>
      </c>
      <c r="BA44" s="123">
        <f>AR42+AR40+AR21+AR17+AR15+AR12</f>
        <v>190502</v>
      </c>
      <c r="BB44" s="123" t="e">
        <f>#REF!+#REF!+#REF!+#REF!+#REF!+#REF!</f>
        <v>#REF!</v>
      </c>
      <c r="BC44" s="123"/>
    </row>
    <row r="45" spans="1:55" s="124" customFormat="1" ht="18" customHeight="1" x14ac:dyDescent="0.25">
      <c r="A45" s="849" t="s">
        <v>690</v>
      </c>
      <c r="B45" s="621">
        <f>B46+B49+B50</f>
        <v>46974</v>
      </c>
      <c r="C45" s="458">
        <f>C46+C49+C50</f>
        <v>47429</v>
      </c>
      <c r="D45" s="458">
        <f>D46+D49+D50</f>
        <v>47429</v>
      </c>
      <c r="E45" s="625">
        <f t="shared" si="3"/>
        <v>0</v>
      </c>
      <c r="F45" s="621">
        <f>F46+F49+F50</f>
        <v>40143</v>
      </c>
      <c r="G45" s="458">
        <f>G46+G49+G50</f>
        <v>43355</v>
      </c>
      <c r="H45" s="458">
        <f>H46+H49+H50</f>
        <v>43355</v>
      </c>
      <c r="I45" s="551">
        <f t="shared" si="4"/>
        <v>0</v>
      </c>
      <c r="J45" s="621">
        <f>J46+J49+J50</f>
        <v>4813</v>
      </c>
      <c r="K45" s="458">
        <f>K46+K49+K50</f>
        <v>5139</v>
      </c>
      <c r="L45" s="458">
        <f>L46+L49+L50</f>
        <v>5139</v>
      </c>
      <c r="M45" s="551">
        <f t="shared" si="5"/>
        <v>0</v>
      </c>
      <c r="N45" s="621">
        <f>N46+N49+N50</f>
        <v>37706</v>
      </c>
      <c r="O45" s="621">
        <f>O46+O49+O50</f>
        <v>40928</v>
      </c>
      <c r="P45" s="621">
        <f>P46+P49+P50</f>
        <v>40928</v>
      </c>
      <c r="Q45" s="551">
        <f t="shared" si="6"/>
        <v>0</v>
      </c>
      <c r="R45" s="849" t="s">
        <v>690</v>
      </c>
      <c r="S45" s="621">
        <f>S46+S49+S50</f>
        <v>6565</v>
      </c>
      <c r="T45" s="458">
        <f>T46+T49+T50</f>
        <v>7125</v>
      </c>
      <c r="U45" s="458">
        <f>U46+U49+U50</f>
        <v>7125</v>
      </c>
      <c r="V45" s="551">
        <f t="shared" si="7"/>
        <v>0</v>
      </c>
      <c r="W45" s="621">
        <f>W46+W49+W50</f>
        <v>15482</v>
      </c>
      <c r="X45" s="458">
        <f>X46+X49+X50</f>
        <v>9476</v>
      </c>
      <c r="Y45" s="458">
        <f>Y46+Y49+Y50</f>
        <v>9476</v>
      </c>
      <c r="Z45" s="551">
        <f t="shared" si="8"/>
        <v>0</v>
      </c>
      <c r="AA45" s="621">
        <f>AA46+AA49+AA50</f>
        <v>151683</v>
      </c>
      <c r="AB45" s="458">
        <f>AB46+AB49+AB50</f>
        <v>153452</v>
      </c>
      <c r="AC45" s="458">
        <f>AC46+AC49+AC50</f>
        <v>153452</v>
      </c>
      <c r="AD45" s="625">
        <f t="shared" si="9"/>
        <v>0</v>
      </c>
      <c r="AE45" s="621">
        <f>AE46+AE49+AE50</f>
        <v>42780</v>
      </c>
      <c r="AF45" s="458">
        <f>AF46+AF49+AF50</f>
        <v>46555</v>
      </c>
      <c r="AG45" s="458">
        <f>AG46+AG49+AG50</f>
        <v>46555</v>
      </c>
      <c r="AH45" s="625">
        <f t="shared" si="10"/>
        <v>0</v>
      </c>
      <c r="AI45" s="862" t="s">
        <v>690</v>
      </c>
      <c r="AJ45" s="621">
        <f>AJ46+AJ49+AJ50</f>
        <v>24860</v>
      </c>
      <c r="AK45" s="458">
        <f>AK46+AK49+AK50</f>
        <v>30278</v>
      </c>
      <c r="AL45" s="458">
        <f>AL46+AL49+AL50</f>
        <v>30278</v>
      </c>
      <c r="AM45" s="551">
        <f t="shared" si="11"/>
        <v>0</v>
      </c>
      <c r="AN45" s="621">
        <f>AN46+AN49+AN50</f>
        <v>51644</v>
      </c>
      <c r="AO45" s="458">
        <f>AO46+AO49+AO50</f>
        <v>54353</v>
      </c>
      <c r="AP45" s="458">
        <f>AP46+AP49+AP50</f>
        <v>54353</v>
      </c>
      <c r="AQ45" s="551">
        <f t="shared" si="12"/>
        <v>0</v>
      </c>
      <c r="AR45" s="621">
        <f>AR46+AR49+AR50</f>
        <v>270967</v>
      </c>
      <c r="AS45" s="458">
        <f>AS46+AS49+AS50</f>
        <v>284638</v>
      </c>
      <c r="AT45" s="458">
        <f>AT46+AT49+AT50</f>
        <v>284638</v>
      </c>
      <c r="AU45" s="551">
        <f t="shared" si="13"/>
        <v>0</v>
      </c>
      <c r="AV45" s="779">
        <f>AV46+AV49+AV50</f>
        <v>0</v>
      </c>
      <c r="AW45" s="621">
        <f>AW46+AW49+AW50</f>
        <v>330379</v>
      </c>
      <c r="AX45" s="458">
        <f>AX46+AX49+AX50</f>
        <v>330855</v>
      </c>
      <c r="AY45" s="458">
        <f>AY46+AY49+AY50</f>
        <v>330855</v>
      </c>
      <c r="AZ45" s="551">
        <f t="shared" si="14"/>
        <v>0</v>
      </c>
      <c r="BA45" s="123"/>
    </row>
    <row r="46" spans="1:55" s="124" customFormat="1" ht="28.5" customHeight="1" x14ac:dyDescent="0.25">
      <c r="A46" s="849" t="s">
        <v>810</v>
      </c>
      <c r="B46" s="621">
        <f>SUM(B47:B48)</f>
        <v>0</v>
      </c>
      <c r="C46" s="458">
        <f>SUM(C47:C48)</f>
        <v>5051</v>
      </c>
      <c r="D46" s="458">
        <f>SUM(D47:D48)</f>
        <v>5051</v>
      </c>
      <c r="E46" s="625">
        <f t="shared" si="3"/>
        <v>0</v>
      </c>
      <c r="F46" s="621">
        <f>SUM(F47:F48)</f>
        <v>0</v>
      </c>
      <c r="G46" s="458">
        <f>SUM(G47:G48)</f>
        <v>4378</v>
      </c>
      <c r="H46" s="458">
        <f>SUM(H47:H48)</f>
        <v>4378</v>
      </c>
      <c r="I46" s="551">
        <f t="shared" si="4"/>
        <v>0</v>
      </c>
      <c r="J46" s="621">
        <f>SUM(J47:J48)</f>
        <v>0</v>
      </c>
      <c r="K46" s="458">
        <f>SUM(K47:K48)</f>
        <v>850</v>
      </c>
      <c r="L46" s="458">
        <f>SUM(L47:L48)</f>
        <v>850</v>
      </c>
      <c r="M46" s="551">
        <f t="shared" si="5"/>
        <v>0</v>
      </c>
      <c r="N46" s="621">
        <f>SUM(N47:N48)</f>
        <v>0</v>
      </c>
      <c r="O46" s="458">
        <f>SUM(O47:O48)</f>
        <v>2407</v>
      </c>
      <c r="P46" s="458">
        <f>SUM(P47:P48)</f>
        <v>2407</v>
      </c>
      <c r="Q46" s="551">
        <f t="shared" si="6"/>
        <v>0</v>
      </c>
      <c r="R46" s="849" t="s">
        <v>810</v>
      </c>
      <c r="S46" s="621">
        <f>SUM(S47:S48)</f>
        <v>0</v>
      </c>
      <c r="T46" s="458">
        <f>SUM(T47:T48)</f>
        <v>1233</v>
      </c>
      <c r="U46" s="458">
        <f>SUM(U47:U48)</f>
        <v>1233</v>
      </c>
      <c r="V46" s="551">
        <f t="shared" si="7"/>
        <v>0</v>
      </c>
      <c r="W46" s="621">
        <f>SUM(W47:W48)</f>
        <v>0</v>
      </c>
      <c r="X46" s="458">
        <f>SUM(X47:X48)</f>
        <v>86</v>
      </c>
      <c r="Y46" s="458">
        <f>SUM(Y47:Y48)</f>
        <v>86</v>
      </c>
      <c r="Z46" s="551">
        <f t="shared" si="8"/>
        <v>0</v>
      </c>
      <c r="AA46" s="621">
        <f>SUM(AA47:AA48)</f>
        <v>0</v>
      </c>
      <c r="AB46" s="458">
        <f>SUM(AB47:AB48)</f>
        <v>14005</v>
      </c>
      <c r="AC46" s="458">
        <f>SUM(AC47:AC48)</f>
        <v>14005</v>
      </c>
      <c r="AD46" s="625">
        <f t="shared" si="9"/>
        <v>0</v>
      </c>
      <c r="AE46" s="621">
        <f>SUM(AE47:AE48)</f>
        <v>0</v>
      </c>
      <c r="AF46" s="458">
        <f>SUM(AF47:AF48)</f>
        <v>4166</v>
      </c>
      <c r="AG46" s="458">
        <f>SUM(AG47:AG48)</f>
        <v>4166</v>
      </c>
      <c r="AH46" s="625">
        <f t="shared" si="10"/>
        <v>0</v>
      </c>
      <c r="AI46" s="862" t="s">
        <v>810</v>
      </c>
      <c r="AJ46" s="621">
        <f>SUM(AJ47:AJ48)</f>
        <v>0</v>
      </c>
      <c r="AK46" s="458">
        <f>SUM(AK47:AK48)</f>
        <v>9380</v>
      </c>
      <c r="AL46" s="458">
        <f>SUM(AL47:AL48)</f>
        <v>9380</v>
      </c>
      <c r="AM46" s="551">
        <f t="shared" si="11"/>
        <v>0</v>
      </c>
      <c r="AN46" s="621">
        <f>SUM(AN47:AN48)</f>
        <v>0</v>
      </c>
      <c r="AO46" s="458">
        <f>SUM(AO47:AO48)</f>
        <v>2725</v>
      </c>
      <c r="AP46" s="458">
        <f>SUM(AP47:AP48)</f>
        <v>2725</v>
      </c>
      <c r="AQ46" s="551">
        <f t="shared" si="12"/>
        <v>0</v>
      </c>
      <c r="AR46" s="621">
        <f>SUM(AR47:AR48)</f>
        <v>0</v>
      </c>
      <c r="AS46" s="458">
        <f>SUM(AS47:AS48)</f>
        <v>30276</v>
      </c>
      <c r="AT46" s="458">
        <f>SUM(AT47:AT48)</f>
        <v>30276</v>
      </c>
      <c r="AU46" s="551">
        <f t="shared" si="13"/>
        <v>0</v>
      </c>
      <c r="AV46" s="877"/>
      <c r="AW46" s="881">
        <f>SUM(AW47:AW48)</f>
        <v>0</v>
      </c>
      <c r="AX46" s="554">
        <f>SUM(AX47:AX48)</f>
        <v>20305</v>
      </c>
      <c r="AY46" s="554">
        <f>SUM(AY47:AY48)</f>
        <v>20305</v>
      </c>
      <c r="AZ46" s="551">
        <f t="shared" si="14"/>
        <v>0</v>
      </c>
    </row>
    <row r="47" spans="1:55" s="126" customFormat="1" ht="24" customHeight="1" x14ac:dyDescent="0.25">
      <c r="A47" s="848" t="s">
        <v>661</v>
      </c>
      <c r="B47" s="622"/>
      <c r="C47" s="557">
        <v>5051</v>
      </c>
      <c r="D47" s="781">
        <v>5051</v>
      </c>
      <c r="E47" s="628">
        <f t="shared" si="3"/>
        <v>0</v>
      </c>
      <c r="F47" s="622"/>
      <c r="G47" s="557">
        <v>4378</v>
      </c>
      <c r="H47" s="557">
        <v>4378</v>
      </c>
      <c r="I47" s="552">
        <f t="shared" si="4"/>
        <v>0</v>
      </c>
      <c r="J47" s="622"/>
      <c r="K47" s="557">
        <v>850</v>
      </c>
      <c r="L47" s="557">
        <v>850</v>
      </c>
      <c r="M47" s="552">
        <f t="shared" si="5"/>
        <v>0</v>
      </c>
      <c r="N47" s="622"/>
      <c r="O47" s="549">
        <v>2407</v>
      </c>
      <c r="P47" s="557">
        <v>2407</v>
      </c>
      <c r="Q47" s="552">
        <f t="shared" si="6"/>
        <v>0</v>
      </c>
      <c r="R47" s="848" t="s">
        <v>661</v>
      </c>
      <c r="S47" s="622"/>
      <c r="T47" s="557">
        <v>1233</v>
      </c>
      <c r="U47" s="557">
        <v>1233</v>
      </c>
      <c r="V47" s="552">
        <f t="shared" si="7"/>
        <v>0</v>
      </c>
      <c r="W47" s="622"/>
      <c r="X47" s="781">
        <v>86</v>
      </c>
      <c r="Y47" s="781">
        <v>86</v>
      </c>
      <c r="Z47" s="552">
        <f t="shared" si="8"/>
        <v>0</v>
      </c>
      <c r="AA47" s="622">
        <f t="shared" ref="AA47:AC49" si="30">B47+F47+J47+N47+S47+W47</f>
        <v>0</v>
      </c>
      <c r="AB47" s="549">
        <f t="shared" si="30"/>
        <v>14005</v>
      </c>
      <c r="AC47" s="549">
        <f t="shared" si="30"/>
        <v>14005</v>
      </c>
      <c r="AD47" s="628">
        <f t="shared" si="9"/>
        <v>0</v>
      </c>
      <c r="AE47" s="622"/>
      <c r="AF47" s="781">
        <v>3635</v>
      </c>
      <c r="AG47" s="781">
        <v>3635</v>
      </c>
      <c r="AH47" s="628">
        <f t="shared" si="10"/>
        <v>0</v>
      </c>
      <c r="AI47" s="861" t="s">
        <v>661</v>
      </c>
      <c r="AJ47" s="622"/>
      <c r="AK47" s="557">
        <v>9106</v>
      </c>
      <c r="AL47" s="557">
        <v>9106</v>
      </c>
      <c r="AM47" s="552">
        <f t="shared" si="11"/>
        <v>0</v>
      </c>
      <c r="AN47" s="622"/>
      <c r="AO47" s="785">
        <v>2525</v>
      </c>
      <c r="AP47" s="785">
        <v>2525</v>
      </c>
      <c r="AQ47" s="552">
        <f t="shared" si="12"/>
        <v>0</v>
      </c>
      <c r="AR47" s="622">
        <f t="shared" ref="AR47:AT49" si="31">+AA47+AE47+AJ47+AN47</f>
        <v>0</v>
      </c>
      <c r="AS47" s="549">
        <f t="shared" si="31"/>
        <v>29271</v>
      </c>
      <c r="AT47" s="549">
        <f t="shared" si="31"/>
        <v>29271</v>
      </c>
      <c r="AU47" s="552">
        <f t="shared" si="13"/>
        <v>0</v>
      </c>
      <c r="AV47" s="876"/>
      <c r="AW47" s="622"/>
      <c r="AX47" s="794">
        <v>20279</v>
      </c>
      <c r="AY47" s="794">
        <v>20279</v>
      </c>
      <c r="AZ47" s="552">
        <f t="shared" si="14"/>
        <v>0</v>
      </c>
    </row>
    <row r="48" spans="1:55" s="126" customFormat="1" ht="24.75" customHeight="1" x14ac:dyDescent="0.25">
      <c r="A48" s="848" t="s">
        <v>811</v>
      </c>
      <c r="B48" s="622"/>
      <c r="C48" s="557"/>
      <c r="D48" s="781"/>
      <c r="E48" s="628">
        <f t="shared" si="3"/>
        <v>0</v>
      </c>
      <c r="F48" s="622"/>
      <c r="G48" s="557"/>
      <c r="H48" s="557"/>
      <c r="I48" s="552">
        <f t="shared" si="4"/>
        <v>0</v>
      </c>
      <c r="J48" s="622"/>
      <c r="K48" s="557"/>
      <c r="L48" s="557"/>
      <c r="M48" s="552">
        <f t="shared" si="5"/>
        <v>0</v>
      </c>
      <c r="N48" s="622"/>
      <c r="O48" s="557"/>
      <c r="P48" s="557"/>
      <c r="Q48" s="552">
        <f t="shared" si="6"/>
        <v>0</v>
      </c>
      <c r="R48" s="848" t="s">
        <v>811</v>
      </c>
      <c r="S48" s="622"/>
      <c r="T48" s="557"/>
      <c r="U48" s="557"/>
      <c r="V48" s="552">
        <f t="shared" si="7"/>
        <v>0</v>
      </c>
      <c r="W48" s="622"/>
      <c r="X48" s="781"/>
      <c r="Y48" s="781"/>
      <c r="Z48" s="552">
        <f t="shared" si="8"/>
        <v>0</v>
      </c>
      <c r="AA48" s="622">
        <f t="shared" si="30"/>
        <v>0</v>
      </c>
      <c r="AB48" s="549">
        <f t="shared" si="30"/>
        <v>0</v>
      </c>
      <c r="AC48" s="549">
        <f t="shared" si="30"/>
        <v>0</v>
      </c>
      <c r="AD48" s="628">
        <f t="shared" si="9"/>
        <v>0</v>
      </c>
      <c r="AE48" s="622"/>
      <c r="AF48" s="781">
        <v>531</v>
      </c>
      <c r="AG48" s="781">
        <v>531</v>
      </c>
      <c r="AH48" s="628">
        <f t="shared" si="10"/>
        <v>0</v>
      </c>
      <c r="AI48" s="861" t="s">
        <v>811</v>
      </c>
      <c r="AJ48" s="622"/>
      <c r="AK48" s="557">
        <v>274</v>
      </c>
      <c r="AL48" s="557">
        <v>274</v>
      </c>
      <c r="AM48" s="552">
        <f t="shared" si="11"/>
        <v>0</v>
      </c>
      <c r="AN48" s="622"/>
      <c r="AO48" s="785">
        <v>200</v>
      </c>
      <c r="AP48" s="785">
        <v>200</v>
      </c>
      <c r="AQ48" s="552">
        <f t="shared" si="12"/>
        <v>0</v>
      </c>
      <c r="AR48" s="622">
        <f t="shared" si="31"/>
        <v>0</v>
      </c>
      <c r="AS48" s="549">
        <f t="shared" si="31"/>
        <v>1005</v>
      </c>
      <c r="AT48" s="549">
        <f t="shared" si="31"/>
        <v>1005</v>
      </c>
      <c r="AU48" s="552">
        <f t="shared" si="13"/>
        <v>0</v>
      </c>
      <c r="AV48" s="876"/>
      <c r="AW48" s="622"/>
      <c r="AX48" s="794">
        <v>26</v>
      </c>
      <c r="AY48" s="794">
        <v>26</v>
      </c>
      <c r="AZ48" s="552">
        <f t="shared" si="14"/>
        <v>0</v>
      </c>
    </row>
    <row r="49" spans="1:228" s="124" customFormat="1" ht="24" customHeight="1" x14ac:dyDescent="0.25">
      <c r="A49" s="849" t="s">
        <v>812</v>
      </c>
      <c r="B49" s="621"/>
      <c r="C49" s="556"/>
      <c r="D49" s="775"/>
      <c r="E49" s="625">
        <f t="shared" si="3"/>
        <v>0</v>
      </c>
      <c r="F49" s="621"/>
      <c r="G49" s="556"/>
      <c r="H49" s="556"/>
      <c r="I49" s="551">
        <f t="shared" si="4"/>
        <v>0</v>
      </c>
      <c r="J49" s="621"/>
      <c r="K49" s="556"/>
      <c r="L49" s="556"/>
      <c r="M49" s="551">
        <f t="shared" si="5"/>
        <v>0</v>
      </c>
      <c r="N49" s="621"/>
      <c r="O49" s="556"/>
      <c r="P49" s="556"/>
      <c r="Q49" s="551">
        <f t="shared" si="6"/>
        <v>0</v>
      </c>
      <c r="R49" s="849" t="s">
        <v>812</v>
      </c>
      <c r="S49" s="621"/>
      <c r="T49" s="556"/>
      <c r="U49" s="556"/>
      <c r="V49" s="551">
        <f t="shared" si="7"/>
        <v>0</v>
      </c>
      <c r="W49" s="621"/>
      <c r="X49" s="775"/>
      <c r="Y49" s="775"/>
      <c r="Z49" s="551">
        <f t="shared" si="8"/>
        <v>0</v>
      </c>
      <c r="AA49" s="621">
        <f t="shared" si="30"/>
        <v>0</v>
      </c>
      <c r="AB49" s="458">
        <f t="shared" si="30"/>
        <v>0</v>
      </c>
      <c r="AC49" s="458">
        <f t="shared" si="30"/>
        <v>0</v>
      </c>
      <c r="AD49" s="625">
        <f t="shared" si="9"/>
        <v>0</v>
      </c>
      <c r="AE49" s="621"/>
      <c r="AF49" s="775"/>
      <c r="AG49" s="775"/>
      <c r="AH49" s="625">
        <f t="shared" si="10"/>
        <v>0</v>
      </c>
      <c r="AI49" s="862" t="s">
        <v>812</v>
      </c>
      <c r="AJ49" s="621"/>
      <c r="AK49" s="556"/>
      <c r="AL49" s="556"/>
      <c r="AM49" s="551">
        <f t="shared" si="11"/>
        <v>0</v>
      </c>
      <c r="AN49" s="621"/>
      <c r="AO49" s="786"/>
      <c r="AP49" s="786"/>
      <c r="AQ49" s="551">
        <f t="shared" si="12"/>
        <v>0</v>
      </c>
      <c r="AR49" s="621">
        <f t="shared" si="31"/>
        <v>0</v>
      </c>
      <c r="AS49" s="458">
        <f t="shared" si="31"/>
        <v>0</v>
      </c>
      <c r="AT49" s="556"/>
      <c r="AU49" s="551">
        <f t="shared" si="13"/>
        <v>0</v>
      </c>
      <c r="AV49" s="877"/>
      <c r="AW49" s="621"/>
      <c r="AX49" s="792"/>
      <c r="AY49" s="792"/>
      <c r="AZ49" s="551">
        <f t="shared" si="14"/>
        <v>0</v>
      </c>
    </row>
    <row r="50" spans="1:228" s="118" customFormat="1" ht="13.8" x14ac:dyDescent="0.25">
      <c r="A50" s="850" t="s">
        <v>838</v>
      </c>
      <c r="B50" s="621">
        <f>SUM(B51:B52)</f>
        <v>46974</v>
      </c>
      <c r="C50" s="458">
        <f>SUM(C51:C52)</f>
        <v>42378</v>
      </c>
      <c r="D50" s="458">
        <f>SUM(D51:D52)</f>
        <v>42378</v>
      </c>
      <c r="E50" s="625">
        <f t="shared" si="3"/>
        <v>0</v>
      </c>
      <c r="F50" s="621">
        <f>SUM(F51:F52)</f>
        <v>40143</v>
      </c>
      <c r="G50" s="458">
        <f>SUM(G51:G52)</f>
        <v>38977</v>
      </c>
      <c r="H50" s="458">
        <f>SUM(H51:H52)</f>
        <v>38977</v>
      </c>
      <c r="I50" s="551">
        <f t="shared" si="4"/>
        <v>0</v>
      </c>
      <c r="J50" s="621">
        <f>SUM(J51:J52)</f>
        <v>4813</v>
      </c>
      <c r="K50" s="458">
        <f>SUM(K51:K52)</f>
        <v>4289</v>
      </c>
      <c r="L50" s="458">
        <f>SUM(L51:L52)</f>
        <v>4289</v>
      </c>
      <c r="M50" s="551">
        <f t="shared" si="5"/>
        <v>0</v>
      </c>
      <c r="N50" s="621">
        <f>SUM(N51:N52)</f>
        <v>37706</v>
      </c>
      <c r="O50" s="458">
        <f>SUM(O51:O52)</f>
        <v>38521</v>
      </c>
      <c r="P50" s="458">
        <f>SUM(P51:P52)</f>
        <v>38521</v>
      </c>
      <c r="Q50" s="551">
        <f t="shared" si="6"/>
        <v>0</v>
      </c>
      <c r="R50" s="850" t="s">
        <v>838</v>
      </c>
      <c r="S50" s="621">
        <f>SUM(S51:S52)</f>
        <v>6565</v>
      </c>
      <c r="T50" s="458">
        <f>SUM(T51:T52)</f>
        <v>5892</v>
      </c>
      <c r="U50" s="458">
        <f>SUM(U51:U52)</f>
        <v>5892</v>
      </c>
      <c r="V50" s="551">
        <f t="shared" si="7"/>
        <v>0</v>
      </c>
      <c r="W50" s="621">
        <f>SUM(W51:W52)</f>
        <v>15482</v>
      </c>
      <c r="X50" s="458">
        <f>SUM(X51:X52)</f>
        <v>9390</v>
      </c>
      <c r="Y50" s="458">
        <f>SUM(Y51:Y52)</f>
        <v>9390</v>
      </c>
      <c r="Z50" s="551">
        <f t="shared" si="8"/>
        <v>0</v>
      </c>
      <c r="AA50" s="621">
        <f>SUM(AA51:AA52)</f>
        <v>151683</v>
      </c>
      <c r="AB50" s="458">
        <f>SUM(AB51:AB52)</f>
        <v>139447</v>
      </c>
      <c r="AC50" s="458">
        <f>SUM(AC51:AC52)</f>
        <v>139447</v>
      </c>
      <c r="AD50" s="625">
        <f t="shared" si="9"/>
        <v>0</v>
      </c>
      <c r="AE50" s="621">
        <f>SUM(AE51:AE52)</f>
        <v>42780</v>
      </c>
      <c r="AF50" s="458">
        <f>SUM(AF51:AF52)</f>
        <v>42389</v>
      </c>
      <c r="AG50" s="458">
        <f>SUM(AG51:AG52)</f>
        <v>42389</v>
      </c>
      <c r="AH50" s="625">
        <f t="shared" si="10"/>
        <v>0</v>
      </c>
      <c r="AI50" s="863" t="s">
        <v>838</v>
      </c>
      <c r="AJ50" s="621">
        <f>SUM(AJ51:AJ52)</f>
        <v>24860</v>
      </c>
      <c r="AK50" s="458">
        <f>SUM(AK51:AK52)</f>
        <v>20898</v>
      </c>
      <c r="AL50" s="458">
        <f>SUM(AL51:AL52)</f>
        <v>20898</v>
      </c>
      <c r="AM50" s="551">
        <f t="shared" si="11"/>
        <v>0</v>
      </c>
      <c r="AN50" s="621">
        <f>SUM(AN51:AN52)</f>
        <v>51644</v>
      </c>
      <c r="AO50" s="458">
        <f>SUM(AO51:AO52)</f>
        <v>51628</v>
      </c>
      <c r="AP50" s="458">
        <f>SUM(AP51:AP52)</f>
        <v>51628</v>
      </c>
      <c r="AQ50" s="551">
        <f t="shared" si="12"/>
        <v>0</v>
      </c>
      <c r="AR50" s="621">
        <f>SUM(AR51:AR52)</f>
        <v>270967</v>
      </c>
      <c r="AS50" s="458">
        <f>SUM(AS51:AS52)</f>
        <v>254362</v>
      </c>
      <c r="AT50" s="458">
        <f>SUM(AT51:AT52)</f>
        <v>254362</v>
      </c>
      <c r="AU50" s="551">
        <f t="shared" si="13"/>
        <v>0</v>
      </c>
      <c r="AV50" s="779">
        <f>SUM(AV51:AV52)</f>
        <v>0</v>
      </c>
      <c r="AW50" s="621">
        <f>SUM(AW51:AW52)</f>
        <v>330379</v>
      </c>
      <c r="AX50" s="458">
        <f>SUM(AX51:AX52)</f>
        <v>310550</v>
      </c>
      <c r="AY50" s="458">
        <f>SUM(AY51:AY52)</f>
        <v>310550</v>
      </c>
      <c r="AZ50" s="551">
        <f t="shared" si="14"/>
        <v>0</v>
      </c>
      <c r="BA50" s="122" t="e">
        <f>#REF!+#REF!</f>
        <v>#REF!</v>
      </c>
      <c r="BB50" s="122"/>
    </row>
    <row r="51" spans="1:228" s="117" customFormat="1" ht="27.75" customHeight="1" x14ac:dyDescent="0.25">
      <c r="A51" s="851" t="s">
        <v>839</v>
      </c>
      <c r="B51" s="622">
        <v>45974</v>
      </c>
      <c r="C51" s="557">
        <v>41362</v>
      </c>
      <c r="D51" s="781">
        <v>41362</v>
      </c>
      <c r="E51" s="628">
        <f t="shared" si="3"/>
        <v>0</v>
      </c>
      <c r="F51" s="622">
        <v>39216</v>
      </c>
      <c r="G51" s="557">
        <v>38179</v>
      </c>
      <c r="H51" s="557">
        <v>38179</v>
      </c>
      <c r="I51" s="552">
        <f t="shared" si="4"/>
        <v>0</v>
      </c>
      <c r="J51" s="622">
        <v>4669</v>
      </c>
      <c r="K51" s="557">
        <v>4145</v>
      </c>
      <c r="L51" s="557">
        <v>4145</v>
      </c>
      <c r="M51" s="552">
        <f t="shared" si="5"/>
        <v>0</v>
      </c>
      <c r="N51" s="622">
        <v>36779</v>
      </c>
      <c r="O51" s="557">
        <v>37594</v>
      </c>
      <c r="P51" s="557">
        <v>37594</v>
      </c>
      <c r="Q51" s="552">
        <f t="shared" si="6"/>
        <v>0</v>
      </c>
      <c r="R51" s="851" t="s">
        <v>839</v>
      </c>
      <c r="S51" s="622">
        <v>6265</v>
      </c>
      <c r="T51" s="557">
        <v>5592</v>
      </c>
      <c r="U51" s="557">
        <v>5592</v>
      </c>
      <c r="V51" s="552">
        <f t="shared" si="7"/>
        <v>0</v>
      </c>
      <c r="W51" s="622">
        <v>15332</v>
      </c>
      <c r="X51" s="781">
        <v>9256</v>
      </c>
      <c r="Y51" s="781">
        <v>9256</v>
      </c>
      <c r="Z51" s="552">
        <f t="shared" si="8"/>
        <v>0</v>
      </c>
      <c r="AA51" s="622">
        <f t="shared" ref="AA51:AC52" si="32">B51+F51+J51+N51+S51+W51</f>
        <v>148235</v>
      </c>
      <c r="AB51" s="549">
        <f t="shared" si="32"/>
        <v>136128</v>
      </c>
      <c r="AC51" s="549">
        <f t="shared" si="32"/>
        <v>136128</v>
      </c>
      <c r="AD51" s="628">
        <f t="shared" si="9"/>
        <v>0</v>
      </c>
      <c r="AE51" s="622">
        <v>39809</v>
      </c>
      <c r="AF51" s="781">
        <v>38753</v>
      </c>
      <c r="AG51" s="781">
        <v>38753</v>
      </c>
      <c r="AH51" s="628">
        <f t="shared" si="10"/>
        <v>0</v>
      </c>
      <c r="AI51" s="864" t="s">
        <v>839</v>
      </c>
      <c r="AJ51" s="622">
        <v>24460</v>
      </c>
      <c r="AK51" s="557">
        <v>20498</v>
      </c>
      <c r="AL51" s="557">
        <v>20498</v>
      </c>
      <c r="AM51" s="552">
        <f t="shared" si="11"/>
        <v>0</v>
      </c>
      <c r="AN51" s="622">
        <v>51444</v>
      </c>
      <c r="AO51" s="785">
        <v>51428</v>
      </c>
      <c r="AP51" s="785">
        <v>51428</v>
      </c>
      <c r="AQ51" s="552">
        <f t="shared" si="12"/>
        <v>0</v>
      </c>
      <c r="AR51" s="622">
        <f t="shared" ref="AR51:AT52" si="33">+AA51+AE51+AJ51+AN51</f>
        <v>263948</v>
      </c>
      <c r="AS51" s="549">
        <f t="shared" si="33"/>
        <v>246807</v>
      </c>
      <c r="AT51" s="549">
        <f t="shared" si="33"/>
        <v>246807</v>
      </c>
      <c r="AU51" s="552">
        <f t="shared" si="13"/>
        <v>0</v>
      </c>
      <c r="AV51" s="874"/>
      <c r="AW51" s="622">
        <v>327679</v>
      </c>
      <c r="AX51" s="795">
        <v>307694</v>
      </c>
      <c r="AY51" s="795">
        <v>307694</v>
      </c>
      <c r="AZ51" s="552">
        <f t="shared" si="14"/>
        <v>0</v>
      </c>
    </row>
    <row r="52" spans="1:228" s="117" customFormat="1" ht="26.4" x14ac:dyDescent="0.25">
      <c r="A52" s="851" t="s">
        <v>840</v>
      </c>
      <c r="B52" s="622">
        <f>800+200</f>
        <v>1000</v>
      </c>
      <c r="C52" s="557">
        <v>1016</v>
      </c>
      <c r="D52" s="781">
        <v>1016</v>
      </c>
      <c r="E52" s="628">
        <f t="shared" si="3"/>
        <v>0</v>
      </c>
      <c r="F52" s="622">
        <f>800+127</f>
        <v>927</v>
      </c>
      <c r="G52" s="557">
        <v>798</v>
      </c>
      <c r="H52" s="557">
        <v>798</v>
      </c>
      <c r="I52" s="552">
        <f t="shared" si="4"/>
        <v>0</v>
      </c>
      <c r="J52" s="622">
        <f>100+44</f>
        <v>144</v>
      </c>
      <c r="K52" s="557">
        <v>144</v>
      </c>
      <c r="L52" s="557">
        <v>144</v>
      </c>
      <c r="M52" s="552">
        <f t="shared" si="5"/>
        <v>0</v>
      </c>
      <c r="N52" s="622">
        <f>800+127</f>
        <v>927</v>
      </c>
      <c r="O52" s="557">
        <v>927</v>
      </c>
      <c r="P52" s="557">
        <v>927</v>
      </c>
      <c r="Q52" s="552">
        <f t="shared" si="6"/>
        <v>0</v>
      </c>
      <c r="R52" s="851" t="s">
        <v>840</v>
      </c>
      <c r="S52" s="622">
        <v>300</v>
      </c>
      <c r="T52" s="557">
        <v>300</v>
      </c>
      <c r="U52" s="557">
        <v>300</v>
      </c>
      <c r="V52" s="552">
        <f t="shared" si="7"/>
        <v>0</v>
      </c>
      <c r="W52" s="622">
        <v>150</v>
      </c>
      <c r="X52" s="781">
        <v>134</v>
      </c>
      <c r="Y52" s="781">
        <v>134</v>
      </c>
      <c r="Z52" s="552">
        <f t="shared" si="8"/>
        <v>0</v>
      </c>
      <c r="AA52" s="622">
        <f t="shared" si="32"/>
        <v>3448</v>
      </c>
      <c r="AB52" s="549">
        <f t="shared" si="32"/>
        <v>3319</v>
      </c>
      <c r="AC52" s="549">
        <f t="shared" si="32"/>
        <v>3319</v>
      </c>
      <c r="AD52" s="628">
        <f t="shared" si="9"/>
        <v>0</v>
      </c>
      <c r="AE52" s="622">
        <f>300+2671</f>
        <v>2971</v>
      </c>
      <c r="AF52" s="781">
        <v>3636</v>
      </c>
      <c r="AG52" s="781">
        <v>3636</v>
      </c>
      <c r="AH52" s="628">
        <f t="shared" si="10"/>
        <v>0</v>
      </c>
      <c r="AI52" s="864" t="s">
        <v>840</v>
      </c>
      <c r="AJ52" s="622">
        <v>400</v>
      </c>
      <c r="AK52" s="557">
        <v>400</v>
      </c>
      <c r="AL52" s="557">
        <v>400</v>
      </c>
      <c r="AM52" s="552">
        <f t="shared" si="11"/>
        <v>0</v>
      </c>
      <c r="AN52" s="622">
        <v>200</v>
      </c>
      <c r="AO52" s="785">
        <v>200</v>
      </c>
      <c r="AP52" s="785">
        <v>200</v>
      </c>
      <c r="AQ52" s="552">
        <f t="shared" si="12"/>
        <v>0</v>
      </c>
      <c r="AR52" s="622">
        <f t="shared" si="33"/>
        <v>7019</v>
      </c>
      <c r="AS52" s="549">
        <f t="shared" si="33"/>
        <v>7555</v>
      </c>
      <c r="AT52" s="549">
        <f t="shared" si="33"/>
        <v>7555</v>
      </c>
      <c r="AU52" s="552">
        <f t="shared" si="13"/>
        <v>0</v>
      </c>
      <c r="AV52" s="874"/>
      <c r="AW52" s="622">
        <f>2000+700</f>
        <v>2700</v>
      </c>
      <c r="AX52" s="795">
        <v>2856</v>
      </c>
      <c r="AY52" s="795">
        <v>2856</v>
      </c>
      <c r="AZ52" s="552">
        <f t="shared" si="14"/>
        <v>0</v>
      </c>
    </row>
    <row r="53" spans="1:228" s="124" customFormat="1" ht="15" customHeight="1" x14ac:dyDescent="0.25">
      <c r="A53" s="850" t="s">
        <v>823</v>
      </c>
      <c r="B53" s="621">
        <f>B45+B44</f>
        <v>71829</v>
      </c>
      <c r="C53" s="458">
        <f>C45+C44</f>
        <v>73084</v>
      </c>
      <c r="D53" s="458">
        <f>D45+D44</f>
        <v>73084</v>
      </c>
      <c r="E53" s="628">
        <f t="shared" si="3"/>
        <v>0</v>
      </c>
      <c r="F53" s="621">
        <f>F45+F44</f>
        <v>63464</v>
      </c>
      <c r="G53" s="458">
        <f>G45+G44</f>
        <v>66987</v>
      </c>
      <c r="H53" s="458">
        <f>H45+H44</f>
        <v>67848</v>
      </c>
      <c r="I53" s="552">
        <f t="shared" si="4"/>
        <v>861</v>
      </c>
      <c r="J53" s="621">
        <f>J45+J44</f>
        <v>5987</v>
      </c>
      <c r="K53" s="458">
        <f>K45+K44</f>
        <v>6313</v>
      </c>
      <c r="L53" s="458">
        <f>L45+L44</f>
        <v>6757</v>
      </c>
      <c r="M53" s="552">
        <f t="shared" si="5"/>
        <v>444</v>
      </c>
      <c r="N53" s="621">
        <f>N45+N44</f>
        <v>49714</v>
      </c>
      <c r="O53" s="458">
        <f>O45+O44</f>
        <v>53779</v>
      </c>
      <c r="P53" s="458">
        <f>P45+P44</f>
        <v>53779</v>
      </c>
      <c r="Q53" s="552">
        <f t="shared" si="6"/>
        <v>0</v>
      </c>
      <c r="R53" s="850" t="s">
        <v>823</v>
      </c>
      <c r="S53" s="621">
        <f>S45+S44</f>
        <v>7667</v>
      </c>
      <c r="T53" s="458">
        <f>T45+T44</f>
        <v>8227</v>
      </c>
      <c r="U53" s="458">
        <f>U45+U44</f>
        <v>8830</v>
      </c>
      <c r="V53" s="552">
        <f t="shared" si="7"/>
        <v>603</v>
      </c>
      <c r="W53" s="621">
        <f>W45+W44</f>
        <v>15482</v>
      </c>
      <c r="X53" s="458">
        <f>X45+X44</f>
        <v>9476</v>
      </c>
      <c r="Y53" s="458">
        <f>Y45+Y44</f>
        <v>9499</v>
      </c>
      <c r="Z53" s="552">
        <f t="shared" si="8"/>
        <v>23</v>
      </c>
      <c r="AA53" s="621">
        <f>AA45+AA44</f>
        <v>214143</v>
      </c>
      <c r="AB53" s="458">
        <f>AB45+AB44</f>
        <v>217866</v>
      </c>
      <c r="AC53" s="458">
        <f>AC45+AC44</f>
        <v>219797</v>
      </c>
      <c r="AD53" s="628">
        <f t="shared" si="9"/>
        <v>1931</v>
      </c>
      <c r="AE53" s="621">
        <f>AE45+AE44</f>
        <v>46370</v>
      </c>
      <c r="AF53" s="458">
        <f>AF45+AF44</f>
        <v>51658</v>
      </c>
      <c r="AG53" s="458">
        <f>AG45+AG44</f>
        <v>51658</v>
      </c>
      <c r="AH53" s="628">
        <f t="shared" si="10"/>
        <v>0</v>
      </c>
      <c r="AI53" s="863" t="s">
        <v>823</v>
      </c>
      <c r="AJ53" s="621">
        <f>AJ45+AJ44</f>
        <v>148120</v>
      </c>
      <c r="AK53" s="458">
        <f>AK45+AK44</f>
        <v>158477</v>
      </c>
      <c r="AL53" s="458">
        <f>AL45+AL44</f>
        <v>158477</v>
      </c>
      <c r="AM53" s="552">
        <f t="shared" si="11"/>
        <v>0</v>
      </c>
      <c r="AN53" s="621">
        <f>AN45+AN44</f>
        <v>52836</v>
      </c>
      <c r="AO53" s="458">
        <f>AO45+AO44</f>
        <v>55936</v>
      </c>
      <c r="AP53" s="458">
        <f>AP45+AP44</f>
        <v>55936</v>
      </c>
      <c r="AQ53" s="552">
        <f t="shared" si="12"/>
        <v>0</v>
      </c>
      <c r="AR53" s="621">
        <f>AR45+AR44</f>
        <v>461469</v>
      </c>
      <c r="AS53" s="458">
        <f>AS45+AS44</f>
        <v>483937</v>
      </c>
      <c r="AT53" s="458">
        <f>AT45+AT44</f>
        <v>485868</v>
      </c>
      <c r="AU53" s="552">
        <f t="shared" si="13"/>
        <v>1931</v>
      </c>
      <c r="AV53" s="779" t="e">
        <f>AV45+AV44</f>
        <v>#VALUE!</v>
      </c>
      <c r="AW53" s="621">
        <f>AW45+AW44</f>
        <v>366555</v>
      </c>
      <c r="AX53" s="458">
        <f>AX45+AX44</f>
        <v>373213</v>
      </c>
      <c r="AY53" s="458">
        <f>AY45+AY44</f>
        <v>373238</v>
      </c>
      <c r="AZ53" s="552">
        <f t="shared" si="14"/>
        <v>25</v>
      </c>
      <c r="BA53" s="123">
        <f>AR50+AR46+AR42+AR40+AR34+AR21+AR15+AR12</f>
        <v>461469</v>
      </c>
      <c r="BB53" s="123"/>
      <c r="BC53" s="123"/>
    </row>
    <row r="54" spans="1:228" s="8" customFormat="1" ht="13.8" x14ac:dyDescent="0.25">
      <c r="A54" s="855" t="s">
        <v>841</v>
      </c>
      <c r="B54" s="621"/>
      <c r="C54" s="776"/>
      <c r="D54" s="784"/>
      <c r="E54" s="625">
        <f t="shared" si="3"/>
        <v>0</v>
      </c>
      <c r="F54" s="621"/>
      <c r="G54" s="776"/>
      <c r="H54" s="776"/>
      <c r="I54" s="551">
        <f t="shared" si="4"/>
        <v>0</v>
      </c>
      <c r="J54" s="621"/>
      <c r="K54" s="776"/>
      <c r="L54" s="776"/>
      <c r="M54" s="551">
        <f t="shared" si="5"/>
        <v>0</v>
      </c>
      <c r="N54" s="621"/>
      <c r="O54" s="776"/>
      <c r="P54" s="776"/>
      <c r="Q54" s="551">
        <f t="shared" si="6"/>
        <v>0</v>
      </c>
      <c r="R54" s="855" t="s">
        <v>841</v>
      </c>
      <c r="S54" s="621"/>
      <c r="T54" s="776"/>
      <c r="U54" s="776"/>
      <c r="V54" s="551">
        <f t="shared" si="7"/>
        <v>0</v>
      </c>
      <c r="W54" s="621"/>
      <c r="X54" s="775"/>
      <c r="Y54" s="775"/>
      <c r="Z54" s="551">
        <f t="shared" si="8"/>
        <v>0</v>
      </c>
      <c r="AA54" s="621"/>
      <c r="AB54" s="775"/>
      <c r="AC54" s="775"/>
      <c r="AD54" s="625">
        <f t="shared" si="9"/>
        <v>0</v>
      </c>
      <c r="AE54" s="621"/>
      <c r="AF54" s="784"/>
      <c r="AG54" s="784"/>
      <c r="AH54" s="625">
        <f t="shared" si="10"/>
        <v>0</v>
      </c>
      <c r="AI54" s="867" t="s">
        <v>841</v>
      </c>
      <c r="AJ54" s="621"/>
      <c r="AK54" s="776"/>
      <c r="AL54" s="776"/>
      <c r="AM54" s="551">
        <f t="shared" si="11"/>
        <v>0</v>
      </c>
      <c r="AN54" s="621"/>
      <c r="AO54" s="788"/>
      <c r="AP54" s="788"/>
      <c r="AQ54" s="551">
        <f t="shared" si="12"/>
        <v>0</v>
      </c>
      <c r="AR54" s="621">
        <f t="shared" ref="AR54:AR62" si="34">+AA54+AE54+AJ54+AN54</f>
        <v>0</v>
      </c>
      <c r="AS54" s="458">
        <f t="shared" ref="AS54:AT62" si="35">+AB54+AF54+AK54+AO54</f>
        <v>0</v>
      </c>
      <c r="AT54" s="556"/>
      <c r="AU54" s="551">
        <f t="shared" si="13"/>
        <v>0</v>
      </c>
      <c r="AV54" s="878"/>
      <c r="AW54" s="621"/>
      <c r="AX54" s="776"/>
      <c r="AY54" s="776"/>
      <c r="AZ54" s="551">
        <f t="shared" si="14"/>
        <v>0</v>
      </c>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c r="CA54" s="136"/>
      <c r="CB54" s="136"/>
      <c r="CC54" s="136"/>
      <c r="CD54" s="136"/>
      <c r="CE54" s="136"/>
      <c r="CF54" s="136"/>
      <c r="CG54" s="136"/>
      <c r="CH54" s="136"/>
      <c r="CI54" s="136"/>
      <c r="CJ54" s="136"/>
      <c r="CK54" s="136"/>
      <c r="CL54" s="136"/>
      <c r="CM54" s="136"/>
      <c r="CN54" s="136"/>
      <c r="CO54" s="136"/>
      <c r="CP54" s="136"/>
      <c r="CQ54" s="136"/>
      <c r="CR54" s="136"/>
      <c r="CS54" s="136"/>
      <c r="CT54" s="136"/>
      <c r="CU54" s="136"/>
      <c r="CV54" s="136"/>
      <c r="CW54" s="136"/>
      <c r="CX54" s="136"/>
      <c r="CY54" s="136"/>
      <c r="CZ54" s="136"/>
      <c r="DA54" s="136"/>
      <c r="DB54" s="136"/>
      <c r="DC54" s="136"/>
      <c r="DD54" s="136"/>
      <c r="DE54" s="136"/>
      <c r="DF54" s="136"/>
      <c r="DG54" s="136"/>
      <c r="DH54" s="136"/>
      <c r="DI54" s="136"/>
      <c r="DJ54" s="136"/>
      <c r="DK54" s="136"/>
      <c r="DL54" s="136"/>
      <c r="DM54" s="136"/>
      <c r="DN54" s="136"/>
      <c r="DO54" s="136"/>
      <c r="DP54" s="136"/>
      <c r="DQ54" s="136"/>
      <c r="DR54" s="136"/>
      <c r="DS54" s="136"/>
      <c r="DT54" s="136"/>
      <c r="DU54" s="136"/>
      <c r="DV54" s="136"/>
      <c r="DW54" s="136"/>
      <c r="DX54" s="136"/>
      <c r="DY54" s="136"/>
      <c r="DZ54" s="136"/>
      <c r="EA54" s="136"/>
      <c r="EB54" s="136"/>
      <c r="EC54" s="136"/>
      <c r="ED54" s="136"/>
      <c r="EE54" s="136"/>
      <c r="EF54" s="136"/>
      <c r="EG54" s="136"/>
      <c r="EH54" s="136"/>
      <c r="EI54" s="136"/>
      <c r="EJ54" s="136"/>
      <c r="EK54" s="136"/>
      <c r="EL54" s="136"/>
      <c r="EM54" s="136"/>
      <c r="EN54" s="136"/>
      <c r="EO54" s="136"/>
      <c r="EP54" s="136"/>
      <c r="EQ54" s="136"/>
      <c r="ER54" s="136"/>
      <c r="ES54" s="136"/>
      <c r="ET54" s="136"/>
      <c r="EU54" s="136"/>
      <c r="EV54" s="136"/>
      <c r="EW54" s="136"/>
      <c r="EX54" s="136"/>
      <c r="EY54" s="136"/>
      <c r="EZ54" s="136"/>
      <c r="FA54" s="136"/>
      <c r="FB54" s="136"/>
      <c r="FC54" s="136"/>
      <c r="FD54" s="136"/>
      <c r="FE54" s="136"/>
      <c r="FF54" s="136"/>
      <c r="FG54" s="136"/>
      <c r="FH54" s="136"/>
      <c r="FI54" s="136"/>
      <c r="FJ54" s="136"/>
      <c r="FK54" s="136"/>
      <c r="FL54" s="136"/>
      <c r="FM54" s="136"/>
      <c r="FN54" s="136"/>
      <c r="FO54" s="136"/>
      <c r="FP54" s="136"/>
      <c r="FQ54" s="136"/>
      <c r="FR54" s="136"/>
      <c r="FS54" s="136"/>
      <c r="FT54" s="136"/>
      <c r="FU54" s="136"/>
      <c r="FV54" s="136"/>
      <c r="FW54" s="136"/>
      <c r="FX54" s="136"/>
      <c r="FY54" s="136"/>
      <c r="FZ54" s="136"/>
      <c r="GA54" s="136"/>
      <c r="GB54" s="136"/>
      <c r="GC54" s="136"/>
      <c r="GD54" s="136"/>
      <c r="GE54" s="136"/>
      <c r="GF54" s="136"/>
      <c r="GG54" s="136"/>
      <c r="GH54" s="136"/>
      <c r="GI54" s="136"/>
      <c r="GJ54" s="136"/>
      <c r="GK54" s="136"/>
      <c r="GL54" s="136"/>
      <c r="GM54" s="136"/>
      <c r="GN54" s="136"/>
      <c r="GO54" s="136"/>
      <c r="GP54" s="136"/>
      <c r="GQ54" s="136"/>
      <c r="GR54" s="136"/>
      <c r="GS54" s="136"/>
      <c r="GT54" s="136"/>
      <c r="GU54" s="136"/>
      <c r="GV54" s="136"/>
      <c r="GW54" s="136"/>
      <c r="GX54" s="136"/>
      <c r="GY54" s="136"/>
      <c r="GZ54" s="136"/>
      <c r="HA54" s="136"/>
      <c r="HB54" s="136"/>
      <c r="HC54" s="136"/>
      <c r="HD54" s="136"/>
      <c r="HE54" s="136"/>
      <c r="HF54" s="136"/>
      <c r="HG54" s="136"/>
      <c r="HH54" s="136"/>
      <c r="HI54" s="136"/>
      <c r="HJ54" s="136"/>
      <c r="HK54" s="136"/>
      <c r="HL54" s="136"/>
      <c r="HM54" s="136"/>
      <c r="HN54" s="136"/>
      <c r="HO54" s="136"/>
      <c r="HP54" s="136"/>
      <c r="HQ54" s="136"/>
      <c r="HR54" s="136"/>
      <c r="HS54" s="136"/>
      <c r="HT54" s="136"/>
    </row>
    <row r="55" spans="1:228" ht="13.8" x14ac:dyDescent="0.25">
      <c r="A55" s="856" t="s">
        <v>842</v>
      </c>
      <c r="B55" s="623">
        <v>7</v>
      </c>
      <c r="C55" s="777">
        <v>7</v>
      </c>
      <c r="D55" s="782">
        <v>7</v>
      </c>
      <c r="E55" s="628">
        <f t="shared" si="3"/>
        <v>0</v>
      </c>
      <c r="F55" s="623">
        <v>7</v>
      </c>
      <c r="G55" s="777">
        <v>8</v>
      </c>
      <c r="H55" s="777">
        <v>8</v>
      </c>
      <c r="I55" s="552">
        <f t="shared" si="4"/>
        <v>0</v>
      </c>
      <c r="J55" s="623">
        <v>0.5</v>
      </c>
      <c r="K55" s="777">
        <v>0.5</v>
      </c>
      <c r="L55" s="777">
        <v>0.5</v>
      </c>
      <c r="M55" s="552">
        <f t="shared" si="5"/>
        <v>0</v>
      </c>
      <c r="N55" s="623">
        <v>4.5</v>
      </c>
      <c r="O55" s="777">
        <v>4.5</v>
      </c>
      <c r="P55" s="777">
        <v>4.5</v>
      </c>
      <c r="Q55" s="552">
        <f t="shared" si="6"/>
        <v>0</v>
      </c>
      <c r="R55" s="856" t="s">
        <v>842</v>
      </c>
      <c r="S55" s="623">
        <v>1</v>
      </c>
      <c r="T55" s="777">
        <v>1</v>
      </c>
      <c r="U55" s="777">
        <v>1</v>
      </c>
      <c r="V55" s="552">
        <f t="shared" si="7"/>
        <v>0</v>
      </c>
      <c r="W55" s="623">
        <v>1</v>
      </c>
      <c r="X55" s="782">
        <v>0</v>
      </c>
      <c r="Y55" s="782">
        <v>0</v>
      </c>
      <c r="Z55" s="552">
        <f t="shared" si="8"/>
        <v>0</v>
      </c>
      <c r="AA55" s="623">
        <f t="shared" ref="AA55:AC58" si="36">B55+F55+J55+N55+S55+W55</f>
        <v>21</v>
      </c>
      <c r="AB55" s="623">
        <f t="shared" si="36"/>
        <v>21</v>
      </c>
      <c r="AC55" s="623">
        <f t="shared" si="36"/>
        <v>21</v>
      </c>
      <c r="AD55" s="628">
        <f t="shared" si="9"/>
        <v>0</v>
      </c>
      <c r="AE55" s="623">
        <v>1.5</v>
      </c>
      <c r="AF55" s="782">
        <v>1.5</v>
      </c>
      <c r="AG55" s="782">
        <v>1.5</v>
      </c>
      <c r="AH55" s="628">
        <f t="shared" si="10"/>
        <v>0</v>
      </c>
      <c r="AI55" s="868" t="s">
        <v>842</v>
      </c>
      <c r="AJ55" s="623">
        <v>12</v>
      </c>
      <c r="AK55" s="777">
        <v>12</v>
      </c>
      <c r="AL55" s="777">
        <v>12</v>
      </c>
      <c r="AM55" s="552">
        <f t="shared" si="11"/>
        <v>0</v>
      </c>
      <c r="AN55" s="623">
        <v>5</v>
      </c>
      <c r="AO55" s="789">
        <v>5</v>
      </c>
      <c r="AP55" s="789">
        <v>5</v>
      </c>
      <c r="AQ55" s="552">
        <f t="shared" si="12"/>
        <v>0</v>
      </c>
      <c r="AR55" s="623">
        <f t="shared" si="34"/>
        <v>39.5</v>
      </c>
      <c r="AS55" s="550">
        <f t="shared" si="35"/>
        <v>39.5</v>
      </c>
      <c r="AT55" s="550">
        <f t="shared" si="35"/>
        <v>39.5</v>
      </c>
      <c r="AU55" s="552">
        <f t="shared" si="13"/>
        <v>0</v>
      </c>
      <c r="AV55" s="780" t="e">
        <f>#REF!+#REF!+#REF!+A55+#REF!+AE55+AI55+AJ55+AN55+AR55</f>
        <v>#REF!</v>
      </c>
      <c r="AW55" s="623">
        <v>5</v>
      </c>
      <c r="AX55" s="777">
        <v>5</v>
      </c>
      <c r="AY55" s="777">
        <v>5</v>
      </c>
      <c r="AZ55" s="552">
        <f t="shared" si="14"/>
        <v>0</v>
      </c>
    </row>
    <row r="56" spans="1:228" ht="13.8" x14ac:dyDescent="0.25">
      <c r="A56" s="856" t="s">
        <v>843</v>
      </c>
      <c r="B56" s="623"/>
      <c r="C56" s="777"/>
      <c r="D56" s="782"/>
      <c r="E56" s="628">
        <f t="shared" si="3"/>
        <v>0</v>
      </c>
      <c r="F56" s="623"/>
      <c r="G56" s="777"/>
      <c r="H56" s="777"/>
      <c r="I56" s="552">
        <f t="shared" si="4"/>
        <v>0</v>
      </c>
      <c r="J56" s="623"/>
      <c r="K56" s="777"/>
      <c r="L56" s="777"/>
      <c r="M56" s="552">
        <f t="shared" si="5"/>
        <v>0</v>
      </c>
      <c r="N56" s="623"/>
      <c r="O56" s="777"/>
      <c r="P56" s="777"/>
      <c r="Q56" s="552">
        <f t="shared" si="6"/>
        <v>0</v>
      </c>
      <c r="R56" s="856" t="s">
        <v>843</v>
      </c>
      <c r="S56" s="623"/>
      <c r="T56" s="777"/>
      <c r="U56" s="777"/>
      <c r="V56" s="552">
        <f t="shared" si="7"/>
        <v>0</v>
      </c>
      <c r="W56" s="623">
        <v>2</v>
      </c>
      <c r="X56" s="782">
        <v>1</v>
      </c>
      <c r="Y56" s="782">
        <v>1</v>
      </c>
      <c r="Z56" s="552">
        <f t="shared" si="8"/>
        <v>0</v>
      </c>
      <c r="AA56" s="623">
        <f t="shared" si="36"/>
        <v>2</v>
      </c>
      <c r="AB56" s="623">
        <f t="shared" si="36"/>
        <v>1</v>
      </c>
      <c r="AC56" s="623">
        <f t="shared" si="36"/>
        <v>1</v>
      </c>
      <c r="AD56" s="628">
        <f t="shared" si="9"/>
        <v>0</v>
      </c>
      <c r="AE56" s="623">
        <v>9.5</v>
      </c>
      <c r="AF56" s="782">
        <v>9.5</v>
      </c>
      <c r="AG56" s="782">
        <v>9.5</v>
      </c>
      <c r="AH56" s="628">
        <f t="shared" si="10"/>
        <v>0</v>
      </c>
      <c r="AI56" s="868" t="s">
        <v>843</v>
      </c>
      <c r="AJ56" s="623">
        <v>18</v>
      </c>
      <c r="AK56" s="777">
        <v>18</v>
      </c>
      <c r="AL56" s="777">
        <v>18</v>
      </c>
      <c r="AM56" s="552">
        <f t="shared" si="11"/>
        <v>0</v>
      </c>
      <c r="AN56" s="623">
        <v>9</v>
      </c>
      <c r="AO56" s="789">
        <v>9</v>
      </c>
      <c r="AP56" s="789">
        <v>9</v>
      </c>
      <c r="AQ56" s="552">
        <f t="shared" si="12"/>
        <v>0</v>
      </c>
      <c r="AR56" s="623">
        <f t="shared" si="34"/>
        <v>38.5</v>
      </c>
      <c r="AS56" s="550">
        <f t="shared" si="35"/>
        <v>37.5</v>
      </c>
      <c r="AT56" s="550">
        <f t="shared" si="35"/>
        <v>37.5</v>
      </c>
      <c r="AU56" s="552">
        <f t="shared" si="13"/>
        <v>0</v>
      </c>
      <c r="AV56" s="780" t="e">
        <f>#REF!+#REF!+#REF!+A56+#REF!+AE56+AI56+AJ56+AN56+AR56</f>
        <v>#REF!</v>
      </c>
      <c r="AW56" s="623">
        <v>66</v>
      </c>
      <c r="AX56" s="777">
        <v>66</v>
      </c>
      <c r="AY56" s="777">
        <v>66</v>
      </c>
      <c r="AZ56" s="552">
        <f t="shared" si="14"/>
        <v>0</v>
      </c>
    </row>
    <row r="57" spans="1:228" ht="13.8" x14ac:dyDescent="0.25">
      <c r="A57" s="856" t="s">
        <v>844</v>
      </c>
      <c r="B57" s="623"/>
      <c r="C57" s="777"/>
      <c r="D57" s="782"/>
      <c r="E57" s="628">
        <f t="shared" si="3"/>
        <v>0</v>
      </c>
      <c r="F57" s="623"/>
      <c r="G57" s="777"/>
      <c r="H57" s="777"/>
      <c r="I57" s="552">
        <f t="shared" si="4"/>
        <v>0</v>
      </c>
      <c r="J57" s="623"/>
      <c r="K57" s="777"/>
      <c r="L57" s="777"/>
      <c r="M57" s="552">
        <f t="shared" si="5"/>
        <v>0</v>
      </c>
      <c r="N57" s="623"/>
      <c r="O57" s="777"/>
      <c r="P57" s="777"/>
      <c r="Q57" s="552">
        <f t="shared" si="6"/>
        <v>0</v>
      </c>
      <c r="R57" s="856" t="s">
        <v>844</v>
      </c>
      <c r="S57" s="623"/>
      <c r="T57" s="777"/>
      <c r="U57" s="777"/>
      <c r="V57" s="552">
        <f t="shared" si="7"/>
        <v>0</v>
      </c>
      <c r="W57" s="623"/>
      <c r="X57" s="782"/>
      <c r="Y57" s="782"/>
      <c r="Z57" s="552">
        <f t="shared" si="8"/>
        <v>0</v>
      </c>
      <c r="AA57" s="623">
        <f t="shared" si="36"/>
        <v>0</v>
      </c>
      <c r="AB57" s="623">
        <f t="shared" si="36"/>
        <v>0</v>
      </c>
      <c r="AC57" s="623">
        <f t="shared" si="36"/>
        <v>0</v>
      </c>
      <c r="AD57" s="628">
        <f t="shared" si="9"/>
        <v>0</v>
      </c>
      <c r="AE57" s="623"/>
      <c r="AF57" s="782"/>
      <c r="AG57" s="782"/>
      <c r="AH57" s="628">
        <f t="shared" si="10"/>
        <v>0</v>
      </c>
      <c r="AI57" s="868" t="s">
        <v>844</v>
      </c>
      <c r="AJ57" s="623">
        <v>1</v>
      </c>
      <c r="AK57" s="777">
        <v>1</v>
      </c>
      <c r="AL57" s="777">
        <v>1</v>
      </c>
      <c r="AM57" s="552">
        <f t="shared" si="11"/>
        <v>0</v>
      </c>
      <c r="AN57" s="623"/>
      <c r="AO57" s="789"/>
      <c r="AP57" s="789"/>
      <c r="AQ57" s="552">
        <f t="shared" si="12"/>
        <v>0</v>
      </c>
      <c r="AR57" s="623">
        <f t="shared" si="34"/>
        <v>1</v>
      </c>
      <c r="AS57" s="550">
        <f t="shared" si="35"/>
        <v>1</v>
      </c>
      <c r="AT57" s="550">
        <f t="shared" si="35"/>
        <v>1</v>
      </c>
      <c r="AU57" s="552">
        <f t="shared" si="13"/>
        <v>0</v>
      </c>
      <c r="AV57" s="780" t="e">
        <f>#REF!+#REF!+#REF!+A57+#REF!+AE57+AI57+AJ57+AN57+AR57</f>
        <v>#REF!</v>
      </c>
      <c r="AW57" s="623">
        <v>2.33</v>
      </c>
      <c r="AX57" s="777">
        <v>2.33</v>
      </c>
      <c r="AY57" s="777">
        <v>2.33</v>
      </c>
      <c r="AZ57" s="552">
        <f t="shared" si="14"/>
        <v>0</v>
      </c>
    </row>
    <row r="58" spans="1:228" ht="13.8" x14ac:dyDescent="0.25">
      <c r="A58" s="856" t="s">
        <v>845</v>
      </c>
      <c r="B58" s="623">
        <v>2</v>
      </c>
      <c r="C58" s="777">
        <v>2</v>
      </c>
      <c r="D58" s="782">
        <v>2</v>
      </c>
      <c r="E58" s="628">
        <f t="shared" si="3"/>
        <v>0</v>
      </c>
      <c r="F58" s="623">
        <v>1</v>
      </c>
      <c r="G58" s="777">
        <v>1</v>
      </c>
      <c r="H58" s="777">
        <v>1</v>
      </c>
      <c r="I58" s="552">
        <f t="shared" si="4"/>
        <v>0</v>
      </c>
      <c r="J58" s="623"/>
      <c r="K58" s="777"/>
      <c r="L58" s="777"/>
      <c r="M58" s="552">
        <f t="shared" si="5"/>
        <v>0</v>
      </c>
      <c r="N58" s="623">
        <v>2</v>
      </c>
      <c r="O58" s="777">
        <v>2</v>
      </c>
      <c r="P58" s="777">
        <v>2</v>
      </c>
      <c r="Q58" s="552">
        <f t="shared" si="6"/>
        <v>0</v>
      </c>
      <c r="R58" s="856" t="s">
        <v>845</v>
      </c>
      <c r="S58" s="623">
        <v>1</v>
      </c>
      <c r="T58" s="777">
        <v>1</v>
      </c>
      <c r="U58" s="777">
        <v>1</v>
      </c>
      <c r="V58" s="552">
        <f t="shared" si="7"/>
        <v>0</v>
      </c>
      <c r="W58" s="623"/>
      <c r="X58" s="782"/>
      <c r="Y58" s="782"/>
      <c r="Z58" s="552">
        <f t="shared" si="8"/>
        <v>0</v>
      </c>
      <c r="AA58" s="623">
        <f t="shared" si="36"/>
        <v>6</v>
      </c>
      <c r="AB58" s="623">
        <f t="shared" si="36"/>
        <v>6</v>
      </c>
      <c r="AC58" s="623">
        <f t="shared" si="36"/>
        <v>6</v>
      </c>
      <c r="AD58" s="628">
        <f t="shared" si="9"/>
        <v>0</v>
      </c>
      <c r="AE58" s="623">
        <v>1</v>
      </c>
      <c r="AF58" s="782">
        <v>1</v>
      </c>
      <c r="AG58" s="782">
        <v>1</v>
      </c>
      <c r="AH58" s="628">
        <f t="shared" si="10"/>
        <v>0</v>
      </c>
      <c r="AI58" s="868" t="s">
        <v>845</v>
      </c>
      <c r="AJ58" s="623">
        <v>2</v>
      </c>
      <c r="AK58" s="777">
        <v>2</v>
      </c>
      <c r="AL58" s="777">
        <v>2</v>
      </c>
      <c r="AM58" s="552">
        <f t="shared" si="11"/>
        <v>0</v>
      </c>
      <c r="AN58" s="623">
        <v>1</v>
      </c>
      <c r="AO58" s="789">
        <v>1</v>
      </c>
      <c r="AP58" s="789">
        <v>1</v>
      </c>
      <c r="AQ58" s="552">
        <f t="shared" si="12"/>
        <v>0</v>
      </c>
      <c r="AR58" s="623">
        <f t="shared" si="34"/>
        <v>10</v>
      </c>
      <c r="AS58" s="550">
        <f t="shared" si="35"/>
        <v>10</v>
      </c>
      <c r="AT58" s="550">
        <f t="shared" si="35"/>
        <v>10</v>
      </c>
      <c r="AU58" s="552">
        <f t="shared" si="13"/>
        <v>0</v>
      </c>
      <c r="AV58" s="780" t="e">
        <f>#REF!+#REF!+#REF!+A58+#REF!+AE58+AI58+AJ58+AN58+AR58</f>
        <v>#REF!</v>
      </c>
      <c r="AW58" s="623"/>
      <c r="AX58" s="777"/>
      <c r="AY58" s="777"/>
      <c r="AZ58" s="552">
        <f t="shared" si="14"/>
        <v>0</v>
      </c>
    </row>
    <row r="59" spans="1:228" ht="13.8" x14ac:dyDescent="0.25">
      <c r="A59" s="856" t="s">
        <v>846</v>
      </c>
      <c r="B59" s="623">
        <f>SUM(B55:B58)</f>
        <v>9</v>
      </c>
      <c r="C59" s="623">
        <f>SUM(C55:C58)</f>
        <v>9</v>
      </c>
      <c r="D59" s="623">
        <f>SUM(D55:D58)</f>
        <v>9</v>
      </c>
      <c r="E59" s="628">
        <f t="shared" si="3"/>
        <v>0</v>
      </c>
      <c r="F59" s="884">
        <f>SUM(F55:F58)</f>
        <v>8</v>
      </c>
      <c r="G59" s="550">
        <f>SUM(G55:G58)</f>
        <v>9</v>
      </c>
      <c r="H59" s="550">
        <f>SUM(H55:H58)</f>
        <v>9</v>
      </c>
      <c r="I59" s="552">
        <f t="shared" si="4"/>
        <v>0</v>
      </c>
      <c r="J59" s="884">
        <f>SUM(J55:J58)</f>
        <v>0.5</v>
      </c>
      <c r="K59" s="550">
        <f>SUM(K55:K58)</f>
        <v>0.5</v>
      </c>
      <c r="L59" s="777">
        <v>0.5</v>
      </c>
      <c r="M59" s="552">
        <f t="shared" si="5"/>
        <v>0</v>
      </c>
      <c r="N59" s="884">
        <f>SUM(N55:N58)</f>
        <v>6.5</v>
      </c>
      <c r="O59" s="550">
        <f>SUM(O55:O58)</f>
        <v>6.5</v>
      </c>
      <c r="P59" s="777">
        <v>6.5</v>
      </c>
      <c r="Q59" s="552">
        <f t="shared" si="6"/>
        <v>0</v>
      </c>
      <c r="R59" s="856" t="s">
        <v>846</v>
      </c>
      <c r="S59" s="623">
        <f>SUM(S55:S58)</f>
        <v>2</v>
      </c>
      <c r="T59" s="550">
        <f>SUM(T55:T58)</f>
        <v>2</v>
      </c>
      <c r="U59" s="550">
        <f>SUM(U55:U58)</f>
        <v>2</v>
      </c>
      <c r="V59" s="552">
        <f t="shared" si="7"/>
        <v>0</v>
      </c>
      <c r="W59" s="623">
        <f>SUM(W55:W58)</f>
        <v>3</v>
      </c>
      <c r="X59" s="550">
        <f>SUM(X55:X58)</f>
        <v>1</v>
      </c>
      <c r="Y59" s="550">
        <f>SUM(Y55:Y58)</f>
        <v>1</v>
      </c>
      <c r="Z59" s="552">
        <f t="shared" si="8"/>
        <v>0</v>
      </c>
      <c r="AA59" s="623">
        <f>SUM(AA55:AA58)</f>
        <v>29</v>
      </c>
      <c r="AB59" s="550">
        <f>SUM(AB55:AB58)</f>
        <v>28</v>
      </c>
      <c r="AC59" s="550">
        <f>SUM(AC55:AC58)</f>
        <v>28</v>
      </c>
      <c r="AD59" s="628">
        <f t="shared" si="9"/>
        <v>0</v>
      </c>
      <c r="AE59" s="623">
        <f>SUM(AE55:AE58)</f>
        <v>12</v>
      </c>
      <c r="AF59" s="623">
        <f>SUM(AF55:AF58)</f>
        <v>12</v>
      </c>
      <c r="AG59" s="1216">
        <v>12</v>
      </c>
      <c r="AH59" s="628">
        <f t="shared" si="10"/>
        <v>0</v>
      </c>
      <c r="AI59" s="868" t="s">
        <v>846</v>
      </c>
      <c r="AJ59" s="623">
        <f>SUM(AJ55:AJ58)</f>
        <v>33</v>
      </c>
      <c r="AK59" s="550">
        <f>SUM(AK55:AK58)</f>
        <v>33</v>
      </c>
      <c r="AL59" s="550">
        <f>SUM(AL55:AL58)</f>
        <v>33</v>
      </c>
      <c r="AM59" s="552">
        <f t="shared" si="11"/>
        <v>0</v>
      </c>
      <c r="AN59" s="871">
        <f>SUM(AN55:AN58)</f>
        <v>15</v>
      </c>
      <c r="AO59" s="555">
        <f>SUM(AO55:AO58)</f>
        <v>15</v>
      </c>
      <c r="AP59" s="555">
        <f>SUM(AP55:AP58)</f>
        <v>15</v>
      </c>
      <c r="AQ59" s="552">
        <f t="shared" si="12"/>
        <v>0</v>
      </c>
      <c r="AR59" s="623">
        <f t="shared" si="34"/>
        <v>89</v>
      </c>
      <c r="AS59" s="550">
        <f t="shared" si="35"/>
        <v>88</v>
      </c>
      <c r="AT59" s="550">
        <f t="shared" si="35"/>
        <v>88</v>
      </c>
      <c r="AU59" s="552">
        <f t="shared" si="13"/>
        <v>0</v>
      </c>
      <c r="AV59" s="780" t="e">
        <f>#REF!+#REF!+#REF!+A59+#REF!+AE59+AI59+AJ59+AN59+AR59</f>
        <v>#REF!</v>
      </c>
      <c r="AW59" s="623">
        <f>SUM(AW55:AW58)</f>
        <v>73.33</v>
      </c>
      <c r="AX59" s="550">
        <f>SUM(AX55:AX58)</f>
        <v>73.33</v>
      </c>
      <c r="AY59" s="550">
        <f>SUM(AY55:AY58)</f>
        <v>73.33</v>
      </c>
      <c r="AZ59" s="552">
        <f t="shared" si="14"/>
        <v>0</v>
      </c>
    </row>
    <row r="60" spans="1:228" ht="13.8" x14ac:dyDescent="0.25">
      <c r="A60" s="856" t="s">
        <v>336</v>
      </c>
      <c r="B60" s="622"/>
      <c r="C60" s="777"/>
      <c r="D60" s="782"/>
      <c r="E60" s="628">
        <f t="shared" si="3"/>
        <v>0</v>
      </c>
      <c r="F60" s="622"/>
      <c r="G60" s="777"/>
      <c r="H60" s="777"/>
      <c r="I60" s="552">
        <f t="shared" si="4"/>
        <v>0</v>
      </c>
      <c r="J60" s="622"/>
      <c r="K60" s="777"/>
      <c r="L60" s="777"/>
      <c r="M60" s="552">
        <f t="shared" si="5"/>
        <v>0</v>
      </c>
      <c r="N60" s="622"/>
      <c r="O60" s="777"/>
      <c r="P60" s="777"/>
      <c r="Q60" s="552">
        <f t="shared" si="6"/>
        <v>0</v>
      </c>
      <c r="R60" s="856" t="s">
        <v>847</v>
      </c>
      <c r="S60" s="622"/>
      <c r="T60" s="777"/>
      <c r="U60" s="777"/>
      <c r="V60" s="552">
        <f t="shared" si="7"/>
        <v>0</v>
      </c>
      <c r="W60" s="622"/>
      <c r="X60" s="777"/>
      <c r="Y60" s="777"/>
      <c r="Z60" s="552">
        <f t="shared" si="8"/>
        <v>0</v>
      </c>
      <c r="AA60" s="622"/>
      <c r="AB60" s="777"/>
      <c r="AC60" s="782"/>
      <c r="AD60" s="628">
        <f t="shared" si="9"/>
        <v>0</v>
      </c>
      <c r="AE60" s="622"/>
      <c r="AF60" s="777"/>
      <c r="AG60" s="782"/>
      <c r="AH60" s="628">
        <f t="shared" si="10"/>
        <v>0</v>
      </c>
      <c r="AI60" s="868" t="s">
        <v>847</v>
      </c>
      <c r="AJ60" s="622"/>
      <c r="AK60" s="777"/>
      <c r="AL60" s="777"/>
      <c r="AM60" s="552">
        <f t="shared" si="11"/>
        <v>0</v>
      </c>
      <c r="AN60" s="622"/>
      <c r="AO60" s="789"/>
      <c r="AP60" s="789"/>
      <c r="AQ60" s="552">
        <f t="shared" si="12"/>
        <v>0</v>
      </c>
      <c r="AR60" s="623">
        <f t="shared" si="34"/>
        <v>0</v>
      </c>
      <c r="AS60" s="550">
        <f t="shared" si="35"/>
        <v>0</v>
      </c>
      <c r="AT60" s="550">
        <f t="shared" si="35"/>
        <v>0</v>
      </c>
      <c r="AU60" s="552">
        <f t="shared" si="13"/>
        <v>0</v>
      </c>
      <c r="AV60" s="780" t="e">
        <f>#REF!+#REF!+#REF!+A60+#REF!+AE60+AI60+AJ60+AN60+AR60</f>
        <v>#REF!</v>
      </c>
      <c r="AW60" s="623">
        <v>2</v>
      </c>
      <c r="AX60" s="777">
        <v>2</v>
      </c>
      <c r="AY60" s="777">
        <v>2</v>
      </c>
      <c r="AZ60" s="552">
        <f t="shared" si="14"/>
        <v>0</v>
      </c>
    </row>
    <row r="61" spans="1:228" ht="13.8" x14ac:dyDescent="0.25">
      <c r="A61" s="856" t="s">
        <v>848</v>
      </c>
      <c r="B61" s="622"/>
      <c r="C61" s="777"/>
      <c r="D61" s="782"/>
      <c r="E61" s="628">
        <f t="shared" si="3"/>
        <v>0</v>
      </c>
      <c r="F61" s="622"/>
      <c r="G61" s="777"/>
      <c r="H61" s="777"/>
      <c r="I61" s="552">
        <f t="shared" si="4"/>
        <v>0</v>
      </c>
      <c r="J61" s="622"/>
      <c r="K61" s="777"/>
      <c r="L61" s="777"/>
      <c r="M61" s="552">
        <f t="shared" si="5"/>
        <v>0</v>
      </c>
      <c r="N61" s="622"/>
      <c r="O61" s="777"/>
      <c r="P61" s="777"/>
      <c r="Q61" s="552">
        <f t="shared" si="6"/>
        <v>0</v>
      </c>
      <c r="R61" s="856" t="s">
        <v>848</v>
      </c>
      <c r="S61" s="622"/>
      <c r="T61" s="777"/>
      <c r="U61" s="777"/>
      <c r="V61" s="552">
        <f t="shared" si="7"/>
        <v>0</v>
      </c>
      <c r="W61" s="622"/>
      <c r="X61" s="777"/>
      <c r="Y61" s="777"/>
      <c r="Z61" s="552">
        <f t="shared" si="8"/>
        <v>0</v>
      </c>
      <c r="AA61" s="622"/>
      <c r="AB61" s="782"/>
      <c r="AC61" s="782"/>
      <c r="AD61" s="628">
        <f t="shared" si="9"/>
        <v>0</v>
      </c>
      <c r="AE61" s="622"/>
      <c r="AF61" s="782"/>
      <c r="AG61" s="782"/>
      <c r="AH61" s="628">
        <f t="shared" si="10"/>
        <v>0</v>
      </c>
      <c r="AI61" s="868" t="s">
        <v>848</v>
      </c>
      <c r="AJ61" s="622"/>
      <c r="AK61" s="777"/>
      <c r="AL61" s="777"/>
      <c r="AM61" s="552">
        <f t="shared" si="11"/>
        <v>0</v>
      </c>
      <c r="AN61" s="622"/>
      <c r="AO61" s="789"/>
      <c r="AP61" s="789"/>
      <c r="AQ61" s="552">
        <f t="shared" si="12"/>
        <v>0</v>
      </c>
      <c r="AR61" s="622">
        <f t="shared" si="34"/>
        <v>0</v>
      </c>
      <c r="AS61" s="549">
        <f t="shared" si="35"/>
        <v>0</v>
      </c>
      <c r="AT61" s="557"/>
      <c r="AU61" s="552">
        <f t="shared" si="13"/>
        <v>0</v>
      </c>
      <c r="AV61" s="780"/>
      <c r="AW61" s="623">
        <v>0</v>
      </c>
      <c r="AX61" s="777"/>
      <c r="AY61" s="777"/>
      <c r="AZ61" s="552">
        <f t="shared" si="14"/>
        <v>0</v>
      </c>
    </row>
    <row r="62" spans="1:228" s="576" customFormat="1" ht="14.4" thickBot="1" x14ac:dyDescent="0.3">
      <c r="A62" s="857" t="s">
        <v>849</v>
      </c>
      <c r="B62" s="624"/>
      <c r="C62" s="778"/>
      <c r="D62" s="783"/>
      <c r="E62" s="858">
        <f t="shared" si="3"/>
        <v>0</v>
      </c>
      <c r="F62" s="624"/>
      <c r="G62" s="778"/>
      <c r="H62" s="778"/>
      <c r="I62" s="859">
        <f t="shared" si="4"/>
        <v>0</v>
      </c>
      <c r="J62" s="624"/>
      <c r="K62" s="778"/>
      <c r="L62" s="778"/>
      <c r="M62" s="859">
        <f t="shared" si="5"/>
        <v>0</v>
      </c>
      <c r="N62" s="624"/>
      <c r="O62" s="778"/>
      <c r="P62" s="778"/>
      <c r="Q62" s="859">
        <f t="shared" si="6"/>
        <v>0</v>
      </c>
      <c r="R62" s="857" t="s">
        <v>849</v>
      </c>
      <c r="S62" s="624"/>
      <c r="T62" s="778"/>
      <c r="U62" s="778"/>
      <c r="V62" s="859">
        <f t="shared" si="7"/>
        <v>0</v>
      </c>
      <c r="W62" s="624"/>
      <c r="X62" s="778"/>
      <c r="Y62" s="778"/>
      <c r="Z62" s="859">
        <f t="shared" si="8"/>
        <v>0</v>
      </c>
      <c r="AA62" s="624"/>
      <c r="AB62" s="783"/>
      <c r="AC62" s="783"/>
      <c r="AD62" s="858">
        <f t="shared" si="9"/>
        <v>0</v>
      </c>
      <c r="AE62" s="624"/>
      <c r="AF62" s="783"/>
      <c r="AG62" s="783"/>
      <c r="AH62" s="858">
        <f t="shared" si="10"/>
        <v>0</v>
      </c>
      <c r="AI62" s="869" t="s">
        <v>849</v>
      </c>
      <c r="AJ62" s="624"/>
      <c r="AK62" s="778"/>
      <c r="AL62" s="778"/>
      <c r="AM62" s="859">
        <f t="shared" si="11"/>
        <v>0</v>
      </c>
      <c r="AN62" s="624"/>
      <c r="AO62" s="790"/>
      <c r="AP62" s="790"/>
      <c r="AQ62" s="859">
        <f t="shared" si="12"/>
        <v>0</v>
      </c>
      <c r="AR62" s="624">
        <f t="shared" si="34"/>
        <v>0</v>
      </c>
      <c r="AS62" s="553">
        <f t="shared" si="35"/>
        <v>0</v>
      </c>
      <c r="AT62" s="1217"/>
      <c r="AU62" s="859">
        <f t="shared" si="13"/>
        <v>0</v>
      </c>
      <c r="AV62" s="879" t="e">
        <f>#REF!+#REF!+#REF!+A62+#REF!+AE62+AI62+AJ62+AN62+AR62</f>
        <v>#REF!</v>
      </c>
      <c r="AW62" s="882">
        <v>50</v>
      </c>
      <c r="AX62" s="778">
        <v>50</v>
      </c>
      <c r="AY62" s="778">
        <v>50</v>
      </c>
      <c r="AZ62" s="859">
        <f t="shared" si="14"/>
        <v>0</v>
      </c>
      <c r="BA62" s="1218"/>
      <c r="BB62" s="1218"/>
      <c r="BC62" s="1218"/>
      <c r="BD62" s="1218"/>
      <c r="BE62" s="1218"/>
      <c r="BF62" s="1218"/>
      <c r="BG62" s="1218"/>
      <c r="BH62" s="1218"/>
      <c r="BI62" s="1218"/>
      <c r="BJ62" s="1218"/>
      <c r="BK62" s="1218"/>
      <c r="BL62" s="1218"/>
      <c r="BM62" s="1218"/>
      <c r="BN62" s="1218"/>
      <c r="BO62" s="1218"/>
      <c r="BP62" s="1218"/>
      <c r="BQ62" s="1218"/>
      <c r="BR62" s="1218"/>
      <c r="BS62" s="1218"/>
      <c r="BT62" s="1218"/>
      <c r="BU62" s="1218"/>
      <c r="BV62" s="1218"/>
      <c r="BW62" s="1218"/>
      <c r="BX62" s="1218"/>
      <c r="BY62" s="1218"/>
      <c r="BZ62" s="1218"/>
      <c r="CA62" s="1218"/>
      <c r="CB62" s="1218"/>
      <c r="CC62" s="1218"/>
      <c r="CD62" s="1218"/>
      <c r="CE62" s="1218"/>
      <c r="CF62" s="1218"/>
      <c r="CG62" s="1218"/>
      <c r="CH62" s="1218"/>
      <c r="CI62" s="1218"/>
      <c r="CJ62" s="1218"/>
      <c r="CK62" s="1218"/>
      <c r="CL62" s="1218"/>
      <c r="CM62" s="1218"/>
      <c r="CN62" s="1218"/>
      <c r="CO62" s="1218"/>
      <c r="CP62" s="1218"/>
      <c r="CQ62" s="1218"/>
      <c r="CR62" s="1218"/>
      <c r="CS62" s="1218"/>
      <c r="CT62" s="1218"/>
      <c r="CU62" s="1218"/>
      <c r="CV62" s="1218"/>
      <c r="CW62" s="1218"/>
      <c r="CX62" s="1218"/>
      <c r="CY62" s="1218"/>
      <c r="CZ62" s="1218"/>
      <c r="DA62" s="1218"/>
      <c r="DB62" s="1218"/>
      <c r="DC62" s="1218"/>
      <c r="DD62" s="1218"/>
      <c r="DE62" s="1218"/>
      <c r="DF62" s="1218"/>
      <c r="DG62" s="1218"/>
      <c r="DH62" s="1218"/>
      <c r="DI62" s="1218"/>
      <c r="DJ62" s="1218"/>
      <c r="DK62" s="1218"/>
      <c r="DL62" s="1218"/>
      <c r="DM62" s="1218"/>
      <c r="DN62" s="1218"/>
      <c r="DO62" s="1218"/>
      <c r="DP62" s="1218"/>
      <c r="DQ62" s="1218"/>
      <c r="DR62" s="1218"/>
      <c r="DS62" s="1218"/>
      <c r="DT62" s="1218"/>
      <c r="DU62" s="1218"/>
      <c r="DV62" s="1218"/>
      <c r="DW62" s="1218"/>
      <c r="DX62" s="1218"/>
      <c r="DY62" s="1218"/>
      <c r="DZ62" s="1218"/>
      <c r="EA62" s="1218"/>
      <c r="EB62" s="1218"/>
      <c r="EC62" s="1218"/>
      <c r="ED62" s="1218"/>
      <c r="EE62" s="1218"/>
      <c r="EF62" s="1218"/>
      <c r="EG62" s="1218"/>
      <c r="EH62" s="1218"/>
      <c r="EI62" s="1218"/>
      <c r="EJ62" s="1218"/>
      <c r="EK62" s="1218"/>
      <c r="EL62" s="1218"/>
      <c r="EM62" s="1218"/>
      <c r="EN62" s="1218"/>
      <c r="EO62" s="1218"/>
      <c r="EP62" s="1218"/>
      <c r="EQ62" s="1218"/>
      <c r="ER62" s="1218"/>
      <c r="ES62" s="1218"/>
      <c r="ET62" s="1218"/>
      <c r="EU62" s="1218"/>
      <c r="EV62" s="1218"/>
      <c r="EW62" s="1218"/>
      <c r="EX62" s="1218"/>
      <c r="EY62" s="1218"/>
      <c r="EZ62" s="1218"/>
      <c r="FA62" s="1218"/>
      <c r="FB62" s="1218"/>
      <c r="FC62" s="1218"/>
      <c r="FD62" s="1218"/>
      <c r="FE62" s="1218"/>
      <c r="FF62" s="1218"/>
      <c r="FG62" s="1218"/>
      <c r="FH62" s="1218"/>
      <c r="FI62" s="1218"/>
      <c r="FJ62" s="1218"/>
      <c r="FK62" s="1218"/>
      <c r="FL62" s="1218"/>
      <c r="FM62" s="1218"/>
      <c r="FN62" s="1218"/>
      <c r="FO62" s="1218"/>
      <c r="FP62" s="1218"/>
      <c r="FQ62" s="1218"/>
      <c r="FR62" s="1218"/>
      <c r="FS62" s="1218"/>
      <c r="FT62" s="1218"/>
      <c r="FU62" s="1218"/>
      <c r="FV62" s="1218"/>
      <c r="FW62" s="1218"/>
      <c r="FX62" s="1218"/>
      <c r="FY62" s="1218"/>
      <c r="FZ62" s="1218"/>
      <c r="GA62" s="1218"/>
      <c r="GB62" s="1218"/>
      <c r="GC62" s="1218"/>
      <c r="GD62" s="1218"/>
      <c r="GE62" s="1218"/>
      <c r="GF62" s="1218"/>
      <c r="GG62" s="1218"/>
      <c r="GH62" s="1218"/>
      <c r="GI62" s="1218"/>
      <c r="GJ62" s="1218"/>
      <c r="GK62" s="1218"/>
      <c r="GL62" s="1218"/>
      <c r="GM62" s="1218"/>
      <c r="GN62" s="1218"/>
      <c r="GO62" s="1218"/>
      <c r="GP62" s="1218"/>
      <c r="GQ62" s="1218"/>
      <c r="GR62" s="1218"/>
      <c r="GS62" s="1218"/>
      <c r="GT62" s="1218"/>
      <c r="GU62" s="1218"/>
      <c r="GV62" s="1218"/>
      <c r="GW62" s="1218"/>
      <c r="GX62" s="1218"/>
      <c r="GY62" s="1218"/>
      <c r="GZ62" s="1218"/>
      <c r="HA62" s="1218"/>
      <c r="HB62" s="1218"/>
      <c r="HC62" s="1218"/>
      <c r="HD62" s="1218"/>
      <c r="HE62" s="1218"/>
      <c r="HF62" s="1218"/>
      <c r="HG62" s="1218"/>
      <c r="HH62" s="1218"/>
      <c r="HI62" s="1218"/>
      <c r="HJ62" s="1218"/>
      <c r="HK62" s="1218"/>
      <c r="HL62" s="1218"/>
      <c r="HM62" s="1218"/>
      <c r="HN62" s="1218"/>
      <c r="HO62" s="1218"/>
      <c r="HP62" s="1218"/>
      <c r="HQ62" s="1218"/>
      <c r="HR62" s="1218"/>
      <c r="HS62" s="1218"/>
      <c r="HT62" s="1218"/>
    </row>
    <row r="63" spans="1:228" ht="13.8" x14ac:dyDescent="0.25">
      <c r="AR63" s="134"/>
      <c r="AS63" s="138"/>
      <c r="AT63" s="138"/>
      <c r="AU63" s="134"/>
      <c r="AV63" s="138"/>
      <c r="AW63" s="138">
        <f>AR59+AW59+AW60+AW62</f>
        <v>214.32999999999998</v>
      </c>
      <c r="AX63" s="138">
        <f>AS59+AX59+AX60+AX62</f>
        <v>213.32999999999998</v>
      </c>
      <c r="AY63" s="138"/>
      <c r="AZ63" s="138">
        <f>AU59+AZ59+AZ60+AZ62</f>
        <v>0</v>
      </c>
    </row>
    <row r="64" spans="1:228" ht="13.8" x14ac:dyDescent="0.25">
      <c r="AR64" s="134"/>
      <c r="AS64" s="138"/>
      <c r="AT64" s="138"/>
      <c r="AU64" s="134"/>
      <c r="AV64" s="138"/>
      <c r="AW64" s="138">
        <f>AR58+AW58+AW62</f>
        <v>60</v>
      </c>
      <c r="AX64" s="138">
        <f>AS58+AX58+AX62</f>
        <v>60</v>
      </c>
      <c r="AY64" s="138"/>
      <c r="AZ64" s="138">
        <f>AU58+AZ58+AZ62</f>
        <v>0</v>
      </c>
    </row>
    <row r="65" spans="44:52" ht="13.8" x14ac:dyDescent="0.25">
      <c r="AR65" s="138"/>
      <c r="AS65" s="138"/>
      <c r="AT65" s="138"/>
      <c r="AU65" s="138"/>
      <c r="AV65" s="138"/>
      <c r="AW65" s="138">
        <f>AR55+AR56+AR57</f>
        <v>79</v>
      </c>
      <c r="AX65" s="138">
        <f>AS55+AS56+AS57</f>
        <v>78</v>
      </c>
      <c r="AY65" s="138"/>
      <c r="AZ65" s="138">
        <f>AU55+AU56+AU57</f>
        <v>0</v>
      </c>
    </row>
    <row r="66" spans="44:52" ht="13.8" x14ac:dyDescent="0.25">
      <c r="AW66" s="138">
        <f t="shared" ref="AW66:AZ67" si="37">AW55+AW56</f>
        <v>71</v>
      </c>
      <c r="AX66" s="138">
        <f t="shared" si="37"/>
        <v>71</v>
      </c>
      <c r="AY66" s="138"/>
      <c r="AZ66" s="138">
        <f t="shared" si="37"/>
        <v>0</v>
      </c>
    </row>
    <row r="67" spans="44:52" ht="13.8" x14ac:dyDescent="0.25">
      <c r="AW67" s="138">
        <f t="shared" si="37"/>
        <v>68.33</v>
      </c>
      <c r="AX67" s="138">
        <f t="shared" si="37"/>
        <v>68.33</v>
      </c>
      <c r="AY67" s="138"/>
      <c r="AZ67" s="138">
        <f t="shared" si="37"/>
        <v>0</v>
      </c>
    </row>
    <row r="68" spans="44:52" ht="13.8" x14ac:dyDescent="0.25">
      <c r="AW68" s="138">
        <f>AW62+AW58+AR58</f>
        <v>60</v>
      </c>
      <c r="AX68" s="138">
        <f>AX62+AX58+AS58</f>
        <v>60</v>
      </c>
      <c r="AY68" s="138"/>
      <c r="AZ68" s="138">
        <f>AZ62+AZ58+AU58</f>
        <v>0</v>
      </c>
    </row>
    <row r="69" spans="44:52" ht="13.8" x14ac:dyDescent="0.25">
      <c r="AW69" s="138">
        <f>SUM(AW67:AW68)</f>
        <v>128.32999999999998</v>
      </c>
      <c r="AX69" s="138">
        <f>SUM(AX67:AX68)</f>
        <v>128.32999999999998</v>
      </c>
      <c r="AY69" s="138"/>
      <c r="AZ69" s="138">
        <f>SUM(AZ67:AZ68)</f>
        <v>0</v>
      </c>
    </row>
  </sheetData>
  <sheetProtection selectLockedCells="1" selectUnlockedCells="1"/>
  <mergeCells count="16">
    <mergeCell ref="A6:Q6"/>
    <mergeCell ref="A10:A11"/>
    <mergeCell ref="R10:R11"/>
    <mergeCell ref="AI10:AI11"/>
    <mergeCell ref="W10:Z10"/>
    <mergeCell ref="S10:V10"/>
    <mergeCell ref="B10:E10"/>
    <mergeCell ref="F10:I10"/>
    <mergeCell ref="J10:M10"/>
    <mergeCell ref="N10:Q10"/>
    <mergeCell ref="AA10:AD10"/>
    <mergeCell ref="AW10:AZ10"/>
    <mergeCell ref="AE10:AH10"/>
    <mergeCell ref="AJ10:AM10"/>
    <mergeCell ref="AN10:AQ10"/>
    <mergeCell ref="AR10:AU10"/>
  </mergeCells>
  <phoneticPr fontId="28" type="noConversion"/>
  <printOptions horizontalCentered="1"/>
  <pageMargins left="2.75E-2" right="0.25" top="0.75" bottom="0.75" header="0.3" footer="0.3"/>
  <pageSetup paperSize="9" scale="44" firstPageNumber="0" fitToWidth="0" fitToHeight="0" orientation="landscape" r:id="rId1"/>
  <headerFooter alignWithMargins="0">
    <oddHeader>&amp;C&amp;"Arial,Félkövér"&amp;12
2/a. melléklet
az önkormányzat 2016. évi költségvetéséről szóló 8/2016. (II.26.) önkormányzati rendelet
módosításáról szóló 7/2017.(II.24.) önkormányzati rendelethez
&amp;R&amp;12
&amp;P. oldal
ezer forint</oddHeader>
  </headerFooter>
  <colBreaks count="2" manualBreakCount="2">
    <brk id="17" max="59" man="1"/>
    <brk id="34" max="5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4"/>
  <sheetViews>
    <sheetView view="pageLayout" zoomScaleNormal="100" zoomScaleSheetLayoutView="78" workbookViewId="0">
      <selection activeCell="A38" sqref="A38"/>
    </sheetView>
  </sheetViews>
  <sheetFormatPr defaultRowHeight="13.8" x14ac:dyDescent="0.25"/>
  <cols>
    <col min="1" max="1" width="77.5546875" style="497" customWidth="1"/>
    <col min="2" max="2" width="8.44140625" style="497" customWidth="1"/>
    <col min="3" max="3" width="9.109375" style="497" customWidth="1"/>
    <col min="4" max="4" width="11" style="497" bestFit="1" customWidth="1"/>
    <col min="5" max="5" width="15.33203125" style="497" customWidth="1"/>
    <col min="6" max="6" width="14.6640625" style="699" customWidth="1"/>
    <col min="7" max="7" width="16.5546875" style="699" customWidth="1"/>
    <col min="8" max="8" width="14.44140625" style="497" customWidth="1"/>
    <col min="9" max="9" width="15.6640625" style="497" customWidth="1"/>
    <col min="10" max="10" width="13.33203125" style="497" customWidth="1"/>
    <col min="11" max="11" width="14.109375" style="497" customWidth="1"/>
    <col min="12" max="12" width="13.5546875" style="1264" customWidth="1"/>
    <col min="13" max="13" width="14.6640625" customWidth="1"/>
  </cols>
  <sheetData>
    <row r="2" spans="1:13" ht="14.4" thickBot="1" x14ac:dyDescent="0.3"/>
    <row r="3" spans="1:13" ht="26.4" customHeight="1" x14ac:dyDescent="0.25">
      <c r="A3" s="1594" t="s">
        <v>307</v>
      </c>
      <c r="B3" s="1596" t="s">
        <v>850</v>
      </c>
      <c r="C3" s="1598" t="s">
        <v>851</v>
      </c>
      <c r="D3" s="1600" t="s">
        <v>852</v>
      </c>
      <c r="E3" s="1606" t="s">
        <v>207</v>
      </c>
      <c r="F3" s="1608" t="s">
        <v>664</v>
      </c>
      <c r="G3" s="1610" t="s">
        <v>665</v>
      </c>
      <c r="H3" s="1612" t="s">
        <v>9</v>
      </c>
      <c r="I3" s="1604" t="s">
        <v>450</v>
      </c>
      <c r="J3" s="1614" t="s">
        <v>53</v>
      </c>
      <c r="K3" s="1604" t="s">
        <v>54</v>
      </c>
      <c r="L3" s="1614" t="s">
        <v>802</v>
      </c>
      <c r="M3" s="1602" t="s">
        <v>803</v>
      </c>
    </row>
    <row r="4" spans="1:13" thickBot="1" x14ac:dyDescent="0.3">
      <c r="A4" s="1595"/>
      <c r="B4" s="1597"/>
      <c r="C4" s="1599"/>
      <c r="D4" s="1601"/>
      <c r="E4" s="1607"/>
      <c r="F4" s="1609"/>
      <c r="G4" s="1611"/>
      <c r="H4" s="1613"/>
      <c r="I4" s="1605"/>
      <c r="J4" s="1615"/>
      <c r="K4" s="1605"/>
      <c r="L4" s="1615"/>
      <c r="M4" s="1603"/>
    </row>
    <row r="5" spans="1:13" x14ac:dyDescent="0.25">
      <c r="A5" s="741" t="s">
        <v>327</v>
      </c>
      <c r="B5" s="742"/>
      <c r="C5" s="743"/>
      <c r="D5" s="744"/>
      <c r="E5" s="745">
        <f>E6+E28</f>
        <v>577840145</v>
      </c>
      <c r="F5" s="746"/>
      <c r="G5" s="745">
        <f>G6+G28</f>
        <v>577840145</v>
      </c>
      <c r="H5" s="747">
        <f>H6+H28</f>
        <v>0</v>
      </c>
      <c r="I5" s="690">
        <f>I6+I28</f>
        <v>577840145</v>
      </c>
      <c r="J5" s="509"/>
      <c r="K5" s="707">
        <f t="shared" ref="K5:K36" si="0">I5+J5</f>
        <v>577840145</v>
      </c>
      <c r="L5" s="1265"/>
      <c r="M5" s="1266">
        <f t="shared" ref="M5:M61" si="1">K5+L5</f>
        <v>577840145</v>
      </c>
    </row>
    <row r="6" spans="1:13" x14ac:dyDescent="0.25">
      <c r="A6" s="498" t="s">
        <v>669</v>
      </c>
      <c r="B6" s="492"/>
      <c r="C6" s="499"/>
      <c r="D6" s="500"/>
      <c r="E6" s="690">
        <f>E7+E10+E20+E21+E23+E24+E26+E27</f>
        <v>576757851</v>
      </c>
      <c r="F6" s="696"/>
      <c r="G6" s="690">
        <f>G7+G10+G20+G21+G23+G24+G26+G27</f>
        <v>576757851</v>
      </c>
      <c r="H6" s="747">
        <f>H7+H10+H20+H21+H23+H24+H26+H27</f>
        <v>0</v>
      </c>
      <c r="I6" s="690">
        <f>I7+I10+I20+I21+I23+I24+I26+I27</f>
        <v>576757851</v>
      </c>
      <c r="J6" s="509"/>
      <c r="K6" s="707">
        <f t="shared" si="0"/>
        <v>576757851</v>
      </c>
      <c r="L6" s="1265"/>
      <c r="M6" s="1266">
        <f t="shared" si="1"/>
        <v>576757851</v>
      </c>
    </row>
    <row r="7" spans="1:13" x14ac:dyDescent="0.25">
      <c r="A7" s="498" t="s">
        <v>853</v>
      </c>
      <c r="B7" s="492"/>
      <c r="C7" s="501"/>
      <c r="D7" s="500"/>
      <c r="E7" s="691">
        <f>E8</f>
        <v>180268800</v>
      </c>
      <c r="F7" s="696"/>
      <c r="G7" s="691">
        <f>G8</f>
        <v>180268800</v>
      </c>
      <c r="H7" s="748">
        <f>H8</f>
        <v>0</v>
      </c>
      <c r="I7" s="691">
        <f>I8</f>
        <v>180268800</v>
      </c>
      <c r="J7" s="509"/>
      <c r="K7" s="707">
        <f t="shared" si="0"/>
        <v>180268800</v>
      </c>
      <c r="L7" s="1265"/>
      <c r="M7" s="1266">
        <f t="shared" si="1"/>
        <v>180268800</v>
      </c>
    </row>
    <row r="8" spans="1:13" x14ac:dyDescent="0.25">
      <c r="A8" s="487" t="s">
        <v>854</v>
      </c>
      <c r="B8" s="492"/>
      <c r="C8" s="502">
        <v>39.36</v>
      </c>
      <c r="D8" s="486">
        <v>4580000</v>
      </c>
      <c r="E8" s="692">
        <f>C8*D8</f>
        <v>180268800</v>
      </c>
      <c r="F8" s="696"/>
      <c r="G8" s="692">
        <f t="shared" ref="G8:G18" si="2">E8+F8</f>
        <v>180268800</v>
      </c>
      <c r="H8" s="489"/>
      <c r="I8" s="694">
        <f t="shared" ref="I8:I24" si="3">G8+H8</f>
        <v>180268800</v>
      </c>
      <c r="J8" s="509"/>
      <c r="K8" s="694">
        <f t="shared" si="0"/>
        <v>180268800</v>
      </c>
      <c r="L8" s="1265"/>
      <c r="M8" s="1279">
        <f t="shared" si="1"/>
        <v>180268800</v>
      </c>
    </row>
    <row r="9" spans="1:13" x14ac:dyDescent="0.25">
      <c r="A9" s="487" t="s">
        <v>856</v>
      </c>
      <c r="B9" s="492"/>
      <c r="C9" s="501"/>
      <c r="D9" s="500"/>
      <c r="E9" s="693">
        <v>0</v>
      </c>
      <c r="F9" s="696"/>
      <c r="G9" s="692">
        <f t="shared" si="2"/>
        <v>0</v>
      </c>
      <c r="H9" s="489"/>
      <c r="I9" s="694">
        <f t="shared" si="3"/>
        <v>0</v>
      </c>
      <c r="J9" s="509"/>
      <c r="K9" s="694">
        <f t="shared" si="0"/>
        <v>0</v>
      </c>
      <c r="L9" s="1265"/>
      <c r="M9" s="1266">
        <f t="shared" si="1"/>
        <v>0</v>
      </c>
    </row>
    <row r="10" spans="1:13" x14ac:dyDescent="0.25">
      <c r="A10" s="503" t="s">
        <v>508</v>
      </c>
      <c r="B10" s="492"/>
      <c r="C10" s="501"/>
      <c r="D10" s="500"/>
      <c r="E10" s="691">
        <f>E11+E12+E13+E14+E15+E16+E17+E18</f>
        <v>0</v>
      </c>
      <c r="F10" s="696"/>
      <c r="G10" s="692">
        <f t="shared" si="2"/>
        <v>0</v>
      </c>
      <c r="H10" s="489"/>
      <c r="I10" s="694">
        <f t="shared" si="3"/>
        <v>0</v>
      </c>
      <c r="J10" s="509"/>
      <c r="K10" s="694">
        <f t="shared" si="0"/>
        <v>0</v>
      </c>
      <c r="L10" s="1265"/>
      <c r="M10" s="1266">
        <f t="shared" si="1"/>
        <v>0</v>
      </c>
    </row>
    <row r="11" spans="1:13" x14ac:dyDescent="0.25">
      <c r="A11" s="504" t="s">
        <v>855</v>
      </c>
      <c r="B11" s="492"/>
      <c r="C11" s="501"/>
      <c r="D11" s="500"/>
      <c r="E11" s="692">
        <v>15627840</v>
      </c>
      <c r="F11" s="696"/>
      <c r="G11" s="692">
        <f t="shared" si="2"/>
        <v>15627840</v>
      </c>
      <c r="H11" s="489"/>
      <c r="I11" s="694">
        <f t="shared" si="3"/>
        <v>15627840</v>
      </c>
      <c r="J11" s="509"/>
      <c r="K11" s="694">
        <f t="shared" si="0"/>
        <v>15627840</v>
      </c>
      <c r="L11" s="1265"/>
      <c r="M11" s="1279">
        <f t="shared" si="1"/>
        <v>15627840</v>
      </c>
    </row>
    <row r="12" spans="1:13" x14ac:dyDescent="0.25">
      <c r="A12" s="504" t="s">
        <v>856</v>
      </c>
      <c r="B12" s="492"/>
      <c r="C12" s="501"/>
      <c r="D12" s="500"/>
      <c r="E12" s="693">
        <v>-15627840</v>
      </c>
      <c r="F12" s="696"/>
      <c r="G12" s="692">
        <f t="shared" si="2"/>
        <v>-15627840</v>
      </c>
      <c r="H12" s="489"/>
      <c r="I12" s="694">
        <f t="shared" si="3"/>
        <v>-15627840</v>
      </c>
      <c r="J12" s="509"/>
      <c r="K12" s="694">
        <f t="shared" si="0"/>
        <v>-15627840</v>
      </c>
      <c r="L12" s="1265"/>
      <c r="M12" s="1279">
        <f t="shared" si="1"/>
        <v>-15627840</v>
      </c>
    </row>
    <row r="13" spans="1:13" x14ac:dyDescent="0.25">
      <c r="A13" s="504" t="s">
        <v>857</v>
      </c>
      <c r="B13" s="492"/>
      <c r="C13" s="499"/>
      <c r="D13" s="500"/>
      <c r="E13" s="692">
        <v>57760000</v>
      </c>
      <c r="F13" s="696"/>
      <c r="G13" s="692">
        <f t="shared" si="2"/>
        <v>57760000</v>
      </c>
      <c r="H13" s="489"/>
      <c r="I13" s="694">
        <f t="shared" si="3"/>
        <v>57760000</v>
      </c>
      <c r="J13" s="509"/>
      <c r="K13" s="694">
        <f t="shared" si="0"/>
        <v>57760000</v>
      </c>
      <c r="L13" s="1265"/>
      <c r="M13" s="1279">
        <f t="shared" si="1"/>
        <v>57760000</v>
      </c>
    </row>
    <row r="14" spans="1:13" x14ac:dyDescent="0.25">
      <c r="A14" s="504" t="s">
        <v>856</v>
      </c>
      <c r="B14" s="492"/>
      <c r="C14" s="499"/>
      <c r="D14" s="500"/>
      <c r="E14" s="693">
        <v>-57760000</v>
      </c>
      <c r="F14" s="696"/>
      <c r="G14" s="692">
        <f t="shared" si="2"/>
        <v>-57760000</v>
      </c>
      <c r="H14" s="489"/>
      <c r="I14" s="694">
        <f t="shared" si="3"/>
        <v>-57760000</v>
      </c>
      <c r="J14" s="509"/>
      <c r="K14" s="694">
        <f t="shared" si="0"/>
        <v>-57760000</v>
      </c>
      <c r="L14" s="1265"/>
      <c r="M14" s="1279">
        <f t="shared" si="1"/>
        <v>-57760000</v>
      </c>
    </row>
    <row r="15" spans="1:13" x14ac:dyDescent="0.25">
      <c r="A15" s="504" t="s">
        <v>858</v>
      </c>
      <c r="B15" s="492"/>
      <c r="C15" s="499"/>
      <c r="D15" s="500"/>
      <c r="E15" s="692">
        <v>2176616</v>
      </c>
      <c r="F15" s="696"/>
      <c r="G15" s="692">
        <f t="shared" si="2"/>
        <v>2176616</v>
      </c>
      <c r="H15" s="489"/>
      <c r="I15" s="694">
        <f t="shared" si="3"/>
        <v>2176616</v>
      </c>
      <c r="J15" s="509"/>
      <c r="K15" s="694">
        <f t="shared" si="0"/>
        <v>2176616</v>
      </c>
      <c r="L15" s="1265"/>
      <c r="M15" s="1279">
        <f t="shared" si="1"/>
        <v>2176616</v>
      </c>
    </row>
    <row r="16" spans="1:13" x14ac:dyDescent="0.25">
      <c r="A16" s="504" t="s">
        <v>856</v>
      </c>
      <c r="B16" s="492"/>
      <c r="C16" s="499"/>
      <c r="D16" s="500"/>
      <c r="E16" s="693">
        <v>-2176616</v>
      </c>
      <c r="F16" s="696"/>
      <c r="G16" s="692">
        <f t="shared" si="2"/>
        <v>-2176616</v>
      </c>
      <c r="H16" s="489"/>
      <c r="I16" s="694">
        <f t="shared" si="3"/>
        <v>-2176616</v>
      </c>
      <c r="J16" s="509"/>
      <c r="K16" s="694">
        <f t="shared" si="0"/>
        <v>-2176616</v>
      </c>
      <c r="L16" s="1265"/>
      <c r="M16" s="1279">
        <f t="shared" si="1"/>
        <v>-2176616</v>
      </c>
    </row>
    <row r="17" spans="1:13" x14ac:dyDescent="0.25">
      <c r="A17" s="504" t="s">
        <v>859</v>
      </c>
      <c r="B17" s="492"/>
      <c r="C17" s="499"/>
      <c r="D17" s="500"/>
      <c r="E17" s="692">
        <v>22361000</v>
      </c>
      <c r="F17" s="696"/>
      <c r="G17" s="692">
        <f t="shared" si="2"/>
        <v>22361000</v>
      </c>
      <c r="H17" s="489"/>
      <c r="I17" s="694">
        <f t="shared" si="3"/>
        <v>22361000</v>
      </c>
      <c r="J17" s="509"/>
      <c r="K17" s="694">
        <f t="shared" si="0"/>
        <v>22361000</v>
      </c>
      <c r="L17" s="1265"/>
      <c r="M17" s="1279">
        <f t="shared" si="1"/>
        <v>22361000</v>
      </c>
    </row>
    <row r="18" spans="1:13" x14ac:dyDescent="0.25">
      <c r="A18" s="504" t="s">
        <v>856</v>
      </c>
      <c r="B18" s="492"/>
      <c r="C18" s="499"/>
      <c r="D18" s="500"/>
      <c r="E18" s="693">
        <v>-22361000</v>
      </c>
      <c r="F18" s="696"/>
      <c r="G18" s="692">
        <f t="shared" si="2"/>
        <v>-22361000</v>
      </c>
      <c r="H18" s="489"/>
      <c r="I18" s="694">
        <f t="shared" si="3"/>
        <v>-22361000</v>
      </c>
      <c r="J18" s="509"/>
      <c r="K18" s="694">
        <f t="shared" si="0"/>
        <v>-22361000</v>
      </c>
      <c r="L18" s="1265"/>
      <c r="M18" s="1279">
        <f t="shared" si="1"/>
        <v>-22361000</v>
      </c>
    </row>
    <row r="19" spans="1:13" x14ac:dyDescent="0.25">
      <c r="A19" s="498" t="s">
        <v>509</v>
      </c>
      <c r="B19" s="492"/>
      <c r="C19" s="499"/>
      <c r="D19" s="500"/>
      <c r="E19" s="690">
        <f>E20+E21</f>
        <v>0</v>
      </c>
      <c r="F19" s="696"/>
      <c r="G19" s="690">
        <f>G20+G21</f>
        <v>0</v>
      </c>
      <c r="H19" s="489"/>
      <c r="I19" s="694">
        <f t="shared" si="3"/>
        <v>0</v>
      </c>
      <c r="J19" s="509"/>
      <c r="K19" s="694">
        <f t="shared" si="0"/>
        <v>0</v>
      </c>
      <c r="L19" s="1265"/>
      <c r="M19" s="1279">
        <f t="shared" si="1"/>
        <v>0</v>
      </c>
    </row>
    <row r="20" spans="1:13" x14ac:dyDescent="0.25">
      <c r="A20" s="487" t="s">
        <v>315</v>
      </c>
      <c r="B20" s="490"/>
      <c r="C20" s="490">
        <v>13903</v>
      </c>
      <c r="D20" s="486">
        <v>2700</v>
      </c>
      <c r="E20" s="692">
        <f>C20*D20</f>
        <v>37538100</v>
      </c>
      <c r="F20" s="696"/>
      <c r="G20" s="692">
        <f>E20+F20</f>
        <v>37538100</v>
      </c>
      <c r="H20" s="489"/>
      <c r="I20" s="694">
        <f t="shared" si="3"/>
        <v>37538100</v>
      </c>
      <c r="J20" s="509"/>
      <c r="K20" s="694">
        <f t="shared" si="0"/>
        <v>37538100</v>
      </c>
      <c r="L20" s="1265"/>
      <c r="M20" s="1279">
        <f t="shared" si="1"/>
        <v>37538100</v>
      </c>
    </row>
    <row r="21" spans="1:13" x14ac:dyDescent="0.25">
      <c r="A21" s="504" t="s">
        <v>856</v>
      </c>
      <c r="B21" s="492"/>
      <c r="C21" s="505"/>
      <c r="D21" s="486"/>
      <c r="E21" s="692">
        <v>-37538100</v>
      </c>
      <c r="F21" s="696"/>
      <c r="G21" s="692">
        <v>-37538100</v>
      </c>
      <c r="H21" s="489"/>
      <c r="I21" s="694">
        <f t="shared" si="3"/>
        <v>-37538100</v>
      </c>
      <c r="J21" s="509"/>
      <c r="K21" s="694">
        <f t="shared" si="0"/>
        <v>-37538100</v>
      </c>
      <c r="L21" s="1265"/>
      <c r="M21" s="1279">
        <f t="shared" si="1"/>
        <v>-37538100</v>
      </c>
    </row>
    <row r="22" spans="1:13" x14ac:dyDescent="0.25">
      <c r="A22" s="498" t="s">
        <v>510</v>
      </c>
      <c r="B22" s="492"/>
      <c r="C22" s="505"/>
      <c r="D22" s="486"/>
      <c r="E22" s="691">
        <f>E23+E24</f>
        <v>0</v>
      </c>
      <c r="F22" s="696"/>
      <c r="G22" s="691">
        <f>G23+G24</f>
        <v>0</v>
      </c>
      <c r="H22" s="489"/>
      <c r="I22" s="694">
        <f t="shared" si="3"/>
        <v>0</v>
      </c>
      <c r="J22" s="509"/>
      <c r="K22" s="694">
        <f t="shared" si="0"/>
        <v>0</v>
      </c>
      <c r="L22" s="1265"/>
      <c r="M22" s="1279">
        <f t="shared" si="1"/>
        <v>0</v>
      </c>
    </row>
    <row r="23" spans="1:13" x14ac:dyDescent="0.25">
      <c r="A23" s="487" t="s">
        <v>887</v>
      </c>
      <c r="B23" s="492"/>
      <c r="C23" s="505">
        <v>123</v>
      </c>
      <c r="D23" s="506">
        <v>2550</v>
      </c>
      <c r="E23" s="681">
        <v>313650</v>
      </c>
      <c r="F23" s="696"/>
      <c r="G23" s="681">
        <v>313650</v>
      </c>
      <c r="H23" s="489"/>
      <c r="I23" s="694">
        <f t="shared" si="3"/>
        <v>313650</v>
      </c>
      <c r="J23" s="509"/>
      <c r="K23" s="694">
        <f t="shared" si="0"/>
        <v>313650</v>
      </c>
      <c r="L23" s="1265"/>
      <c r="M23" s="1279">
        <f t="shared" si="1"/>
        <v>313650</v>
      </c>
    </row>
    <row r="24" spans="1:13" x14ac:dyDescent="0.25">
      <c r="A24" s="504" t="s">
        <v>856</v>
      </c>
      <c r="B24" s="492"/>
      <c r="C24" s="499"/>
      <c r="D24" s="507"/>
      <c r="E24" s="679">
        <v>-313650</v>
      </c>
      <c r="F24" s="696"/>
      <c r="G24" s="679">
        <v>-313650</v>
      </c>
      <c r="H24" s="489"/>
      <c r="I24" s="694">
        <f t="shared" si="3"/>
        <v>-313650</v>
      </c>
      <c r="J24" s="509"/>
      <c r="K24" s="694">
        <f t="shared" si="0"/>
        <v>-313650</v>
      </c>
      <c r="L24" s="1265"/>
      <c r="M24" s="1279">
        <f t="shared" si="1"/>
        <v>-313650</v>
      </c>
    </row>
    <row r="25" spans="1:13" x14ac:dyDescent="0.25">
      <c r="A25" s="508" t="s">
        <v>511</v>
      </c>
      <c r="B25" s="492"/>
      <c r="C25" s="505"/>
      <c r="D25" s="486"/>
      <c r="E25" s="688">
        <f>SUM(E26:E27)</f>
        <v>396489051</v>
      </c>
      <c r="F25" s="688">
        <f>SUM(F26:F27)</f>
        <v>0</v>
      </c>
      <c r="G25" s="688">
        <f>SUM(G26:G27)</f>
        <v>396489051</v>
      </c>
      <c r="H25" s="695">
        <f>SUM(H26:H27)</f>
        <v>0</v>
      </c>
      <c r="I25" s="688">
        <f>SUM(I26:I27)</f>
        <v>396489051</v>
      </c>
      <c r="J25" s="509"/>
      <c r="K25" s="707">
        <f t="shared" si="0"/>
        <v>396489051</v>
      </c>
      <c r="L25" s="1265"/>
      <c r="M25" s="1266">
        <f t="shared" si="1"/>
        <v>396489051</v>
      </c>
    </row>
    <row r="26" spans="1:13" x14ac:dyDescent="0.25">
      <c r="A26" s="509" t="s">
        <v>512</v>
      </c>
      <c r="B26" s="492"/>
      <c r="C26" s="505"/>
      <c r="D26" s="486"/>
      <c r="E26" s="694">
        <v>415201600</v>
      </c>
      <c r="F26" s="696"/>
      <c r="G26" s="694">
        <f>E26+F26</f>
        <v>415201600</v>
      </c>
      <c r="H26" s="489"/>
      <c r="I26" s="694">
        <f>G26+H26</f>
        <v>415201600</v>
      </c>
      <c r="J26" s="509"/>
      <c r="K26" s="694">
        <f t="shared" si="0"/>
        <v>415201600</v>
      </c>
      <c r="L26" s="1265"/>
      <c r="M26" s="1279">
        <f t="shared" si="1"/>
        <v>415201600</v>
      </c>
    </row>
    <row r="27" spans="1:13" x14ac:dyDescent="0.25">
      <c r="A27" s="504" t="s">
        <v>856</v>
      </c>
      <c r="B27" s="492"/>
      <c r="C27" s="505"/>
      <c r="D27" s="486"/>
      <c r="E27" s="692">
        <v>-18712549</v>
      </c>
      <c r="F27" s="696"/>
      <c r="G27" s="694">
        <f>E27+F27</f>
        <v>-18712549</v>
      </c>
      <c r="H27" s="489"/>
      <c r="I27" s="694">
        <f>G27+H27</f>
        <v>-18712549</v>
      </c>
      <c r="J27" s="509"/>
      <c r="K27" s="694">
        <f t="shared" si="0"/>
        <v>-18712549</v>
      </c>
      <c r="L27" s="1265"/>
      <c r="M27" s="1279">
        <f t="shared" si="1"/>
        <v>-18712549</v>
      </c>
    </row>
    <row r="28" spans="1:13" x14ac:dyDescent="0.25">
      <c r="A28" s="503" t="s">
        <v>534</v>
      </c>
      <c r="B28" s="492"/>
      <c r="C28" s="499"/>
      <c r="D28" s="500"/>
      <c r="E28" s="691">
        <v>1082294</v>
      </c>
      <c r="F28" s="706"/>
      <c r="G28" s="707">
        <f>E28+F28</f>
        <v>1082294</v>
      </c>
      <c r="H28" s="759"/>
      <c r="I28" s="707">
        <f>G28+H28</f>
        <v>1082294</v>
      </c>
      <c r="J28" s="509"/>
      <c r="K28" s="694">
        <f t="shared" si="0"/>
        <v>1082294</v>
      </c>
      <c r="L28" s="1265"/>
      <c r="M28" s="1266">
        <f t="shared" si="1"/>
        <v>1082294</v>
      </c>
    </row>
    <row r="29" spans="1:13" x14ac:dyDescent="0.25">
      <c r="A29" s="504"/>
      <c r="B29" s="492"/>
      <c r="C29" s="505"/>
      <c r="D29" s="486"/>
      <c r="E29" s="692"/>
      <c r="F29" s="696"/>
      <c r="G29" s="694"/>
      <c r="H29" s="489"/>
      <c r="I29" s="988"/>
      <c r="J29" s="509"/>
      <c r="K29" s="694">
        <f t="shared" si="0"/>
        <v>0</v>
      </c>
      <c r="L29" s="1265"/>
      <c r="M29" s="1266">
        <f t="shared" si="1"/>
        <v>0</v>
      </c>
    </row>
    <row r="30" spans="1:13" x14ac:dyDescent="0.25">
      <c r="A30" s="498" t="s">
        <v>513</v>
      </c>
      <c r="B30" s="492"/>
      <c r="C30" s="505"/>
      <c r="D30" s="486"/>
      <c r="E30" s="687">
        <f>SUM(E31:E42)</f>
        <v>268431134</v>
      </c>
      <c r="F30" s="687">
        <f>SUM(F31:F42)</f>
        <v>340532</v>
      </c>
      <c r="G30" s="687">
        <f>SUM(G31:G42)</f>
        <v>268771666</v>
      </c>
      <c r="H30" s="500">
        <f>SUM(H31:H42)</f>
        <v>0</v>
      </c>
      <c r="I30" s="687">
        <f>SUM(I31:I42)</f>
        <v>268771666</v>
      </c>
      <c r="J30" s="750">
        <f>J33+J35+J39+J41</f>
        <v>-2981967</v>
      </c>
      <c r="K30" s="707">
        <f t="shared" si="0"/>
        <v>265789699</v>
      </c>
      <c r="L30" s="1265"/>
      <c r="M30" s="1266">
        <f t="shared" si="1"/>
        <v>265789699</v>
      </c>
    </row>
    <row r="31" spans="1:13" x14ac:dyDescent="0.25">
      <c r="A31" s="487" t="s">
        <v>879</v>
      </c>
      <c r="B31" s="490">
        <v>39.5</v>
      </c>
      <c r="C31" s="510">
        <f t="shared" ref="C31:C39" si="4">E31/D31</f>
        <v>26.333333333333332</v>
      </c>
      <c r="D31" s="486">
        <v>4308000</v>
      </c>
      <c r="E31" s="682">
        <v>113444000</v>
      </c>
      <c r="F31" s="696">
        <v>287200</v>
      </c>
      <c r="G31" s="694">
        <f t="shared" ref="G31:G43" si="5">E31+F31</f>
        <v>113731200</v>
      </c>
      <c r="H31" s="489"/>
      <c r="I31" s="694">
        <f t="shared" ref="I31:I43" si="6">G31+H31</f>
        <v>113731200</v>
      </c>
      <c r="J31" s="509"/>
      <c r="K31" s="694">
        <f t="shared" si="0"/>
        <v>113731200</v>
      </c>
      <c r="L31" s="1265"/>
      <c r="M31" s="1279">
        <f t="shared" si="1"/>
        <v>113731200</v>
      </c>
    </row>
    <row r="32" spans="1:13" x14ac:dyDescent="0.25">
      <c r="A32" s="487" t="s">
        <v>880</v>
      </c>
      <c r="B32" s="490">
        <v>30</v>
      </c>
      <c r="C32" s="510">
        <f t="shared" si="4"/>
        <v>20</v>
      </c>
      <c r="D32" s="486">
        <v>1800000</v>
      </c>
      <c r="E32" s="682">
        <v>36000000</v>
      </c>
      <c r="F32" s="696"/>
      <c r="G32" s="694">
        <f t="shared" si="5"/>
        <v>36000000</v>
      </c>
      <c r="H32" s="489"/>
      <c r="I32" s="694">
        <f t="shared" si="6"/>
        <v>36000000</v>
      </c>
      <c r="J32" s="509"/>
      <c r="K32" s="694">
        <f t="shared" si="0"/>
        <v>36000000</v>
      </c>
      <c r="L32" s="1265"/>
      <c r="M32" s="1279">
        <f t="shared" si="1"/>
        <v>36000000</v>
      </c>
    </row>
    <row r="33" spans="1:13" x14ac:dyDescent="0.25">
      <c r="A33" s="487" t="s">
        <v>881</v>
      </c>
      <c r="B33" s="490">
        <v>38.200000000000003</v>
      </c>
      <c r="C33" s="510">
        <f t="shared" si="4"/>
        <v>12.733333333333333</v>
      </c>
      <c r="D33" s="486">
        <v>4308000</v>
      </c>
      <c r="E33" s="682">
        <v>54855200</v>
      </c>
      <c r="F33" s="696"/>
      <c r="G33" s="694">
        <f t="shared" si="5"/>
        <v>54855200</v>
      </c>
      <c r="H33" s="489"/>
      <c r="I33" s="694">
        <f t="shared" si="6"/>
        <v>54855200</v>
      </c>
      <c r="J33" s="509">
        <v>-2154000</v>
      </c>
      <c r="K33" s="694">
        <f t="shared" si="0"/>
        <v>52701200</v>
      </c>
      <c r="L33" s="1265"/>
      <c r="M33" s="1279">
        <f t="shared" si="1"/>
        <v>52701200</v>
      </c>
    </row>
    <row r="34" spans="1:13" x14ac:dyDescent="0.25">
      <c r="A34" s="487" t="s">
        <v>883</v>
      </c>
      <c r="B34" s="490">
        <v>30</v>
      </c>
      <c r="C34" s="510">
        <f t="shared" si="4"/>
        <v>10</v>
      </c>
      <c r="D34" s="486">
        <v>1800000</v>
      </c>
      <c r="E34" s="682">
        <v>18000000</v>
      </c>
      <c r="F34" s="696"/>
      <c r="G34" s="694">
        <f t="shared" si="5"/>
        <v>18000000</v>
      </c>
      <c r="H34" s="489"/>
      <c r="I34" s="694">
        <f t="shared" si="6"/>
        <v>18000000</v>
      </c>
      <c r="J34" s="509"/>
      <c r="K34" s="694">
        <f t="shared" si="0"/>
        <v>18000000</v>
      </c>
      <c r="L34" s="1265"/>
      <c r="M34" s="1279">
        <f t="shared" si="1"/>
        <v>18000000</v>
      </c>
    </row>
    <row r="35" spans="1:13" x14ac:dyDescent="0.25">
      <c r="A35" s="487" t="s">
        <v>882</v>
      </c>
      <c r="B35" s="490">
        <v>38.200000000000003</v>
      </c>
      <c r="C35" s="510">
        <f t="shared" si="4"/>
        <v>38.200000000000003</v>
      </c>
      <c r="D35" s="486">
        <v>35000</v>
      </c>
      <c r="E35" s="682">
        <v>1337000</v>
      </c>
      <c r="F35" s="696"/>
      <c r="G35" s="694">
        <f t="shared" si="5"/>
        <v>1337000</v>
      </c>
      <c r="H35" s="489"/>
      <c r="I35" s="694">
        <f t="shared" si="6"/>
        <v>1337000</v>
      </c>
      <c r="J35" s="509">
        <v>-52500</v>
      </c>
      <c r="K35" s="694">
        <f t="shared" si="0"/>
        <v>1284500</v>
      </c>
      <c r="L35" s="1265"/>
      <c r="M35" s="1279">
        <f t="shared" si="1"/>
        <v>1284500</v>
      </c>
    </row>
    <row r="36" spans="1:13" x14ac:dyDescent="0.25">
      <c r="A36" s="490" t="s">
        <v>895</v>
      </c>
      <c r="B36" s="511">
        <v>2</v>
      </c>
      <c r="C36" s="510">
        <f t="shared" si="4"/>
        <v>1.3333375000000001</v>
      </c>
      <c r="D36" s="486">
        <v>80000</v>
      </c>
      <c r="E36" s="682">
        <v>106667</v>
      </c>
      <c r="F36" s="696">
        <v>-53334</v>
      </c>
      <c r="G36" s="694">
        <f t="shared" si="5"/>
        <v>53333</v>
      </c>
      <c r="H36" s="489"/>
      <c r="I36" s="694">
        <f t="shared" si="6"/>
        <v>53333</v>
      </c>
      <c r="J36" s="509"/>
      <c r="K36" s="694">
        <f t="shared" si="0"/>
        <v>53333</v>
      </c>
      <c r="L36" s="1265"/>
      <c r="M36" s="1279">
        <f t="shared" si="1"/>
        <v>53333</v>
      </c>
    </row>
    <row r="37" spans="1:13" x14ac:dyDescent="0.25">
      <c r="A37" s="490" t="s">
        <v>895</v>
      </c>
      <c r="B37" s="490">
        <v>437</v>
      </c>
      <c r="C37" s="510">
        <f t="shared" si="4"/>
        <v>291.33333750000003</v>
      </c>
      <c r="D37" s="486">
        <v>80000</v>
      </c>
      <c r="E37" s="682">
        <v>23306667</v>
      </c>
      <c r="F37" s="696">
        <v>106666</v>
      </c>
      <c r="G37" s="694">
        <f t="shared" si="5"/>
        <v>23413333</v>
      </c>
      <c r="H37" s="489"/>
      <c r="I37" s="694">
        <f t="shared" si="6"/>
        <v>23413333</v>
      </c>
      <c r="J37" s="509"/>
      <c r="K37" s="694">
        <f t="shared" ref="K37:K68" si="7">I37+J37</f>
        <v>23413333</v>
      </c>
      <c r="L37" s="1265"/>
      <c r="M37" s="1279">
        <f t="shared" si="1"/>
        <v>23413333</v>
      </c>
    </row>
    <row r="38" spans="1:13" x14ac:dyDescent="0.25">
      <c r="A38" s="490" t="s">
        <v>896</v>
      </c>
      <c r="B38" s="490">
        <v>2</v>
      </c>
      <c r="C38" s="510">
        <f t="shared" si="4"/>
        <v>0.66666250000000005</v>
      </c>
      <c r="D38" s="486">
        <v>80000</v>
      </c>
      <c r="E38" s="682">
        <v>53333</v>
      </c>
      <c r="F38" s="696"/>
      <c r="G38" s="694">
        <f t="shared" si="5"/>
        <v>53333</v>
      </c>
      <c r="H38" s="489"/>
      <c r="I38" s="694">
        <f t="shared" si="6"/>
        <v>53333</v>
      </c>
      <c r="J38" s="509"/>
      <c r="K38" s="694">
        <f t="shared" si="7"/>
        <v>53333</v>
      </c>
      <c r="L38" s="1265"/>
      <c r="M38" s="1279">
        <f t="shared" si="1"/>
        <v>53333</v>
      </c>
    </row>
    <row r="39" spans="1:13" x14ac:dyDescent="0.25">
      <c r="A39" s="490" t="s">
        <v>896</v>
      </c>
      <c r="B39" s="490">
        <v>424</v>
      </c>
      <c r="C39" s="510">
        <f t="shared" si="4"/>
        <v>141.3333375</v>
      </c>
      <c r="D39" s="486">
        <v>80000</v>
      </c>
      <c r="E39" s="682">
        <v>11306667</v>
      </c>
      <c r="F39" s="696"/>
      <c r="G39" s="694">
        <f t="shared" si="5"/>
        <v>11306667</v>
      </c>
      <c r="H39" s="489"/>
      <c r="I39" s="694">
        <f t="shared" si="6"/>
        <v>11306667</v>
      </c>
      <c r="J39" s="509">
        <v>-506667</v>
      </c>
      <c r="K39" s="694">
        <f t="shared" si="7"/>
        <v>10800000</v>
      </c>
      <c r="L39" s="1265"/>
      <c r="M39" s="1279">
        <f t="shared" si="1"/>
        <v>10800000</v>
      </c>
    </row>
    <row r="40" spans="1:13" x14ac:dyDescent="0.25">
      <c r="A40" s="487" t="s">
        <v>514</v>
      </c>
      <c r="B40" s="490"/>
      <c r="C40" s="510"/>
      <c r="D40" s="486"/>
      <c r="E40" s="682">
        <v>3141600</v>
      </c>
      <c r="F40" s="696"/>
      <c r="G40" s="694">
        <f t="shared" si="5"/>
        <v>3141600</v>
      </c>
      <c r="H40" s="489"/>
      <c r="I40" s="694">
        <f t="shared" si="6"/>
        <v>3141600</v>
      </c>
      <c r="J40" s="509"/>
      <c r="K40" s="694">
        <f t="shared" si="7"/>
        <v>3141600</v>
      </c>
      <c r="L40" s="1265"/>
      <c r="M40" s="1279">
        <f t="shared" si="1"/>
        <v>3141600</v>
      </c>
    </row>
    <row r="41" spans="1:13" x14ac:dyDescent="0.25">
      <c r="A41" s="509" t="s">
        <v>530</v>
      </c>
      <c r="B41" s="490">
        <v>17</v>
      </c>
      <c r="C41" s="490">
        <v>17</v>
      </c>
      <c r="D41" s="486">
        <v>384000</v>
      </c>
      <c r="E41" s="681">
        <f>D41*C41</f>
        <v>6528000</v>
      </c>
      <c r="F41" s="696"/>
      <c r="G41" s="694">
        <f t="shared" si="5"/>
        <v>6528000</v>
      </c>
      <c r="H41" s="489"/>
      <c r="I41" s="694">
        <f t="shared" si="6"/>
        <v>6528000</v>
      </c>
      <c r="J41" s="509">
        <v>-268800</v>
      </c>
      <c r="K41" s="694">
        <f t="shared" si="7"/>
        <v>6259200</v>
      </c>
      <c r="L41" s="1265"/>
      <c r="M41" s="1279">
        <f t="shared" si="1"/>
        <v>6259200</v>
      </c>
    </row>
    <row r="42" spans="1:13" x14ac:dyDescent="0.25">
      <c r="A42" s="509" t="s">
        <v>531</v>
      </c>
      <c r="B42" s="490">
        <v>1</v>
      </c>
      <c r="C42" s="490">
        <v>1</v>
      </c>
      <c r="D42" s="486">
        <v>352000</v>
      </c>
      <c r="E42" s="681">
        <v>352000</v>
      </c>
      <c r="F42" s="696"/>
      <c r="G42" s="694">
        <f t="shared" si="5"/>
        <v>352000</v>
      </c>
      <c r="H42" s="489"/>
      <c r="I42" s="694">
        <f t="shared" si="6"/>
        <v>352000</v>
      </c>
      <c r="J42" s="509"/>
      <c r="K42" s="694">
        <f t="shared" si="7"/>
        <v>352000</v>
      </c>
      <c r="L42" s="1265"/>
      <c r="M42" s="1279">
        <f t="shared" si="1"/>
        <v>352000</v>
      </c>
    </row>
    <row r="43" spans="1:13" x14ac:dyDescent="0.25">
      <c r="A43" s="509"/>
      <c r="B43" s="490"/>
      <c r="C43" s="490"/>
      <c r="D43" s="486"/>
      <c r="E43" s="681"/>
      <c r="F43" s="696"/>
      <c r="G43" s="694">
        <f t="shared" si="5"/>
        <v>0</v>
      </c>
      <c r="H43" s="489"/>
      <c r="I43" s="694">
        <f t="shared" si="6"/>
        <v>0</v>
      </c>
      <c r="J43" s="509"/>
      <c r="K43" s="694">
        <f t="shared" si="7"/>
        <v>0</v>
      </c>
      <c r="L43" s="1265"/>
      <c r="M43" s="1266">
        <f t="shared" si="1"/>
        <v>0</v>
      </c>
    </row>
    <row r="44" spans="1:13" x14ac:dyDescent="0.25">
      <c r="A44" s="498" t="s">
        <v>328</v>
      </c>
      <c r="B44" s="492"/>
      <c r="C44" s="505"/>
      <c r="D44" s="486"/>
      <c r="E44" s="687">
        <f>E45+E48+E62</f>
        <v>179418554</v>
      </c>
      <c r="F44" s="500">
        <f>F45+F48+F62+F66+F67</f>
        <v>8043483</v>
      </c>
      <c r="G44" s="687">
        <f>G45+G48+G62+G66+G67</f>
        <v>187462037</v>
      </c>
      <c r="H44" s="500">
        <f>H45+H48+H62+H66+H67</f>
        <v>7366818</v>
      </c>
      <c r="I44" s="687">
        <f>I45+I48+I62+I66+I67</f>
        <v>194828855</v>
      </c>
      <c r="J44" s="750">
        <f>J45+J48+J62+J66+J67</f>
        <v>1774392</v>
      </c>
      <c r="K44" s="707">
        <f t="shared" si="7"/>
        <v>196603247</v>
      </c>
      <c r="L44" s="1265"/>
      <c r="M44" s="1266">
        <f t="shared" si="1"/>
        <v>196603247</v>
      </c>
    </row>
    <row r="45" spans="1:13" x14ac:dyDescent="0.25">
      <c r="A45" s="498" t="s">
        <v>860</v>
      </c>
      <c r="B45" s="492"/>
      <c r="C45" s="505"/>
      <c r="D45" s="486"/>
      <c r="E45" s="687">
        <f>SUM(E46:E47)</f>
        <v>0</v>
      </c>
      <c r="F45" s="696"/>
      <c r="G45" s="687">
        <f>SUM(G46:G47)</f>
        <v>0</v>
      </c>
      <c r="H45" s="489"/>
      <c r="I45" s="988"/>
      <c r="J45" s="509"/>
      <c r="K45" s="694">
        <f t="shared" si="7"/>
        <v>0</v>
      </c>
      <c r="L45" s="1265"/>
      <c r="M45" s="1266">
        <f t="shared" si="1"/>
        <v>0</v>
      </c>
    </row>
    <row r="46" spans="1:13" x14ac:dyDescent="0.25">
      <c r="A46" s="487" t="s">
        <v>318</v>
      </c>
      <c r="B46" s="492"/>
      <c r="C46" s="505"/>
      <c r="D46" s="486"/>
      <c r="E46" s="682"/>
      <c r="F46" s="696"/>
      <c r="G46" s="694"/>
      <c r="H46" s="489"/>
      <c r="I46" s="988"/>
      <c r="J46" s="509"/>
      <c r="K46" s="694">
        <f t="shared" si="7"/>
        <v>0</v>
      </c>
      <c r="L46" s="1265"/>
      <c r="M46" s="1266">
        <f t="shared" si="1"/>
        <v>0</v>
      </c>
    </row>
    <row r="47" spans="1:13" x14ac:dyDescent="0.25">
      <c r="A47" s="487" t="s">
        <v>317</v>
      </c>
      <c r="B47" s="492"/>
      <c r="C47" s="505"/>
      <c r="D47" s="486"/>
      <c r="E47" s="682"/>
      <c r="F47" s="696"/>
      <c r="G47" s="694"/>
      <c r="H47" s="489"/>
      <c r="I47" s="988"/>
      <c r="J47" s="509"/>
      <c r="K47" s="694">
        <f t="shared" si="7"/>
        <v>0</v>
      </c>
      <c r="L47" s="1265"/>
      <c r="M47" s="1266">
        <f t="shared" si="1"/>
        <v>0</v>
      </c>
    </row>
    <row r="48" spans="1:13" x14ac:dyDescent="0.25">
      <c r="A48" s="498" t="s">
        <v>861</v>
      </c>
      <c r="B48" s="490"/>
      <c r="C48" s="505"/>
      <c r="D48" s="486"/>
      <c r="E48" s="687">
        <f>E49+E50+E51+E52+E53+E54+E58</f>
        <v>95448380</v>
      </c>
      <c r="F48" s="687">
        <f>F49+F50+F51+F52+F53+F54+F58</f>
        <v>0</v>
      </c>
      <c r="G48" s="687">
        <f>G49+G50+G51+G52+G53+G54+G58</f>
        <v>95448380</v>
      </c>
      <c r="H48" s="500">
        <f>H49+H50+H51+H52+H53+H54+H58</f>
        <v>0</v>
      </c>
      <c r="I48" s="687">
        <f>I49+I50+I51+I52+I53+I54+I58</f>
        <v>95448380</v>
      </c>
      <c r="J48" s="698">
        <f>J54</f>
        <v>-1540000</v>
      </c>
      <c r="K48" s="707">
        <f t="shared" si="7"/>
        <v>93908380</v>
      </c>
      <c r="L48" s="1267">
        <f>L62+L67</f>
        <v>-1520371</v>
      </c>
      <c r="M48" s="1266">
        <f t="shared" si="1"/>
        <v>92388009</v>
      </c>
    </row>
    <row r="49" spans="1:13" ht="14.4" x14ac:dyDescent="0.3">
      <c r="A49" s="512" t="s">
        <v>515</v>
      </c>
      <c r="B49" s="490"/>
      <c r="C49" s="502">
        <f>E49/D49</f>
        <v>7.6</v>
      </c>
      <c r="D49" s="486">
        <v>3000000</v>
      </c>
      <c r="E49" s="682">
        <v>22800000</v>
      </c>
      <c r="F49" s="696"/>
      <c r="G49" s="694">
        <f t="shared" ref="G49:G61" si="8">E49+F49</f>
        <v>22800000</v>
      </c>
      <c r="H49" s="489"/>
      <c r="I49" s="694">
        <f t="shared" ref="I49:I61" si="9">G49+H49</f>
        <v>22800000</v>
      </c>
      <c r="J49" s="509"/>
      <c r="K49" s="694">
        <f t="shared" si="7"/>
        <v>22800000</v>
      </c>
      <c r="L49" s="1265"/>
      <c r="M49" s="1279">
        <f t="shared" si="1"/>
        <v>22800000</v>
      </c>
    </row>
    <row r="50" spans="1:13" ht="14.4" x14ac:dyDescent="0.3">
      <c r="A50" s="512" t="s">
        <v>516</v>
      </c>
      <c r="B50" s="490"/>
      <c r="C50" s="502">
        <f>E50/D50</f>
        <v>3.7</v>
      </c>
      <c r="D50" s="486">
        <v>3000000</v>
      </c>
      <c r="E50" s="682">
        <v>11100000</v>
      </c>
      <c r="F50" s="696"/>
      <c r="G50" s="694">
        <f t="shared" si="8"/>
        <v>11100000</v>
      </c>
      <c r="H50" s="489"/>
      <c r="I50" s="694">
        <f t="shared" si="9"/>
        <v>11100000</v>
      </c>
      <c r="J50" s="509"/>
      <c r="K50" s="694">
        <f t="shared" si="7"/>
        <v>11100000</v>
      </c>
      <c r="L50" s="1265"/>
      <c r="M50" s="1279">
        <f t="shared" si="1"/>
        <v>11100000</v>
      </c>
    </row>
    <row r="51" spans="1:13" x14ac:dyDescent="0.25">
      <c r="A51" s="487" t="s">
        <v>867</v>
      </c>
      <c r="B51" s="490">
        <v>100</v>
      </c>
      <c r="C51" s="505">
        <v>100</v>
      </c>
      <c r="D51" s="486">
        <v>55360</v>
      </c>
      <c r="E51" s="682">
        <f>C51*D51</f>
        <v>5536000</v>
      </c>
      <c r="F51" s="696"/>
      <c r="G51" s="694">
        <f t="shared" si="8"/>
        <v>5536000</v>
      </c>
      <c r="H51" s="489"/>
      <c r="I51" s="694">
        <f t="shared" si="9"/>
        <v>5536000</v>
      </c>
      <c r="J51" s="509"/>
      <c r="K51" s="694">
        <f t="shared" si="7"/>
        <v>5536000</v>
      </c>
      <c r="L51" s="1265"/>
      <c r="M51" s="1279">
        <f t="shared" si="1"/>
        <v>5536000</v>
      </c>
    </row>
    <row r="52" spans="1:13" x14ac:dyDescent="0.25">
      <c r="A52" s="487" t="s">
        <v>517</v>
      </c>
      <c r="B52" s="490">
        <v>35</v>
      </c>
      <c r="C52" s="505">
        <v>35</v>
      </c>
      <c r="D52" s="486">
        <v>188500</v>
      </c>
      <c r="E52" s="682">
        <f>C52*D52</f>
        <v>6597500</v>
      </c>
      <c r="F52" s="696"/>
      <c r="G52" s="694">
        <f t="shared" si="8"/>
        <v>6597500</v>
      </c>
      <c r="H52" s="489"/>
      <c r="I52" s="694">
        <f t="shared" si="9"/>
        <v>6597500</v>
      </c>
      <c r="J52" s="509"/>
      <c r="K52" s="694">
        <f t="shared" si="7"/>
        <v>6597500</v>
      </c>
      <c r="L52" s="1265"/>
      <c r="M52" s="1279">
        <f t="shared" si="1"/>
        <v>6597500</v>
      </c>
    </row>
    <row r="53" spans="1:13" x14ac:dyDescent="0.25">
      <c r="A53" s="513" t="s">
        <v>518</v>
      </c>
      <c r="B53" s="490">
        <v>43</v>
      </c>
      <c r="C53" s="505">
        <v>43</v>
      </c>
      <c r="D53" s="506">
        <v>163500</v>
      </c>
      <c r="E53" s="682">
        <f>C53*D53</f>
        <v>7030500</v>
      </c>
      <c r="F53" s="696"/>
      <c r="G53" s="694">
        <f t="shared" si="8"/>
        <v>7030500</v>
      </c>
      <c r="H53" s="489"/>
      <c r="I53" s="694">
        <f t="shared" si="9"/>
        <v>7030500</v>
      </c>
      <c r="J53" s="509"/>
      <c r="K53" s="694">
        <f t="shared" si="7"/>
        <v>7030500</v>
      </c>
      <c r="L53" s="1265"/>
      <c r="M53" s="1279">
        <f t="shared" si="1"/>
        <v>7030500</v>
      </c>
    </row>
    <row r="54" spans="1:13" ht="14.4" x14ac:dyDescent="0.3">
      <c r="A54" s="512" t="s">
        <v>870</v>
      </c>
      <c r="B54" s="514"/>
      <c r="C54" s="515"/>
      <c r="D54" s="516"/>
      <c r="E54" s="682">
        <f>E55+E56+E57</f>
        <v>17600000</v>
      </c>
      <c r="F54" s="696"/>
      <c r="G54" s="694">
        <f t="shared" si="8"/>
        <v>17600000</v>
      </c>
      <c r="H54" s="489"/>
      <c r="I54" s="694">
        <f t="shared" si="9"/>
        <v>17600000</v>
      </c>
      <c r="J54" s="1100">
        <f>J55+J56</f>
        <v>-1540000</v>
      </c>
      <c r="K54" s="694">
        <f t="shared" si="7"/>
        <v>16060000</v>
      </c>
      <c r="L54" s="1265"/>
      <c r="M54" s="1279">
        <f t="shared" si="1"/>
        <v>16060000</v>
      </c>
    </row>
    <row r="55" spans="1:13" x14ac:dyDescent="0.25">
      <c r="A55" s="487" t="s">
        <v>329</v>
      </c>
      <c r="B55" s="490">
        <v>15</v>
      </c>
      <c r="C55" s="505">
        <v>15</v>
      </c>
      <c r="D55" s="486">
        <v>550000</v>
      </c>
      <c r="E55" s="682">
        <f>C55*D55</f>
        <v>8250000</v>
      </c>
      <c r="F55" s="696"/>
      <c r="G55" s="694">
        <f t="shared" si="8"/>
        <v>8250000</v>
      </c>
      <c r="H55" s="489"/>
      <c r="I55" s="694">
        <f t="shared" si="9"/>
        <v>8250000</v>
      </c>
      <c r="J55" s="697">
        <v>-1100000</v>
      </c>
      <c r="K55" s="694">
        <f t="shared" si="7"/>
        <v>7150000</v>
      </c>
      <c r="L55" s="1265"/>
      <c r="M55" s="1279">
        <f t="shared" si="1"/>
        <v>7150000</v>
      </c>
    </row>
    <row r="56" spans="1:13" x14ac:dyDescent="0.25">
      <c r="A56" s="513" t="s">
        <v>872</v>
      </c>
      <c r="B56" s="490">
        <v>25</v>
      </c>
      <c r="C56" s="505">
        <v>25</v>
      </c>
      <c r="D56" s="486">
        <v>220000</v>
      </c>
      <c r="E56" s="682">
        <f>C56*D56</f>
        <v>5500000</v>
      </c>
      <c r="F56" s="696"/>
      <c r="G56" s="694">
        <f t="shared" si="8"/>
        <v>5500000</v>
      </c>
      <c r="H56" s="489"/>
      <c r="I56" s="694">
        <f t="shared" si="9"/>
        <v>5500000</v>
      </c>
      <c r="J56" s="697">
        <v>-440000</v>
      </c>
      <c r="K56" s="694">
        <f t="shared" si="7"/>
        <v>5060000</v>
      </c>
      <c r="L56" s="1265"/>
      <c r="M56" s="1279">
        <f t="shared" si="1"/>
        <v>5060000</v>
      </c>
    </row>
    <row r="57" spans="1:13" x14ac:dyDescent="0.25">
      <c r="A57" s="509" t="s">
        <v>330</v>
      </c>
      <c r="B57" s="490">
        <v>7</v>
      </c>
      <c r="C57" s="505">
        <v>7</v>
      </c>
      <c r="D57" s="486">
        <v>550000</v>
      </c>
      <c r="E57" s="682">
        <f>C57*D57</f>
        <v>3850000</v>
      </c>
      <c r="F57" s="696"/>
      <c r="G57" s="694">
        <f t="shared" si="8"/>
        <v>3850000</v>
      </c>
      <c r="H57" s="489"/>
      <c r="I57" s="694">
        <f t="shared" si="9"/>
        <v>3850000</v>
      </c>
      <c r="J57" s="509"/>
      <c r="K57" s="694">
        <f t="shared" si="7"/>
        <v>3850000</v>
      </c>
      <c r="L57" s="1265"/>
      <c r="M57" s="1279">
        <f t="shared" si="1"/>
        <v>3850000</v>
      </c>
    </row>
    <row r="58" spans="1:13" ht="14.4" x14ac:dyDescent="0.3">
      <c r="A58" s="512" t="s">
        <v>873</v>
      </c>
      <c r="B58" s="492"/>
      <c r="C58" s="505"/>
      <c r="D58" s="486"/>
      <c r="E58" s="682">
        <f>SUM(E59:E61)</f>
        <v>24784380</v>
      </c>
      <c r="F58" s="696"/>
      <c r="G58" s="694">
        <f t="shared" si="8"/>
        <v>24784380</v>
      </c>
      <c r="H58" s="489"/>
      <c r="I58" s="694">
        <f t="shared" si="9"/>
        <v>24784380</v>
      </c>
      <c r="J58" s="509"/>
      <c r="K58" s="694">
        <f t="shared" si="7"/>
        <v>24784380</v>
      </c>
      <c r="L58" s="1265"/>
      <c r="M58" s="1279">
        <f t="shared" si="1"/>
        <v>24784380</v>
      </c>
    </row>
    <row r="59" spans="1:13" x14ac:dyDescent="0.25">
      <c r="A59" s="487" t="s">
        <v>874</v>
      </c>
      <c r="B59" s="490">
        <v>41</v>
      </c>
      <c r="C59" s="505">
        <v>41</v>
      </c>
      <c r="D59" s="486">
        <v>494100</v>
      </c>
      <c r="E59" s="682">
        <f>C59*D59</f>
        <v>20258100</v>
      </c>
      <c r="F59" s="696"/>
      <c r="G59" s="694">
        <f t="shared" si="8"/>
        <v>20258100</v>
      </c>
      <c r="H59" s="489"/>
      <c r="I59" s="694">
        <f t="shared" si="9"/>
        <v>20258100</v>
      </c>
      <c r="J59" s="509"/>
      <c r="K59" s="694">
        <f t="shared" si="7"/>
        <v>20258100</v>
      </c>
      <c r="L59" s="1265"/>
      <c r="M59" s="1279">
        <f t="shared" si="1"/>
        <v>20258100</v>
      </c>
    </row>
    <row r="60" spans="1:13" x14ac:dyDescent="0.25">
      <c r="A60" s="487" t="s">
        <v>875</v>
      </c>
      <c r="B60" s="490">
        <v>0</v>
      </c>
      <c r="C60" s="505">
        <v>0</v>
      </c>
      <c r="D60" s="486">
        <v>518805</v>
      </c>
      <c r="E60" s="682">
        <v>0</v>
      </c>
      <c r="F60" s="696"/>
      <c r="G60" s="694">
        <f t="shared" si="8"/>
        <v>0</v>
      </c>
      <c r="H60" s="489"/>
      <c r="I60" s="694">
        <f t="shared" si="9"/>
        <v>0</v>
      </c>
      <c r="J60" s="509"/>
      <c r="K60" s="694">
        <f t="shared" si="7"/>
        <v>0</v>
      </c>
      <c r="L60" s="1265"/>
      <c r="M60" s="1279">
        <f t="shared" si="1"/>
        <v>0</v>
      </c>
    </row>
    <row r="61" spans="1:13" ht="27.6" x14ac:dyDescent="0.25">
      <c r="A61" s="513" t="s">
        <v>535</v>
      </c>
      <c r="B61" s="490">
        <v>3</v>
      </c>
      <c r="C61" s="505">
        <v>3</v>
      </c>
      <c r="D61" s="486">
        <v>1508760</v>
      </c>
      <c r="E61" s="682">
        <v>4526280</v>
      </c>
      <c r="F61" s="696"/>
      <c r="G61" s="694">
        <f t="shared" si="8"/>
        <v>4526280</v>
      </c>
      <c r="H61" s="489"/>
      <c r="I61" s="694">
        <f t="shared" si="9"/>
        <v>4526280</v>
      </c>
      <c r="J61" s="509"/>
      <c r="K61" s="694">
        <f t="shared" si="7"/>
        <v>4526280</v>
      </c>
      <c r="L61" s="1265"/>
      <c r="M61" s="1266">
        <f t="shared" si="1"/>
        <v>4526280</v>
      </c>
    </row>
    <row r="62" spans="1:13" x14ac:dyDescent="0.25">
      <c r="A62" s="498" t="s">
        <v>876</v>
      </c>
      <c r="B62" s="492"/>
      <c r="C62" s="517"/>
      <c r="D62" s="500">
        <v>1632000</v>
      </c>
      <c r="E62" s="687">
        <f>E63+E64+E65</f>
        <v>83970174</v>
      </c>
      <c r="F62" s="500">
        <f>F63+F64+F65</f>
        <v>-5985</v>
      </c>
      <c r="G62" s="687">
        <f>G63+G64+G65</f>
        <v>83964189</v>
      </c>
      <c r="H62" s="500">
        <f>H63+H64+H65</f>
        <v>3267595</v>
      </c>
      <c r="I62" s="687">
        <f>I63+I64+I65</f>
        <v>87231784</v>
      </c>
      <c r="J62" s="698">
        <f>J65+J64</f>
        <v>-666956</v>
      </c>
      <c r="K62" s="707">
        <f t="shared" si="7"/>
        <v>86564828</v>
      </c>
      <c r="L62" s="1267">
        <f>L63+L64+L65</f>
        <v>-1536632</v>
      </c>
      <c r="M62" s="1266">
        <f>K62+L62</f>
        <v>85028196</v>
      </c>
    </row>
    <row r="63" spans="1:13" x14ac:dyDescent="0.25">
      <c r="A63" s="487" t="s">
        <v>877</v>
      </c>
      <c r="B63" s="490"/>
      <c r="C63" s="490">
        <v>25.52</v>
      </c>
      <c r="D63" s="486">
        <v>1632000</v>
      </c>
      <c r="E63" s="682">
        <v>43280640</v>
      </c>
      <c r="F63" s="696"/>
      <c r="G63" s="682">
        <f>E63+F63</f>
        <v>43280640</v>
      </c>
      <c r="H63" s="489"/>
      <c r="I63" s="694">
        <f>G63+H63</f>
        <v>43280640</v>
      </c>
      <c r="J63" s="509"/>
      <c r="K63" s="694">
        <f t="shared" si="7"/>
        <v>43280640</v>
      </c>
      <c r="L63" s="1265"/>
      <c r="M63" s="1268">
        <f>K63+L63</f>
        <v>43280640</v>
      </c>
    </row>
    <row r="64" spans="1:13" x14ac:dyDescent="0.25">
      <c r="A64" s="487" t="s">
        <v>878</v>
      </c>
      <c r="B64" s="490">
        <v>1194</v>
      </c>
      <c r="C64" s="518"/>
      <c r="D64" s="486"/>
      <c r="E64" s="682">
        <v>39764652</v>
      </c>
      <c r="F64" s="696"/>
      <c r="G64" s="682">
        <f>E64+F64</f>
        <v>39764652</v>
      </c>
      <c r="H64" s="696">
        <v>3267595</v>
      </c>
      <c r="I64" s="694">
        <f>G64+H64</f>
        <v>43032247</v>
      </c>
      <c r="J64" s="697">
        <v>-64067</v>
      </c>
      <c r="K64" s="694">
        <f t="shared" si="7"/>
        <v>42968180</v>
      </c>
      <c r="L64" s="1265">
        <v>-1536632</v>
      </c>
      <c r="M64" s="1268">
        <f>K64+L64</f>
        <v>41431548</v>
      </c>
    </row>
    <row r="65" spans="1:13" x14ac:dyDescent="0.25">
      <c r="A65" s="487" t="s">
        <v>519</v>
      </c>
      <c r="B65" s="492">
        <v>37</v>
      </c>
      <c r="C65" s="518"/>
      <c r="D65" s="486"/>
      <c r="E65" s="682">
        <v>924882</v>
      </c>
      <c r="F65" s="696">
        <v>-5985</v>
      </c>
      <c r="G65" s="682">
        <f>E65+F65</f>
        <v>918897</v>
      </c>
      <c r="H65" s="489"/>
      <c r="I65" s="694">
        <f>G65+H65</f>
        <v>918897</v>
      </c>
      <c r="J65" s="697">
        <v>-602889</v>
      </c>
      <c r="K65" s="694">
        <f t="shared" si="7"/>
        <v>316008</v>
      </c>
      <c r="L65" s="1265"/>
      <c r="M65" s="1268">
        <f t="shared" ref="M65:M80" si="10">K65+L65</f>
        <v>316008</v>
      </c>
    </row>
    <row r="66" spans="1:13" x14ac:dyDescent="0.25">
      <c r="A66" s="487" t="s">
        <v>409</v>
      </c>
      <c r="B66" s="490"/>
      <c r="C66" s="490"/>
      <c r="D66" s="486"/>
      <c r="E66" s="682"/>
      <c r="F66" s="696">
        <v>2826903</v>
      </c>
      <c r="G66" s="682">
        <f>E66+F66</f>
        <v>2826903</v>
      </c>
      <c r="H66" s="844">
        <v>1479932</v>
      </c>
      <c r="I66" s="694">
        <f>G66+H66</f>
        <v>4306835</v>
      </c>
      <c r="J66" s="509">
        <v>1402806</v>
      </c>
      <c r="K66" s="694">
        <f t="shared" si="7"/>
        <v>5709641</v>
      </c>
      <c r="L66" s="1265"/>
      <c r="M66" s="1268">
        <f t="shared" si="10"/>
        <v>5709641</v>
      </c>
    </row>
    <row r="67" spans="1:13" x14ac:dyDescent="0.25">
      <c r="A67" s="487" t="s">
        <v>410</v>
      </c>
      <c r="B67" s="490"/>
      <c r="C67" s="490"/>
      <c r="D67" s="486"/>
      <c r="E67" s="684"/>
      <c r="F67" s="696">
        <v>5222565</v>
      </c>
      <c r="G67" s="682">
        <f>E67+F67</f>
        <v>5222565</v>
      </c>
      <c r="H67" s="696">
        <v>2619291</v>
      </c>
      <c r="I67" s="694">
        <f>G67+H67</f>
        <v>7841856</v>
      </c>
      <c r="J67" s="509">
        <v>2578542</v>
      </c>
      <c r="K67" s="694">
        <f t="shared" si="7"/>
        <v>10420398</v>
      </c>
      <c r="L67" s="1265">
        <v>16261</v>
      </c>
      <c r="M67" s="1268">
        <f t="shared" si="10"/>
        <v>10436659</v>
      </c>
    </row>
    <row r="68" spans="1:13" x14ac:dyDescent="0.25">
      <c r="A68" s="487"/>
      <c r="B68" s="490"/>
      <c r="C68" s="490"/>
      <c r="D68" s="486"/>
      <c r="E68" s="684"/>
      <c r="F68" s="696"/>
      <c r="G68" s="682"/>
      <c r="H68" s="489"/>
      <c r="I68" s="988"/>
      <c r="J68" s="509"/>
      <c r="K68" s="694">
        <f t="shared" si="7"/>
        <v>0</v>
      </c>
      <c r="L68" s="1265"/>
      <c r="M68" s="1268">
        <f t="shared" si="10"/>
        <v>0</v>
      </c>
    </row>
    <row r="69" spans="1:13" x14ac:dyDescent="0.25">
      <c r="A69" s="519" t="s">
        <v>884</v>
      </c>
      <c r="B69" s="488"/>
      <c r="C69" s="488"/>
      <c r="D69" s="488"/>
      <c r="E69" s="688">
        <f>E70</f>
        <v>15849420</v>
      </c>
      <c r="F69" s="695">
        <f>SUM(F70:F71)</f>
        <v>765372</v>
      </c>
      <c r="G69" s="688">
        <f>SUM(G70:G71)</f>
        <v>16614792</v>
      </c>
      <c r="H69" s="695">
        <f>SUM(H70:H71)</f>
        <v>0</v>
      </c>
      <c r="I69" s="688">
        <f>SUM(I70:I71)</f>
        <v>16614792</v>
      </c>
      <c r="J69" s="509"/>
      <c r="K69" s="694">
        <f t="shared" ref="K69:K80" si="11">I69+J69</f>
        <v>16614792</v>
      </c>
      <c r="L69" s="1265"/>
      <c r="M69" s="1268">
        <f t="shared" si="10"/>
        <v>16614792</v>
      </c>
    </row>
    <row r="70" spans="1:13" x14ac:dyDescent="0.25">
      <c r="A70" s="520" t="s">
        <v>885</v>
      </c>
      <c r="B70" s="505">
        <v>13903</v>
      </c>
      <c r="C70" s="505">
        <v>13903</v>
      </c>
      <c r="D70" s="486">
        <v>1140</v>
      </c>
      <c r="E70" s="681">
        <f>C70*D70</f>
        <v>15849420</v>
      </c>
      <c r="F70" s="696"/>
      <c r="G70" s="681">
        <f>E70+F70</f>
        <v>15849420</v>
      </c>
      <c r="H70" s="489"/>
      <c r="I70" s="694">
        <f>G70+H70</f>
        <v>15849420</v>
      </c>
      <c r="J70" s="509"/>
      <c r="K70" s="694">
        <f t="shared" si="11"/>
        <v>15849420</v>
      </c>
      <c r="L70" s="1265"/>
      <c r="M70" s="1268">
        <f t="shared" si="10"/>
        <v>15849420</v>
      </c>
    </row>
    <row r="71" spans="1:13" x14ac:dyDescent="0.25">
      <c r="A71" s="509" t="s">
        <v>670</v>
      </c>
      <c r="B71" s="505"/>
      <c r="C71" s="505"/>
      <c r="D71" s="486"/>
      <c r="E71" s="681"/>
      <c r="F71" s="696">
        <v>765372</v>
      </c>
      <c r="G71" s="681">
        <f>E71+F71</f>
        <v>765372</v>
      </c>
      <c r="H71" s="489"/>
      <c r="I71" s="694">
        <f>G71+H71</f>
        <v>765372</v>
      </c>
      <c r="J71" s="509"/>
      <c r="K71" s="694">
        <f t="shared" si="11"/>
        <v>765372</v>
      </c>
      <c r="L71" s="1265"/>
      <c r="M71" s="1268">
        <f t="shared" si="10"/>
        <v>765372</v>
      </c>
    </row>
    <row r="72" spans="1:13" x14ac:dyDescent="0.25">
      <c r="A72" s="509"/>
      <c r="B72" s="505"/>
      <c r="C72" s="505"/>
      <c r="D72" s="486"/>
      <c r="E72" s="681"/>
      <c r="F72" s="696"/>
      <c r="G72" s="694"/>
      <c r="H72" s="489"/>
      <c r="I72" s="988"/>
      <c r="J72" s="509"/>
      <c r="K72" s="694">
        <f t="shared" si="11"/>
        <v>0</v>
      </c>
      <c r="L72" s="1265"/>
      <c r="M72" s="1268">
        <f t="shared" si="10"/>
        <v>0</v>
      </c>
    </row>
    <row r="73" spans="1:13" s="708" customFormat="1" x14ac:dyDescent="0.25">
      <c r="A73" s="508" t="s">
        <v>407</v>
      </c>
      <c r="B73" s="499"/>
      <c r="C73" s="499"/>
      <c r="D73" s="500"/>
      <c r="E73" s="688"/>
      <c r="F73" s="706">
        <f>SUM(F74:F76)</f>
        <v>11501374</v>
      </c>
      <c r="G73" s="707">
        <f>SUM(G74:G76)</f>
        <v>11501374</v>
      </c>
      <c r="H73" s="706">
        <f>SUM(H74:H76)</f>
        <v>58110200</v>
      </c>
      <c r="I73" s="707">
        <f>SUM(I74:I76)</f>
        <v>69611574</v>
      </c>
      <c r="J73" s="508">
        <f>SUM(J74:J76)</f>
        <v>-391795</v>
      </c>
      <c r="K73" s="707">
        <f t="shared" si="11"/>
        <v>69219779</v>
      </c>
      <c r="L73" s="1267">
        <f>L77+L76+L75+L74</f>
        <v>35034070</v>
      </c>
      <c r="M73" s="1266">
        <f t="shared" si="10"/>
        <v>104253849</v>
      </c>
    </row>
    <row r="74" spans="1:13" x14ac:dyDescent="0.25">
      <c r="A74" s="509" t="s">
        <v>408</v>
      </c>
      <c r="B74" s="505"/>
      <c r="C74" s="505"/>
      <c r="D74" s="486"/>
      <c r="E74" s="681"/>
      <c r="F74" s="696">
        <f>5771999+5729375</f>
        <v>11501374</v>
      </c>
      <c r="G74" s="694">
        <f>E74+F74</f>
        <v>11501374</v>
      </c>
      <c r="H74" s="489"/>
      <c r="I74" s="694">
        <f>G74+H74</f>
        <v>11501374</v>
      </c>
      <c r="J74" s="509">
        <v>-391795</v>
      </c>
      <c r="K74" s="694">
        <f t="shared" si="11"/>
        <v>11109579</v>
      </c>
      <c r="L74" s="1265"/>
      <c r="M74" s="1268">
        <f t="shared" si="10"/>
        <v>11109579</v>
      </c>
    </row>
    <row r="75" spans="1:13" x14ac:dyDescent="0.25">
      <c r="A75" s="509" t="s">
        <v>10</v>
      </c>
      <c r="B75" s="505"/>
      <c r="C75" s="505"/>
      <c r="D75" s="486"/>
      <c r="E75" s="681"/>
      <c r="F75" s="696"/>
      <c r="G75" s="694"/>
      <c r="H75" s="489">
        <v>56338200</v>
      </c>
      <c r="I75" s="694">
        <f>G75+H75</f>
        <v>56338200</v>
      </c>
      <c r="J75" s="509"/>
      <c r="K75" s="694">
        <f t="shared" si="11"/>
        <v>56338200</v>
      </c>
      <c r="L75" s="1265"/>
      <c r="M75" s="1268">
        <f t="shared" si="10"/>
        <v>56338200</v>
      </c>
    </row>
    <row r="76" spans="1:13" x14ac:dyDescent="0.25">
      <c r="A76" s="509" t="s">
        <v>11</v>
      </c>
      <c r="B76" s="505"/>
      <c r="C76" s="505"/>
      <c r="D76" s="486"/>
      <c r="E76" s="681"/>
      <c r="F76" s="696"/>
      <c r="G76" s="694"/>
      <c r="H76" s="489">
        <v>1772000</v>
      </c>
      <c r="I76" s="694">
        <f>G76+H76</f>
        <v>1772000</v>
      </c>
      <c r="J76" s="509"/>
      <c r="K76" s="694">
        <f t="shared" si="11"/>
        <v>1772000</v>
      </c>
      <c r="L76" s="1265"/>
      <c r="M76" s="1268">
        <f t="shared" si="10"/>
        <v>1772000</v>
      </c>
    </row>
    <row r="77" spans="1:13" x14ac:dyDescent="0.25">
      <c r="A77" s="509" t="s">
        <v>546</v>
      </c>
      <c r="B77" s="505"/>
      <c r="C77" s="505"/>
      <c r="D77" s="486"/>
      <c r="E77" s="681"/>
      <c r="F77" s="696"/>
      <c r="G77" s="694"/>
      <c r="H77" s="489"/>
      <c r="I77" s="694"/>
      <c r="J77" s="509"/>
      <c r="K77" s="694"/>
      <c r="L77" s="1265">
        <v>35034070</v>
      </c>
      <c r="M77" s="1268">
        <f t="shared" si="10"/>
        <v>35034070</v>
      </c>
    </row>
    <row r="78" spans="1:13" x14ac:dyDescent="0.25">
      <c r="A78" s="509"/>
      <c r="B78" s="505"/>
      <c r="C78" s="505"/>
      <c r="D78" s="486"/>
      <c r="E78" s="681"/>
      <c r="F78" s="696"/>
      <c r="G78" s="694"/>
      <c r="H78" s="489"/>
      <c r="I78" s="694"/>
      <c r="J78" s="509"/>
      <c r="K78" s="694">
        <f t="shared" si="11"/>
        <v>0</v>
      </c>
      <c r="L78" s="1265"/>
      <c r="M78" s="1268">
        <f t="shared" si="10"/>
        <v>0</v>
      </c>
    </row>
    <row r="79" spans="1:13" s="708" customFormat="1" x14ac:dyDescent="0.25">
      <c r="A79" s="508" t="s">
        <v>405</v>
      </c>
      <c r="B79" s="499"/>
      <c r="C79" s="499"/>
      <c r="D79" s="500"/>
      <c r="E79" s="688"/>
      <c r="F79" s="706">
        <v>1075175</v>
      </c>
      <c r="G79" s="707">
        <f>E79+F79</f>
        <v>1075175</v>
      </c>
      <c r="H79" s="759"/>
      <c r="I79" s="707">
        <f>G79+H79</f>
        <v>1075175</v>
      </c>
      <c r="J79" s="508"/>
      <c r="K79" s="694">
        <f t="shared" si="11"/>
        <v>1075175</v>
      </c>
      <c r="L79" s="1267"/>
      <c r="M79" s="1268">
        <f t="shared" si="10"/>
        <v>1075175</v>
      </c>
    </row>
    <row r="80" spans="1:13" s="708" customFormat="1" x14ac:dyDescent="0.25">
      <c r="A80" s="508"/>
      <c r="B80" s="499"/>
      <c r="C80" s="499"/>
      <c r="D80" s="500"/>
      <c r="E80" s="688"/>
      <c r="F80" s="706"/>
      <c r="G80" s="707"/>
      <c r="H80" s="759"/>
      <c r="I80" s="707"/>
      <c r="J80" s="508"/>
      <c r="K80" s="694">
        <f t="shared" si="11"/>
        <v>0</v>
      </c>
      <c r="L80" s="1267"/>
      <c r="M80" s="1268">
        <f t="shared" si="10"/>
        <v>0</v>
      </c>
    </row>
    <row r="81" spans="1:13" s="708" customFormat="1" x14ac:dyDescent="0.25">
      <c r="A81" s="508" t="s">
        <v>55</v>
      </c>
      <c r="B81" s="499"/>
      <c r="C81" s="499"/>
      <c r="D81" s="500"/>
      <c r="E81" s="688"/>
      <c r="F81" s="706"/>
      <c r="G81" s="707"/>
      <c r="H81" s="759"/>
      <c r="I81" s="707"/>
      <c r="J81" s="698">
        <v>4980000</v>
      </c>
      <c r="K81" s="707">
        <f>J81</f>
        <v>4980000</v>
      </c>
      <c r="L81" s="1267">
        <v>-4980000</v>
      </c>
      <c r="M81" s="1266">
        <f t="shared" ref="M81:M86" si="12">K81+L81</f>
        <v>0</v>
      </c>
    </row>
    <row r="82" spans="1:13" s="708" customFormat="1" x14ac:dyDescent="0.25">
      <c r="A82" s="508"/>
      <c r="B82" s="499"/>
      <c r="C82" s="499"/>
      <c r="D82" s="500"/>
      <c r="E82" s="688"/>
      <c r="F82" s="706"/>
      <c r="G82" s="707"/>
      <c r="H82" s="759"/>
      <c r="I82" s="707"/>
      <c r="J82" s="508"/>
      <c r="K82" s="694"/>
      <c r="L82" s="1267"/>
      <c r="M82" s="1269">
        <f t="shared" si="12"/>
        <v>0</v>
      </c>
    </row>
    <row r="83" spans="1:13" s="708" customFormat="1" x14ac:dyDescent="0.25">
      <c r="A83" s="508" t="s">
        <v>14</v>
      </c>
      <c r="B83" s="499"/>
      <c r="C83" s="499"/>
      <c r="D83" s="500"/>
      <c r="E83" s="706">
        <f>SUM(E84:E85)</f>
        <v>72000000</v>
      </c>
      <c r="F83" s="706">
        <f>SUM(F84:F85)</f>
        <v>0</v>
      </c>
      <c r="G83" s="706">
        <f>SUM(G84:G85)</f>
        <v>72000000</v>
      </c>
      <c r="H83" s="706">
        <f>SUM(H84:H85)</f>
        <v>1600000</v>
      </c>
      <c r="I83" s="707">
        <f>G83+H83</f>
        <v>73600000</v>
      </c>
      <c r="J83" s="698">
        <f>J86</f>
        <v>1908000</v>
      </c>
      <c r="K83" s="707">
        <f>I83+J83</f>
        <v>75508000</v>
      </c>
      <c r="L83" s="1267">
        <f>L84+L85+L86+L87</f>
        <v>1397000</v>
      </c>
      <c r="M83" s="1266">
        <f t="shared" si="12"/>
        <v>76905000</v>
      </c>
    </row>
    <row r="84" spans="1:13" s="708" customFormat="1" x14ac:dyDescent="0.25">
      <c r="A84" s="509" t="s">
        <v>16</v>
      </c>
      <c r="B84" s="499"/>
      <c r="C84" s="499"/>
      <c r="D84" s="500"/>
      <c r="E84" s="681">
        <v>72000000</v>
      </c>
      <c r="F84" s="696"/>
      <c r="G84" s="694">
        <f>E84+F84</f>
        <v>72000000</v>
      </c>
      <c r="H84" s="489"/>
      <c r="I84" s="694">
        <f>G84+H84</f>
        <v>72000000</v>
      </c>
      <c r="J84" s="698"/>
      <c r="K84" s="694">
        <f>I84+J84</f>
        <v>72000000</v>
      </c>
      <c r="L84" s="1267"/>
      <c r="M84" s="1269">
        <f t="shared" si="12"/>
        <v>72000000</v>
      </c>
    </row>
    <row r="85" spans="1:13" s="455" customFormat="1" x14ac:dyDescent="0.25">
      <c r="A85" s="509" t="s">
        <v>15</v>
      </c>
      <c r="B85" s="505"/>
      <c r="C85" s="505"/>
      <c r="D85" s="486"/>
      <c r="E85" s="681"/>
      <c r="F85" s="696"/>
      <c r="G85" s="694"/>
      <c r="H85" s="489">
        <v>1600000</v>
      </c>
      <c r="I85" s="694">
        <f>G85+H85</f>
        <v>1600000</v>
      </c>
      <c r="J85" s="697"/>
      <c r="K85" s="694">
        <f>I85+J85</f>
        <v>1600000</v>
      </c>
      <c r="L85" s="1270"/>
      <c r="M85" s="1269">
        <f t="shared" si="12"/>
        <v>1600000</v>
      </c>
    </row>
    <row r="86" spans="1:13" s="455" customFormat="1" x14ac:dyDescent="0.25">
      <c r="A86" s="509" t="s">
        <v>56</v>
      </c>
      <c r="B86" s="505"/>
      <c r="C86" s="505"/>
      <c r="D86" s="486"/>
      <c r="E86" s="681"/>
      <c r="F86" s="696"/>
      <c r="G86" s="694"/>
      <c r="H86" s="489"/>
      <c r="I86" s="694"/>
      <c r="J86" s="697">
        <v>1908000</v>
      </c>
      <c r="K86" s="694">
        <f>I86+J86</f>
        <v>1908000</v>
      </c>
      <c r="L86" s="1270"/>
      <c r="M86" s="1269">
        <f t="shared" si="12"/>
        <v>1908000</v>
      </c>
    </row>
    <row r="87" spans="1:13" s="455" customFormat="1" x14ac:dyDescent="0.25">
      <c r="A87" s="509" t="s">
        <v>55</v>
      </c>
      <c r="B87" s="505"/>
      <c r="C87" s="505"/>
      <c r="D87" s="486"/>
      <c r="E87" s="681"/>
      <c r="F87" s="696"/>
      <c r="G87" s="694"/>
      <c r="H87" s="489"/>
      <c r="I87" s="694"/>
      <c r="J87" s="1101"/>
      <c r="K87" s="694"/>
      <c r="L87" s="1270">
        <v>1397000</v>
      </c>
      <c r="M87" s="1269">
        <f>K87+L87</f>
        <v>1397000</v>
      </c>
    </row>
    <row r="88" spans="1:13" x14ac:dyDescent="0.25">
      <c r="A88" s="520"/>
      <c r="B88" s="505"/>
      <c r="C88" s="505"/>
      <c r="D88" s="486"/>
      <c r="E88" s="681"/>
      <c r="F88" s="696"/>
      <c r="G88" s="694"/>
      <c r="H88" s="489"/>
      <c r="I88" s="988"/>
      <c r="J88" s="509"/>
      <c r="K88" s="694">
        <f>I88+J88</f>
        <v>0</v>
      </c>
      <c r="L88" s="1265"/>
      <c r="M88" s="1269">
        <f>K88+L88</f>
        <v>0</v>
      </c>
    </row>
    <row r="89" spans="1:13" ht="14.4" thickBot="1" x14ac:dyDescent="0.3">
      <c r="A89" s="521" t="s">
        <v>888</v>
      </c>
      <c r="B89" s="522"/>
      <c r="C89" s="522"/>
      <c r="D89" s="522"/>
      <c r="E89" s="523">
        <f>E69+E44+E30+E5+E83</f>
        <v>1113539253</v>
      </c>
      <c r="F89" s="523">
        <f>F69+F44+F30+F5+F73+F79</f>
        <v>21725936</v>
      </c>
      <c r="G89" s="689">
        <f>G69+G44+G30+G5+G73+G79+G83</f>
        <v>1135265189</v>
      </c>
      <c r="H89" s="749">
        <f>H69+H44+H30+H5+H73+H79+H83</f>
        <v>67077018</v>
      </c>
      <c r="I89" s="689">
        <f>I69+I44+I30+I5+I73+I79+I83</f>
        <v>1202342207</v>
      </c>
      <c r="J89" s="752">
        <f>J69+J44+J30+J5+J73+J79+J83+J81</f>
        <v>5288630</v>
      </c>
      <c r="K89" s="1099">
        <f>I89+J89</f>
        <v>1207630837</v>
      </c>
      <c r="L89" s="1271">
        <f>L83+L81+L73+L48</f>
        <v>29930699</v>
      </c>
      <c r="M89" s="1266">
        <f>K89+L89</f>
        <v>1237561536</v>
      </c>
    </row>
    <row r="90" spans="1:13" x14ac:dyDescent="0.25">
      <c r="G90" s="699">
        <f>E89+F89</f>
        <v>1135265189</v>
      </c>
    </row>
    <row r="91" spans="1:13" x14ac:dyDescent="0.25">
      <c r="H91" s="699">
        <f>H89+F89</f>
        <v>88802954</v>
      </c>
    </row>
    <row r="92" spans="1:13" x14ac:dyDescent="0.25">
      <c r="H92" s="699"/>
    </row>
    <row r="94" spans="1:13" x14ac:dyDescent="0.25">
      <c r="H94" s="699"/>
    </row>
  </sheetData>
  <mergeCells count="13">
    <mergeCell ref="A3:A4"/>
    <mergeCell ref="B3:B4"/>
    <mergeCell ref="C3:C4"/>
    <mergeCell ref="D3:D4"/>
    <mergeCell ref="M3:M4"/>
    <mergeCell ref="K3:K4"/>
    <mergeCell ref="I3:I4"/>
    <mergeCell ref="E3:E4"/>
    <mergeCell ref="F3:F4"/>
    <mergeCell ref="G3:G4"/>
    <mergeCell ref="H3:H4"/>
    <mergeCell ref="J3:J4"/>
    <mergeCell ref="L3:L4"/>
  </mergeCells>
  <phoneticPr fontId="28" type="noConversion"/>
  <pageMargins left="0.7" right="0.7" top="0.75" bottom="0.75" header="0.3" footer="0.3"/>
  <pageSetup paperSize="9" scale="54" orientation="landscape" r:id="rId1"/>
  <headerFooter alignWithMargins="0">
    <oddHeader>&amp;C&amp;"Arial,Félkövér"ÁLLAMI TÁMOGATÁSOK 2016. ÉV
2/b. melléklet
az önkormányzat 2016. évi költségvetéséről szóló 8/2016. (II.26.) önkormányzati rendelet
módosításáról szóló 7/2017.(II.24.) önkormányzati rendelethez</oddHeader>
  </headerFooter>
  <rowBreaks count="1" manualBreakCount="1">
    <brk id="4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44"/>
  <sheetViews>
    <sheetView view="pageLayout" zoomScaleNormal="100" workbookViewId="0">
      <selection activeCell="H56" sqref="H56"/>
    </sheetView>
  </sheetViews>
  <sheetFormatPr defaultRowHeight="13.8" x14ac:dyDescent="0.25"/>
  <cols>
    <col min="1" max="2" width="9.109375" style="497" customWidth="1"/>
    <col min="3" max="3" width="58.88671875" style="497" customWidth="1"/>
    <col min="4" max="4" width="9.109375" style="497" customWidth="1"/>
    <col min="5" max="5" width="10" style="497" customWidth="1"/>
    <col min="6" max="6" width="11.5546875" style="497" customWidth="1"/>
    <col min="7" max="7" width="17.109375" style="497" customWidth="1"/>
    <col min="8" max="8" width="15" style="699" customWidth="1"/>
    <col min="9" max="9" width="17.44140625" style="699" customWidth="1"/>
    <col min="10" max="10" width="13.44140625" style="497" customWidth="1"/>
    <col min="11" max="11" width="16.33203125" style="497" customWidth="1"/>
    <col min="12" max="12" width="9.5546875" style="497" customWidth="1"/>
    <col min="13" max="13" width="13.5546875" style="699" customWidth="1"/>
    <col min="14" max="14" width="16.33203125" style="497" customWidth="1"/>
    <col min="15" max="15" width="12.88671875" style="1264" customWidth="1"/>
    <col min="16" max="16" width="14.33203125" style="1264" customWidth="1"/>
    <col min="17" max="17" width="9" bestFit="1" customWidth="1"/>
    <col min="18" max="18" width="11.88671875" customWidth="1"/>
  </cols>
  <sheetData>
    <row r="2" spans="1:16" ht="14.4" thickBot="1" x14ac:dyDescent="0.3">
      <c r="A2" s="755"/>
      <c r="B2" s="756"/>
      <c r="C2" s="755"/>
      <c r="D2" s="757"/>
      <c r="E2" s="755"/>
      <c r="F2" s="755"/>
      <c r="G2" s="755"/>
      <c r="H2" s="758"/>
      <c r="I2" s="758"/>
      <c r="L2" s="824"/>
    </row>
    <row r="3" spans="1:16" ht="42" thickBot="1" x14ac:dyDescent="0.3">
      <c r="A3" s="1132" t="s">
        <v>889</v>
      </c>
      <c r="B3" s="1133" t="s">
        <v>890</v>
      </c>
      <c r="C3" s="1134" t="s">
        <v>891</v>
      </c>
      <c r="D3" s="1162" t="s">
        <v>892</v>
      </c>
      <c r="E3" s="1163" t="s">
        <v>851</v>
      </c>
      <c r="F3" s="1164" t="s">
        <v>852</v>
      </c>
      <c r="G3" s="1138" t="s">
        <v>400</v>
      </c>
      <c r="H3" s="1139" t="s">
        <v>662</v>
      </c>
      <c r="I3" s="1141" t="s">
        <v>663</v>
      </c>
      <c r="J3" s="1139" t="s">
        <v>452</v>
      </c>
      <c r="K3" s="1141" t="s">
        <v>451</v>
      </c>
      <c r="L3" s="1142" t="s">
        <v>892</v>
      </c>
      <c r="M3" s="1143" t="s">
        <v>763</v>
      </c>
      <c r="N3" s="1144" t="s">
        <v>764</v>
      </c>
      <c r="O3" s="1272" t="s">
        <v>547</v>
      </c>
      <c r="P3" s="1273" t="s">
        <v>548</v>
      </c>
    </row>
    <row r="4" spans="1:16" x14ac:dyDescent="0.25">
      <c r="A4" s="1121">
        <v>2</v>
      </c>
      <c r="B4" s="1122" t="s">
        <v>893</v>
      </c>
      <c r="C4" s="1125" t="s">
        <v>879</v>
      </c>
      <c r="D4" s="1124">
        <v>18.7</v>
      </c>
      <c r="E4" s="1159">
        <v>18.7</v>
      </c>
      <c r="F4" s="1160">
        <v>4308000</v>
      </c>
      <c r="G4" s="1161">
        <v>53706400</v>
      </c>
      <c r="H4" s="1128">
        <v>861600</v>
      </c>
      <c r="I4" s="1097">
        <f>G4+H4</f>
        <v>54568000</v>
      </c>
      <c r="J4" s="1130"/>
      <c r="K4" s="1129">
        <f t="shared" ref="K4:K18" si="0">I4+J4</f>
        <v>54568000</v>
      </c>
      <c r="L4" s="1131">
        <v>18.7</v>
      </c>
      <c r="M4" s="1128"/>
      <c r="N4" s="1129">
        <f t="shared" ref="N4:N18" si="1">K4+M4</f>
        <v>54568000</v>
      </c>
      <c r="O4" s="1274"/>
      <c r="P4" s="1268">
        <f t="shared" ref="P4:P15" si="2">O4+N4</f>
        <v>54568000</v>
      </c>
    </row>
    <row r="5" spans="1:16" x14ac:dyDescent="0.25">
      <c r="A5" s="524">
        <v>2</v>
      </c>
      <c r="B5" s="491" t="s">
        <v>893</v>
      </c>
      <c r="C5" s="490" t="s">
        <v>880</v>
      </c>
      <c r="D5" s="510">
        <v>14</v>
      </c>
      <c r="E5" s="510">
        <f>G5/F5</f>
        <v>9.3333333333333339</v>
      </c>
      <c r="F5" s="486">
        <v>1800000</v>
      </c>
      <c r="G5" s="679">
        <v>16800000</v>
      </c>
      <c r="H5" s="697"/>
      <c r="I5" s="679">
        <f>G5+H5</f>
        <v>16800000</v>
      </c>
      <c r="J5" s="509"/>
      <c r="K5" s="694">
        <f t="shared" si="0"/>
        <v>16800000</v>
      </c>
      <c r="L5" s="1102">
        <v>14</v>
      </c>
      <c r="M5" s="697"/>
      <c r="N5" s="694">
        <f t="shared" si="1"/>
        <v>16800000</v>
      </c>
      <c r="O5" s="1265"/>
      <c r="P5" s="1268">
        <f t="shared" si="2"/>
        <v>16800000</v>
      </c>
    </row>
    <row r="6" spans="1:16" x14ac:dyDescent="0.25">
      <c r="A6" s="524">
        <v>2</v>
      </c>
      <c r="B6" s="491" t="s">
        <v>893</v>
      </c>
      <c r="C6" s="490" t="s">
        <v>881</v>
      </c>
      <c r="D6" s="510">
        <v>18.7</v>
      </c>
      <c r="E6" s="502">
        <v>18.7</v>
      </c>
      <c r="F6" s="486">
        <v>4308000</v>
      </c>
      <c r="G6" s="679">
        <v>26853200</v>
      </c>
      <c r="H6" s="697"/>
      <c r="I6" s="679">
        <f>G6+H6</f>
        <v>26853200</v>
      </c>
      <c r="J6" s="509"/>
      <c r="K6" s="694">
        <f t="shared" si="0"/>
        <v>26853200</v>
      </c>
      <c r="L6" s="1102">
        <v>17.2</v>
      </c>
      <c r="M6" s="697">
        <v>-2154000</v>
      </c>
      <c r="N6" s="694">
        <f t="shared" si="1"/>
        <v>24699200</v>
      </c>
      <c r="O6" s="1265"/>
      <c r="P6" s="1268">
        <f t="shared" si="2"/>
        <v>24699200</v>
      </c>
    </row>
    <row r="7" spans="1:16" x14ac:dyDescent="0.25">
      <c r="A7" s="524">
        <v>2</v>
      </c>
      <c r="B7" s="491" t="s">
        <v>893</v>
      </c>
      <c r="C7" s="490" t="s">
        <v>883</v>
      </c>
      <c r="D7" s="510">
        <v>14</v>
      </c>
      <c r="E7" s="525">
        <f>G7/F7</f>
        <v>4.666666666666667</v>
      </c>
      <c r="F7" s="486">
        <v>1800000</v>
      </c>
      <c r="G7" s="679">
        <v>8400000</v>
      </c>
      <c r="H7" s="697"/>
      <c r="I7" s="679">
        <f>G7+H7</f>
        <v>8400000</v>
      </c>
      <c r="J7" s="509"/>
      <c r="K7" s="694">
        <f t="shared" si="0"/>
        <v>8400000</v>
      </c>
      <c r="L7" s="1102">
        <v>14</v>
      </c>
      <c r="M7" s="697"/>
      <c r="N7" s="694">
        <f t="shared" si="1"/>
        <v>8400000</v>
      </c>
      <c r="O7" s="1265"/>
      <c r="P7" s="1268">
        <f t="shared" si="2"/>
        <v>8400000</v>
      </c>
    </row>
    <row r="8" spans="1:16" ht="14.4" thickBot="1" x14ac:dyDescent="0.3">
      <c r="A8" s="524">
        <v>2</v>
      </c>
      <c r="B8" s="491" t="s">
        <v>893</v>
      </c>
      <c r="C8" s="490" t="s">
        <v>882</v>
      </c>
      <c r="D8" s="510">
        <v>18.7</v>
      </c>
      <c r="E8" s="510">
        <v>18.7</v>
      </c>
      <c r="F8" s="486">
        <v>35000</v>
      </c>
      <c r="G8" s="679"/>
      <c r="H8" s="697"/>
      <c r="I8" s="1095"/>
      <c r="J8" s="509">
        <v>655000</v>
      </c>
      <c r="K8" s="694">
        <f t="shared" si="0"/>
        <v>655000</v>
      </c>
      <c r="L8" s="1102">
        <v>17.2</v>
      </c>
      <c r="M8" s="697">
        <v>-52500</v>
      </c>
      <c r="N8" s="694">
        <f t="shared" si="1"/>
        <v>602500</v>
      </c>
      <c r="O8" s="1265"/>
      <c r="P8" s="1268">
        <f t="shared" si="2"/>
        <v>602500</v>
      </c>
    </row>
    <row r="9" spans="1:16" ht="14.4" thickBot="1" x14ac:dyDescent="0.3">
      <c r="A9" s="524">
        <v>2</v>
      </c>
      <c r="B9" s="491" t="s">
        <v>894</v>
      </c>
      <c r="C9" s="490" t="s">
        <v>895</v>
      </c>
      <c r="D9" s="510">
        <v>211</v>
      </c>
      <c r="E9" s="525">
        <f>G9/F9</f>
        <v>140.6666625</v>
      </c>
      <c r="F9" s="505">
        <v>80000</v>
      </c>
      <c r="G9" s="679">
        <v>11253333</v>
      </c>
      <c r="H9" s="703">
        <v>160000</v>
      </c>
      <c r="I9" s="1096">
        <f t="shared" ref="I9:I17" si="3">G9+H9</f>
        <v>11413333</v>
      </c>
      <c r="J9" s="509"/>
      <c r="K9" s="694">
        <f t="shared" si="0"/>
        <v>11413333</v>
      </c>
      <c r="L9" s="1102">
        <v>211</v>
      </c>
      <c r="M9" s="697"/>
      <c r="N9" s="694">
        <f t="shared" si="1"/>
        <v>11413333</v>
      </c>
      <c r="O9" s="1265"/>
      <c r="P9" s="1268">
        <f t="shared" si="2"/>
        <v>11413333</v>
      </c>
    </row>
    <row r="10" spans="1:16" x14ac:dyDescent="0.25">
      <c r="A10" s="524">
        <v>2</v>
      </c>
      <c r="B10" s="491" t="s">
        <v>894</v>
      </c>
      <c r="C10" s="490" t="s">
        <v>895</v>
      </c>
      <c r="D10" s="510">
        <v>1</v>
      </c>
      <c r="E10" s="525">
        <f>G10/F10</f>
        <v>0.66666250000000005</v>
      </c>
      <c r="F10" s="505">
        <v>80000</v>
      </c>
      <c r="G10" s="679">
        <v>53333</v>
      </c>
      <c r="H10" s="697"/>
      <c r="I10" s="1097">
        <f t="shared" si="3"/>
        <v>53333</v>
      </c>
      <c r="J10" s="509"/>
      <c r="K10" s="694">
        <f t="shared" si="0"/>
        <v>53333</v>
      </c>
      <c r="L10" s="1102">
        <v>1</v>
      </c>
      <c r="M10" s="697"/>
      <c r="N10" s="694">
        <f t="shared" si="1"/>
        <v>53333</v>
      </c>
      <c r="O10" s="1265"/>
      <c r="P10" s="1268">
        <f t="shared" si="2"/>
        <v>53333</v>
      </c>
    </row>
    <row r="11" spans="1:16" x14ac:dyDescent="0.25">
      <c r="A11" s="524">
        <v>2</v>
      </c>
      <c r="B11" s="491" t="s">
        <v>894</v>
      </c>
      <c r="C11" s="490" t="s">
        <v>896</v>
      </c>
      <c r="D11" s="510">
        <v>211</v>
      </c>
      <c r="E11" s="525">
        <f>G11/F11</f>
        <v>70.333337499999999</v>
      </c>
      <c r="F11" s="505">
        <v>80000</v>
      </c>
      <c r="G11" s="679">
        <v>5626667</v>
      </c>
      <c r="H11" s="697"/>
      <c r="I11" s="679">
        <f t="shared" si="3"/>
        <v>5626667</v>
      </c>
      <c r="J11" s="509"/>
      <c r="K11" s="694">
        <f t="shared" si="0"/>
        <v>5626667</v>
      </c>
      <c r="L11" s="1102">
        <v>192</v>
      </c>
      <c r="M11" s="697">
        <v>-506667</v>
      </c>
      <c r="N11" s="694">
        <f t="shared" si="1"/>
        <v>5120000</v>
      </c>
      <c r="O11" s="1265"/>
      <c r="P11" s="1268">
        <f t="shared" si="2"/>
        <v>5120000</v>
      </c>
    </row>
    <row r="12" spans="1:16" x14ac:dyDescent="0.25">
      <c r="A12" s="524">
        <v>2</v>
      </c>
      <c r="B12" s="491" t="s">
        <v>894</v>
      </c>
      <c r="C12" s="490" t="s">
        <v>896</v>
      </c>
      <c r="D12" s="510">
        <v>1</v>
      </c>
      <c r="E12" s="525">
        <f>G12/F12</f>
        <v>0.33333750000000001</v>
      </c>
      <c r="F12" s="505">
        <v>80000</v>
      </c>
      <c r="G12" s="679">
        <v>26667</v>
      </c>
      <c r="H12" s="697"/>
      <c r="I12" s="679">
        <f t="shared" si="3"/>
        <v>26667</v>
      </c>
      <c r="J12" s="509"/>
      <c r="K12" s="694">
        <f t="shared" si="0"/>
        <v>26667</v>
      </c>
      <c r="L12" s="1102">
        <v>1</v>
      </c>
      <c r="M12" s="697"/>
      <c r="N12" s="694">
        <f t="shared" si="1"/>
        <v>26667</v>
      </c>
      <c r="O12" s="1265"/>
      <c r="P12" s="1268">
        <f t="shared" si="2"/>
        <v>26667</v>
      </c>
    </row>
    <row r="13" spans="1:16" x14ac:dyDescent="0.25">
      <c r="A13" s="524">
        <v>2</v>
      </c>
      <c r="B13" s="491" t="s">
        <v>532</v>
      </c>
      <c r="C13" s="489" t="s">
        <v>320</v>
      </c>
      <c r="D13" s="510">
        <v>7</v>
      </c>
      <c r="E13" s="502">
        <f>G13/F13</f>
        <v>7</v>
      </c>
      <c r="F13" s="505">
        <v>384000</v>
      </c>
      <c r="G13" s="679">
        <v>2688000</v>
      </c>
      <c r="H13" s="697"/>
      <c r="I13" s="679">
        <f t="shared" si="3"/>
        <v>2688000</v>
      </c>
      <c r="J13" s="509"/>
      <c r="K13" s="694">
        <f t="shared" si="0"/>
        <v>2688000</v>
      </c>
      <c r="L13" s="1102">
        <v>6.3</v>
      </c>
      <c r="M13" s="697">
        <v>-268800</v>
      </c>
      <c r="N13" s="694">
        <f t="shared" si="1"/>
        <v>2419200</v>
      </c>
      <c r="O13" s="1265"/>
      <c r="P13" s="1268">
        <f t="shared" si="2"/>
        <v>2419200</v>
      </c>
    </row>
    <row r="14" spans="1:16" x14ac:dyDescent="0.25">
      <c r="A14" s="524"/>
      <c r="B14" s="491" t="s">
        <v>533</v>
      </c>
      <c r="C14" s="489" t="s">
        <v>320</v>
      </c>
      <c r="D14" s="510">
        <v>1</v>
      </c>
      <c r="E14" s="502">
        <v>1</v>
      </c>
      <c r="F14" s="505">
        <v>352000</v>
      </c>
      <c r="G14" s="679">
        <v>352000</v>
      </c>
      <c r="H14" s="697"/>
      <c r="I14" s="679">
        <f t="shared" si="3"/>
        <v>352000</v>
      </c>
      <c r="J14" s="509"/>
      <c r="K14" s="694">
        <f t="shared" si="0"/>
        <v>352000</v>
      </c>
      <c r="L14" s="1102">
        <v>1</v>
      </c>
      <c r="M14" s="697"/>
      <c r="N14" s="694">
        <f t="shared" si="1"/>
        <v>352000</v>
      </c>
      <c r="O14" s="1265"/>
      <c r="P14" s="1268">
        <f t="shared" si="2"/>
        <v>352000</v>
      </c>
    </row>
    <row r="15" spans="1:16" x14ac:dyDescent="0.25">
      <c r="A15" s="524">
        <v>2</v>
      </c>
      <c r="B15" s="491" t="s">
        <v>897</v>
      </c>
      <c r="C15" s="490" t="s">
        <v>898</v>
      </c>
      <c r="D15" s="517"/>
      <c r="E15" s="502">
        <f>G15/F15</f>
        <v>3.9757781862745096</v>
      </c>
      <c r="F15" s="505">
        <v>1632000</v>
      </c>
      <c r="G15" s="679">
        <v>6488470</v>
      </c>
      <c r="H15" s="697"/>
      <c r="I15" s="679">
        <f t="shared" si="3"/>
        <v>6488470</v>
      </c>
      <c r="J15" s="509"/>
      <c r="K15" s="694">
        <f t="shared" si="0"/>
        <v>6488470</v>
      </c>
      <c r="L15" s="1103"/>
      <c r="M15" s="697"/>
      <c r="N15" s="694">
        <f t="shared" si="1"/>
        <v>6488470</v>
      </c>
      <c r="O15" s="1265"/>
      <c r="P15" s="1268">
        <f t="shared" si="2"/>
        <v>6488470</v>
      </c>
    </row>
    <row r="16" spans="1:16" x14ac:dyDescent="0.25">
      <c r="A16" s="524">
        <v>2</v>
      </c>
      <c r="B16" s="491" t="s">
        <v>899</v>
      </c>
      <c r="C16" s="490" t="s">
        <v>900</v>
      </c>
      <c r="D16" s="510">
        <v>179</v>
      </c>
      <c r="E16" s="502"/>
      <c r="F16" s="505"/>
      <c r="G16" s="679">
        <v>7860834</v>
      </c>
      <c r="H16" s="697">
        <v>1447192</v>
      </c>
      <c r="I16" s="679">
        <f t="shared" si="3"/>
        <v>9308026</v>
      </c>
      <c r="J16" s="509">
        <v>1578692</v>
      </c>
      <c r="K16" s="694">
        <f t="shared" si="0"/>
        <v>10886718</v>
      </c>
      <c r="L16" s="1102">
        <v>179</v>
      </c>
      <c r="M16" s="697">
        <v>-16209</v>
      </c>
      <c r="N16" s="694">
        <f t="shared" si="1"/>
        <v>10870509</v>
      </c>
      <c r="O16" s="1275">
        <v>-388753</v>
      </c>
      <c r="P16" s="1268">
        <f>O16+N16</f>
        <v>10481756</v>
      </c>
    </row>
    <row r="17" spans="1:16" x14ac:dyDescent="0.25">
      <c r="A17" s="524"/>
      <c r="B17" s="491"/>
      <c r="C17" s="490" t="s">
        <v>401</v>
      </c>
      <c r="D17" s="510"/>
      <c r="E17" s="502"/>
      <c r="F17" s="505"/>
      <c r="G17" s="679"/>
      <c r="H17" s="697">
        <f>2*184785</f>
        <v>369570</v>
      </c>
      <c r="I17" s="679">
        <f t="shared" si="3"/>
        <v>369570</v>
      </c>
      <c r="J17" s="509"/>
      <c r="K17" s="694">
        <f t="shared" si="0"/>
        <v>369570</v>
      </c>
      <c r="L17" s="1102"/>
      <c r="M17" s="697">
        <v>-1905</v>
      </c>
      <c r="N17" s="694">
        <f t="shared" si="1"/>
        <v>367665</v>
      </c>
      <c r="O17" s="1265"/>
      <c r="P17" s="1268">
        <f t="shared" ref="P17:P80" si="4">O17+N17</f>
        <v>367665</v>
      </c>
    </row>
    <row r="18" spans="1:16" x14ac:dyDescent="0.25">
      <c r="A18" s="526"/>
      <c r="B18" s="527"/>
      <c r="C18" s="492" t="s">
        <v>901</v>
      </c>
      <c r="D18" s="517"/>
      <c r="E18" s="499"/>
      <c r="F18" s="499"/>
      <c r="G18" s="680">
        <f>SUM(G4:G16)</f>
        <v>140108904</v>
      </c>
      <c r="H18" s="698">
        <f>SUM(H4:H17)</f>
        <v>2838362</v>
      </c>
      <c r="I18" s="680">
        <f>SUM(I4:I17)</f>
        <v>142947266</v>
      </c>
      <c r="J18" s="519">
        <f>SUM(J4:J17)</f>
        <v>2233692</v>
      </c>
      <c r="K18" s="707">
        <f t="shared" si="0"/>
        <v>145180958</v>
      </c>
      <c r="L18" s="1103"/>
      <c r="M18" s="698">
        <f>SUM(M4:M17)</f>
        <v>-3000081</v>
      </c>
      <c r="N18" s="707">
        <f t="shared" si="1"/>
        <v>142180877</v>
      </c>
      <c r="O18" s="1267">
        <f>SUM(O4:O17)</f>
        <v>-388753</v>
      </c>
      <c r="P18" s="1266">
        <f t="shared" si="4"/>
        <v>141792124</v>
      </c>
    </row>
    <row r="19" spans="1:16" x14ac:dyDescent="0.25">
      <c r="A19" s="524"/>
      <c r="B19" s="491"/>
      <c r="C19" s="505"/>
      <c r="D19" s="510"/>
      <c r="E19" s="490"/>
      <c r="F19" s="505"/>
      <c r="G19" s="679"/>
      <c r="H19" s="697"/>
      <c r="I19" s="694"/>
      <c r="J19" s="509"/>
      <c r="K19" s="694"/>
      <c r="L19" s="1102"/>
      <c r="M19" s="697"/>
      <c r="N19" s="694"/>
      <c r="O19" s="1265"/>
      <c r="P19" s="1268">
        <f t="shared" si="4"/>
        <v>0</v>
      </c>
    </row>
    <row r="20" spans="1:16" x14ac:dyDescent="0.25">
      <c r="A20" s="524">
        <v>2</v>
      </c>
      <c r="B20" s="491" t="s">
        <v>893</v>
      </c>
      <c r="C20" s="490" t="s">
        <v>879</v>
      </c>
      <c r="D20" s="510">
        <v>10.1</v>
      </c>
      <c r="E20" s="502">
        <v>10.1</v>
      </c>
      <c r="F20" s="486">
        <v>4308000</v>
      </c>
      <c r="G20" s="681">
        <v>29007200</v>
      </c>
      <c r="H20" s="697">
        <v>286800</v>
      </c>
      <c r="I20" s="694">
        <f>G20+H20</f>
        <v>29294000</v>
      </c>
      <c r="J20" s="509"/>
      <c r="K20" s="694">
        <f t="shared" ref="K20:K33" si="5">I20+J20</f>
        <v>29294000</v>
      </c>
      <c r="L20" s="1102">
        <v>10.1</v>
      </c>
      <c r="M20" s="697"/>
      <c r="N20" s="694">
        <f>K20+M20</f>
        <v>29294000</v>
      </c>
      <c r="O20" s="1265"/>
      <c r="P20" s="1268">
        <f t="shared" si="4"/>
        <v>29294000</v>
      </c>
    </row>
    <row r="21" spans="1:16" x14ac:dyDescent="0.25">
      <c r="A21" s="524">
        <v>2</v>
      </c>
      <c r="B21" s="491" t="s">
        <v>893</v>
      </c>
      <c r="C21" s="490" t="s">
        <v>880</v>
      </c>
      <c r="D21" s="510">
        <v>9</v>
      </c>
      <c r="E21" s="502">
        <f>G21/F21</f>
        <v>6</v>
      </c>
      <c r="F21" s="486">
        <v>1800000</v>
      </c>
      <c r="G21" s="679">
        <v>10800000</v>
      </c>
      <c r="H21" s="697"/>
      <c r="I21" s="694">
        <f>G21+H21</f>
        <v>10800000</v>
      </c>
      <c r="J21" s="509"/>
      <c r="K21" s="694">
        <f t="shared" si="5"/>
        <v>10800000</v>
      </c>
      <c r="L21" s="1102">
        <v>9</v>
      </c>
      <c r="M21" s="697"/>
      <c r="N21" s="694">
        <f>K21+M21</f>
        <v>10800000</v>
      </c>
      <c r="O21" s="1265"/>
      <c r="P21" s="1268">
        <f t="shared" si="4"/>
        <v>10800000</v>
      </c>
    </row>
    <row r="22" spans="1:16" x14ac:dyDescent="0.25">
      <c r="A22" s="524">
        <v>2</v>
      </c>
      <c r="B22" s="491" t="s">
        <v>893</v>
      </c>
      <c r="C22" s="490" t="s">
        <v>881</v>
      </c>
      <c r="D22" s="510">
        <v>10.1</v>
      </c>
      <c r="E22" s="502">
        <v>10.1</v>
      </c>
      <c r="F22" s="486">
        <v>4308000</v>
      </c>
      <c r="G22" s="679">
        <v>14503600</v>
      </c>
      <c r="H22" s="697"/>
      <c r="I22" s="694">
        <f>G22+H22</f>
        <v>14503600</v>
      </c>
      <c r="J22" s="509"/>
      <c r="K22" s="694">
        <f t="shared" si="5"/>
        <v>14503600</v>
      </c>
      <c r="L22" s="1102">
        <v>9.9</v>
      </c>
      <c r="M22" s="697">
        <f>N22-K22</f>
        <v>-287200</v>
      </c>
      <c r="N22" s="988">
        <v>14216400</v>
      </c>
      <c r="O22" s="1265"/>
      <c r="P22" s="1268">
        <f t="shared" si="4"/>
        <v>14216400</v>
      </c>
    </row>
    <row r="23" spans="1:16" x14ac:dyDescent="0.25">
      <c r="A23" s="524">
        <v>2</v>
      </c>
      <c r="B23" s="491" t="s">
        <v>893</v>
      </c>
      <c r="C23" s="490" t="s">
        <v>883</v>
      </c>
      <c r="D23" s="528">
        <v>9</v>
      </c>
      <c r="E23" s="502">
        <f>G23/F23</f>
        <v>3</v>
      </c>
      <c r="F23" s="486">
        <v>1800000</v>
      </c>
      <c r="G23" s="679">
        <v>5400000</v>
      </c>
      <c r="H23" s="697"/>
      <c r="I23" s="694">
        <f>G23+H23</f>
        <v>5400000</v>
      </c>
      <c r="J23" s="509"/>
      <c r="K23" s="694">
        <f t="shared" si="5"/>
        <v>5400000</v>
      </c>
      <c r="L23" s="1104">
        <v>9</v>
      </c>
      <c r="M23" s="697"/>
      <c r="N23" s="694">
        <f>K23-M23</f>
        <v>5400000</v>
      </c>
      <c r="O23" s="1265"/>
      <c r="P23" s="1268">
        <f t="shared" si="4"/>
        <v>5400000</v>
      </c>
    </row>
    <row r="24" spans="1:16" x14ac:dyDescent="0.25">
      <c r="A24" s="524">
        <v>2</v>
      </c>
      <c r="B24" s="491" t="s">
        <v>893</v>
      </c>
      <c r="C24" s="490" t="s">
        <v>882</v>
      </c>
      <c r="D24" s="510">
        <v>10.1</v>
      </c>
      <c r="E24" s="510">
        <v>10.1</v>
      </c>
      <c r="F24" s="486">
        <v>35000</v>
      </c>
      <c r="G24" s="679"/>
      <c r="H24" s="697"/>
      <c r="I24" s="694"/>
      <c r="J24" s="509">
        <v>353000</v>
      </c>
      <c r="K24" s="694">
        <f t="shared" si="5"/>
        <v>353000</v>
      </c>
      <c r="L24" s="1102">
        <v>9.9</v>
      </c>
      <c r="M24" s="697">
        <f>N24-K24</f>
        <v>-7000</v>
      </c>
      <c r="N24" s="988">
        <v>346000</v>
      </c>
      <c r="O24" s="1265"/>
      <c r="P24" s="1268">
        <f t="shared" si="4"/>
        <v>346000</v>
      </c>
    </row>
    <row r="25" spans="1:16" x14ac:dyDescent="0.25">
      <c r="A25" s="524">
        <v>2</v>
      </c>
      <c r="B25" s="491" t="s">
        <v>894</v>
      </c>
      <c r="C25" s="490" t="s">
        <v>895</v>
      </c>
      <c r="D25" s="510">
        <v>109</v>
      </c>
      <c r="E25" s="502">
        <f>G25/F25</f>
        <v>72.666674999999998</v>
      </c>
      <c r="F25" s="505">
        <v>80000</v>
      </c>
      <c r="G25" s="679">
        <v>5813334</v>
      </c>
      <c r="H25" s="697">
        <v>106666</v>
      </c>
      <c r="I25" s="694">
        <f t="shared" ref="I25:I32" si="6">G25+H25</f>
        <v>5920000</v>
      </c>
      <c r="J25" s="509"/>
      <c r="K25" s="694">
        <f t="shared" si="5"/>
        <v>5920000</v>
      </c>
      <c r="L25" s="1102">
        <v>109</v>
      </c>
      <c r="M25" s="697"/>
      <c r="N25" s="694">
        <f t="shared" ref="N25:N33" si="7">K25+M25</f>
        <v>5920000</v>
      </c>
      <c r="O25" s="1265"/>
      <c r="P25" s="1268">
        <f t="shared" si="4"/>
        <v>5920000</v>
      </c>
    </row>
    <row r="26" spans="1:16" x14ac:dyDescent="0.25">
      <c r="A26" s="524">
        <v>2</v>
      </c>
      <c r="B26" s="491" t="s">
        <v>894</v>
      </c>
      <c r="C26" s="490" t="s">
        <v>895</v>
      </c>
      <c r="D26" s="510">
        <v>1</v>
      </c>
      <c r="E26" s="502">
        <f>G26/F26</f>
        <v>0.66667500000000002</v>
      </c>
      <c r="F26" s="505">
        <v>80000</v>
      </c>
      <c r="G26" s="679">
        <v>53334</v>
      </c>
      <c r="H26" s="697">
        <v>-53334</v>
      </c>
      <c r="I26" s="694">
        <f t="shared" si="6"/>
        <v>0</v>
      </c>
      <c r="J26" s="509"/>
      <c r="K26" s="694">
        <f t="shared" si="5"/>
        <v>0</v>
      </c>
      <c r="L26" s="1102">
        <v>1</v>
      </c>
      <c r="M26" s="697"/>
      <c r="N26" s="694">
        <f t="shared" si="7"/>
        <v>0</v>
      </c>
      <c r="O26" s="1265"/>
      <c r="P26" s="1268">
        <f t="shared" si="4"/>
        <v>0</v>
      </c>
    </row>
    <row r="27" spans="1:16" x14ac:dyDescent="0.25">
      <c r="A27" s="524">
        <v>2</v>
      </c>
      <c r="B27" s="491" t="s">
        <v>894</v>
      </c>
      <c r="C27" s="490" t="s">
        <v>896</v>
      </c>
      <c r="D27" s="510">
        <v>109</v>
      </c>
      <c r="E27" s="502">
        <f>G27/F27</f>
        <v>36.333337499999999</v>
      </c>
      <c r="F27" s="505">
        <v>80000</v>
      </c>
      <c r="G27" s="679">
        <v>2906667</v>
      </c>
      <c r="H27" s="697"/>
      <c r="I27" s="694">
        <f t="shared" si="6"/>
        <v>2906667</v>
      </c>
      <c r="J27" s="509"/>
      <c r="K27" s="694">
        <f t="shared" si="5"/>
        <v>2906667</v>
      </c>
      <c r="L27" s="1102">
        <v>109</v>
      </c>
      <c r="M27" s="697"/>
      <c r="N27" s="694">
        <f t="shared" si="7"/>
        <v>2906667</v>
      </c>
      <c r="O27" s="1265"/>
      <c r="P27" s="1268">
        <f t="shared" si="4"/>
        <v>2906667</v>
      </c>
    </row>
    <row r="28" spans="1:16" x14ac:dyDescent="0.25">
      <c r="A28" s="524">
        <v>2</v>
      </c>
      <c r="B28" s="491" t="s">
        <v>894</v>
      </c>
      <c r="C28" s="490" t="s">
        <v>896</v>
      </c>
      <c r="D28" s="510">
        <v>1</v>
      </c>
      <c r="E28" s="502">
        <f>G28/F28</f>
        <v>0.33332499999999998</v>
      </c>
      <c r="F28" s="505">
        <v>80000</v>
      </c>
      <c r="G28" s="679">
        <v>26666</v>
      </c>
      <c r="H28" s="697"/>
      <c r="I28" s="694">
        <f t="shared" si="6"/>
        <v>26666</v>
      </c>
      <c r="J28" s="509"/>
      <c r="K28" s="694">
        <f t="shared" si="5"/>
        <v>26666</v>
      </c>
      <c r="L28" s="1102">
        <v>1</v>
      </c>
      <c r="M28" s="697"/>
      <c r="N28" s="694">
        <f t="shared" si="7"/>
        <v>26666</v>
      </c>
      <c r="O28" s="1265"/>
      <c r="P28" s="1268">
        <f t="shared" si="4"/>
        <v>26666</v>
      </c>
    </row>
    <row r="29" spans="1:16" x14ac:dyDescent="0.25">
      <c r="A29" s="524">
        <v>2</v>
      </c>
      <c r="B29" s="491" t="s">
        <v>532</v>
      </c>
      <c r="C29" s="489" t="s">
        <v>320</v>
      </c>
      <c r="D29" s="510">
        <v>5</v>
      </c>
      <c r="E29" s="502">
        <v>5</v>
      </c>
      <c r="F29" s="505">
        <v>384000</v>
      </c>
      <c r="G29" s="679">
        <f>F29*D29</f>
        <v>1920000</v>
      </c>
      <c r="H29" s="697"/>
      <c r="I29" s="694">
        <f t="shared" si="6"/>
        <v>1920000</v>
      </c>
      <c r="J29" s="509"/>
      <c r="K29" s="694">
        <f t="shared" si="5"/>
        <v>1920000</v>
      </c>
      <c r="L29" s="1102">
        <v>5</v>
      </c>
      <c r="M29" s="697"/>
      <c r="N29" s="694">
        <f t="shared" si="7"/>
        <v>1920000</v>
      </c>
      <c r="O29" s="1265"/>
      <c r="P29" s="1268">
        <f t="shared" si="4"/>
        <v>1920000</v>
      </c>
    </row>
    <row r="30" spans="1:16" x14ac:dyDescent="0.25">
      <c r="A30" s="524">
        <v>2</v>
      </c>
      <c r="B30" s="491" t="s">
        <v>897</v>
      </c>
      <c r="C30" s="490" t="s">
        <v>898</v>
      </c>
      <c r="D30" s="510"/>
      <c r="E30" s="502">
        <f>G30/F30</f>
        <v>2.0878394607843136</v>
      </c>
      <c r="F30" s="505">
        <v>1632000</v>
      </c>
      <c r="G30" s="679">
        <v>3407354</v>
      </c>
      <c r="H30" s="697"/>
      <c r="I30" s="694">
        <f t="shared" si="6"/>
        <v>3407354</v>
      </c>
      <c r="J30" s="509"/>
      <c r="K30" s="694">
        <f t="shared" si="5"/>
        <v>3407354</v>
      </c>
      <c r="L30" s="1102"/>
      <c r="M30" s="697"/>
      <c r="N30" s="694">
        <f t="shared" si="7"/>
        <v>3407354</v>
      </c>
      <c r="O30" s="1265"/>
      <c r="P30" s="1268">
        <f t="shared" si="4"/>
        <v>3407354</v>
      </c>
    </row>
    <row r="31" spans="1:16" x14ac:dyDescent="0.25">
      <c r="A31" s="524">
        <v>2</v>
      </c>
      <c r="B31" s="491" t="s">
        <v>899</v>
      </c>
      <c r="C31" s="490" t="s">
        <v>900</v>
      </c>
      <c r="D31" s="510">
        <v>94</v>
      </c>
      <c r="E31" s="502"/>
      <c r="F31" s="505"/>
      <c r="G31" s="679">
        <v>4845580</v>
      </c>
      <c r="H31" s="697">
        <v>1306671</v>
      </c>
      <c r="I31" s="694">
        <f t="shared" si="6"/>
        <v>6152251</v>
      </c>
      <c r="J31" s="509">
        <v>830919</v>
      </c>
      <c r="K31" s="694">
        <f t="shared" si="5"/>
        <v>6983170</v>
      </c>
      <c r="L31" s="1102">
        <v>94</v>
      </c>
      <c r="M31" s="697">
        <v>-10397</v>
      </c>
      <c r="N31" s="694">
        <f t="shared" si="7"/>
        <v>6972773</v>
      </c>
      <c r="O31" s="1278">
        <v>-249361</v>
      </c>
      <c r="P31" s="1268">
        <f t="shared" si="4"/>
        <v>6723412</v>
      </c>
    </row>
    <row r="32" spans="1:16" x14ac:dyDescent="0.25">
      <c r="A32" s="524"/>
      <c r="B32" s="491"/>
      <c r="C32" s="490" t="s">
        <v>401</v>
      </c>
      <c r="D32" s="510"/>
      <c r="E32" s="502"/>
      <c r="F32" s="505"/>
      <c r="G32" s="679"/>
      <c r="H32" s="697">
        <f>2*469519</f>
        <v>939038</v>
      </c>
      <c r="I32" s="694">
        <f t="shared" si="6"/>
        <v>939038</v>
      </c>
      <c r="J32" s="509"/>
      <c r="K32" s="694">
        <f t="shared" si="5"/>
        <v>939038</v>
      </c>
      <c r="L32" s="1102"/>
      <c r="M32" s="697">
        <v>23495</v>
      </c>
      <c r="N32" s="694">
        <f t="shared" si="7"/>
        <v>962533</v>
      </c>
      <c r="O32" s="1265"/>
      <c r="P32" s="1268">
        <f t="shared" si="4"/>
        <v>962533</v>
      </c>
    </row>
    <row r="33" spans="1:16" x14ac:dyDescent="0.25">
      <c r="A33" s="524"/>
      <c r="B33" s="527"/>
      <c r="C33" s="492" t="s">
        <v>902</v>
      </c>
      <c r="D33" s="517"/>
      <c r="E33" s="501"/>
      <c r="F33" s="499"/>
      <c r="G33" s="680">
        <f>SUM(G20:G31)</f>
        <v>78683735</v>
      </c>
      <c r="H33" s="698">
        <f>SUM(H20:H32)</f>
        <v>2585841</v>
      </c>
      <c r="I33" s="680">
        <f>SUM(I20:I32)</f>
        <v>81269576</v>
      </c>
      <c r="J33" s="519">
        <f>SUM(J20:J32)</f>
        <v>1183919</v>
      </c>
      <c r="K33" s="707">
        <f t="shared" si="5"/>
        <v>82453495</v>
      </c>
      <c r="L33" s="1103"/>
      <c r="M33" s="698">
        <f>SUM(M20:M32)</f>
        <v>-281102</v>
      </c>
      <c r="N33" s="707">
        <f t="shared" si="7"/>
        <v>82172393</v>
      </c>
      <c r="O33" s="1267">
        <f>SUM(O20:O32)</f>
        <v>-249361</v>
      </c>
      <c r="P33" s="1266">
        <f t="shared" si="4"/>
        <v>81923032</v>
      </c>
    </row>
    <row r="34" spans="1:16" x14ac:dyDescent="0.25">
      <c r="A34" s="524"/>
      <c r="B34" s="491"/>
      <c r="C34" s="505"/>
      <c r="D34" s="510"/>
      <c r="E34" s="490"/>
      <c r="F34" s="505"/>
      <c r="G34" s="679"/>
      <c r="H34" s="697"/>
      <c r="I34" s="694"/>
      <c r="J34" s="509"/>
      <c r="K34" s="694"/>
      <c r="L34" s="1102"/>
      <c r="M34" s="697"/>
      <c r="N34" s="694"/>
      <c r="O34" s="1265"/>
      <c r="P34" s="1268">
        <f t="shared" si="4"/>
        <v>0</v>
      </c>
    </row>
    <row r="35" spans="1:16" x14ac:dyDescent="0.25">
      <c r="A35" s="524">
        <v>2</v>
      </c>
      <c r="B35" s="491" t="s">
        <v>893</v>
      </c>
      <c r="C35" s="490" t="s">
        <v>879</v>
      </c>
      <c r="D35" s="510">
        <v>6.8</v>
      </c>
      <c r="E35" s="510">
        <v>6.8</v>
      </c>
      <c r="F35" s="486">
        <v>4308000</v>
      </c>
      <c r="G35" s="679">
        <v>20104000</v>
      </c>
      <c r="H35" s="697">
        <v>-574000</v>
      </c>
      <c r="I35" s="694">
        <f>G35+H35</f>
        <v>19530000</v>
      </c>
      <c r="J35" s="509"/>
      <c r="K35" s="694">
        <f t="shared" ref="K35:K46" si="8">I35+J35</f>
        <v>19530000</v>
      </c>
      <c r="L35" s="1102">
        <v>6.8</v>
      </c>
      <c r="M35" s="697"/>
      <c r="N35" s="694">
        <f t="shared" ref="N35:N46" si="9">K35+M35</f>
        <v>19530000</v>
      </c>
      <c r="O35" s="1265"/>
      <c r="P35" s="1268">
        <f t="shared" si="4"/>
        <v>19530000</v>
      </c>
    </row>
    <row r="36" spans="1:16" x14ac:dyDescent="0.25">
      <c r="A36" s="524">
        <v>2</v>
      </c>
      <c r="B36" s="491" t="s">
        <v>893</v>
      </c>
      <c r="C36" s="490" t="s">
        <v>880</v>
      </c>
      <c r="D36" s="528">
        <v>5</v>
      </c>
      <c r="E36" s="510">
        <f>G36/F36</f>
        <v>3.3333333333333335</v>
      </c>
      <c r="F36" s="486">
        <v>1800000</v>
      </c>
      <c r="G36" s="681">
        <v>6000000</v>
      </c>
      <c r="H36" s="697"/>
      <c r="I36" s="694">
        <f>G36+H36</f>
        <v>6000000</v>
      </c>
      <c r="J36" s="509"/>
      <c r="K36" s="694">
        <f t="shared" si="8"/>
        <v>6000000</v>
      </c>
      <c r="L36" s="1104">
        <v>5</v>
      </c>
      <c r="M36" s="697"/>
      <c r="N36" s="694">
        <f t="shared" si="9"/>
        <v>6000000</v>
      </c>
      <c r="O36" s="1265"/>
      <c r="P36" s="1268">
        <f t="shared" si="4"/>
        <v>6000000</v>
      </c>
    </row>
    <row r="37" spans="1:16" x14ac:dyDescent="0.25">
      <c r="A37" s="524">
        <v>2</v>
      </c>
      <c r="B37" s="491" t="s">
        <v>893</v>
      </c>
      <c r="C37" s="490" t="s">
        <v>881</v>
      </c>
      <c r="D37" s="528">
        <v>6.2</v>
      </c>
      <c r="E37" s="528">
        <v>6.2</v>
      </c>
      <c r="F37" s="486">
        <v>4308000</v>
      </c>
      <c r="G37" s="681">
        <v>8903200</v>
      </c>
      <c r="H37" s="697"/>
      <c r="I37" s="694">
        <f>G37+H37</f>
        <v>8903200</v>
      </c>
      <c r="J37" s="509"/>
      <c r="K37" s="694">
        <f t="shared" si="8"/>
        <v>8903200</v>
      </c>
      <c r="L37" s="1104">
        <v>6.2</v>
      </c>
      <c r="M37" s="697">
        <v>287200</v>
      </c>
      <c r="N37" s="694">
        <f t="shared" si="9"/>
        <v>9190400</v>
      </c>
      <c r="O37" s="1265"/>
      <c r="P37" s="1268">
        <f t="shared" si="4"/>
        <v>9190400</v>
      </c>
    </row>
    <row r="38" spans="1:16" x14ac:dyDescent="0.25">
      <c r="A38" s="524">
        <v>2</v>
      </c>
      <c r="B38" s="491" t="s">
        <v>893</v>
      </c>
      <c r="C38" s="490" t="s">
        <v>883</v>
      </c>
      <c r="D38" s="528">
        <v>5</v>
      </c>
      <c r="E38" s="510">
        <f>G38/F38</f>
        <v>1.6666666666666667</v>
      </c>
      <c r="F38" s="486">
        <v>1800000</v>
      </c>
      <c r="G38" s="681">
        <v>3000000</v>
      </c>
      <c r="H38" s="697"/>
      <c r="I38" s="694">
        <f>G38+H38</f>
        <v>3000000</v>
      </c>
      <c r="J38" s="509"/>
      <c r="K38" s="694">
        <f t="shared" si="8"/>
        <v>3000000</v>
      </c>
      <c r="L38" s="1104">
        <v>5</v>
      </c>
      <c r="M38" s="697"/>
      <c r="N38" s="694">
        <f t="shared" si="9"/>
        <v>3000000</v>
      </c>
      <c r="O38" s="1265"/>
      <c r="P38" s="1268">
        <f t="shared" si="4"/>
        <v>3000000</v>
      </c>
    </row>
    <row r="39" spans="1:16" x14ac:dyDescent="0.25">
      <c r="A39" s="524">
        <v>2</v>
      </c>
      <c r="B39" s="491" t="s">
        <v>893</v>
      </c>
      <c r="C39" s="490" t="s">
        <v>882</v>
      </c>
      <c r="D39" s="528">
        <v>6.2</v>
      </c>
      <c r="E39" s="528">
        <v>6.2</v>
      </c>
      <c r="F39" s="486">
        <v>35000</v>
      </c>
      <c r="G39" s="681"/>
      <c r="H39" s="697"/>
      <c r="I39" s="694"/>
      <c r="J39" s="509">
        <v>217000</v>
      </c>
      <c r="K39" s="694">
        <f t="shared" si="8"/>
        <v>217000</v>
      </c>
      <c r="L39" s="1104">
        <v>6.2</v>
      </c>
      <c r="M39" s="697">
        <v>7000</v>
      </c>
      <c r="N39" s="694">
        <f t="shared" si="9"/>
        <v>224000</v>
      </c>
      <c r="O39" s="1265"/>
      <c r="P39" s="1268">
        <f t="shared" si="4"/>
        <v>224000</v>
      </c>
    </row>
    <row r="40" spans="1:16" x14ac:dyDescent="0.25">
      <c r="A40" s="524">
        <v>2</v>
      </c>
      <c r="B40" s="491" t="s">
        <v>894</v>
      </c>
      <c r="C40" s="490" t="s">
        <v>895</v>
      </c>
      <c r="D40" s="528">
        <v>75</v>
      </c>
      <c r="E40" s="510">
        <f>G40/F40</f>
        <v>50</v>
      </c>
      <c r="F40" s="505">
        <v>80000</v>
      </c>
      <c r="G40" s="681">
        <v>4000000</v>
      </c>
      <c r="H40" s="697">
        <v>-106666</v>
      </c>
      <c r="I40" s="694">
        <f t="shared" ref="I40:I45" si="10">G40+H40</f>
        <v>3893334</v>
      </c>
      <c r="J40" s="509"/>
      <c r="K40" s="694">
        <f t="shared" si="8"/>
        <v>3893334</v>
      </c>
      <c r="L40" s="1104">
        <v>75</v>
      </c>
      <c r="M40" s="697"/>
      <c r="N40" s="694">
        <f t="shared" si="9"/>
        <v>3893334</v>
      </c>
      <c r="O40" s="1265"/>
      <c r="P40" s="1268">
        <f t="shared" si="4"/>
        <v>3893334</v>
      </c>
    </row>
    <row r="41" spans="1:16" x14ac:dyDescent="0.25">
      <c r="A41" s="524">
        <v>2</v>
      </c>
      <c r="B41" s="491" t="s">
        <v>894</v>
      </c>
      <c r="C41" s="490" t="s">
        <v>896</v>
      </c>
      <c r="D41" s="528">
        <v>66</v>
      </c>
      <c r="E41" s="510">
        <f>G41/F41</f>
        <v>22</v>
      </c>
      <c r="F41" s="505">
        <v>80000</v>
      </c>
      <c r="G41" s="681">
        <f>D41*F41/3</f>
        <v>1760000</v>
      </c>
      <c r="H41" s="697"/>
      <c r="I41" s="694">
        <f t="shared" si="10"/>
        <v>1760000</v>
      </c>
      <c r="J41" s="509"/>
      <c r="K41" s="694">
        <f t="shared" si="8"/>
        <v>1760000</v>
      </c>
      <c r="L41" s="1104">
        <v>66</v>
      </c>
      <c r="M41" s="697"/>
      <c r="N41" s="694">
        <f t="shared" si="9"/>
        <v>1760000</v>
      </c>
      <c r="O41" s="1265"/>
      <c r="P41" s="1268">
        <f t="shared" si="4"/>
        <v>1760000</v>
      </c>
    </row>
    <row r="42" spans="1:16" x14ac:dyDescent="0.25">
      <c r="A42" s="524">
        <v>2</v>
      </c>
      <c r="B42" s="491" t="s">
        <v>532</v>
      </c>
      <c r="C42" s="489" t="s">
        <v>320</v>
      </c>
      <c r="D42" s="528">
        <v>4</v>
      </c>
      <c r="E42" s="510">
        <v>4</v>
      </c>
      <c r="F42" s="505">
        <v>384000</v>
      </c>
      <c r="G42" s="681">
        <f>F42*D42</f>
        <v>1536000</v>
      </c>
      <c r="H42" s="697"/>
      <c r="I42" s="694">
        <f t="shared" si="10"/>
        <v>1536000</v>
      </c>
      <c r="J42" s="509"/>
      <c r="K42" s="694">
        <f t="shared" si="8"/>
        <v>1536000</v>
      </c>
      <c r="L42" s="1104">
        <v>4</v>
      </c>
      <c r="M42" s="697"/>
      <c r="N42" s="694">
        <f t="shared" si="9"/>
        <v>1536000</v>
      </c>
      <c r="O42" s="1265"/>
      <c r="P42" s="1268">
        <f t="shared" si="4"/>
        <v>1536000</v>
      </c>
    </row>
    <row r="43" spans="1:16" x14ac:dyDescent="0.25">
      <c r="A43" s="524">
        <v>2</v>
      </c>
      <c r="B43" s="491" t="s">
        <v>897</v>
      </c>
      <c r="C43" s="490" t="s">
        <v>898</v>
      </c>
      <c r="D43" s="528">
        <v>1</v>
      </c>
      <c r="E43" s="510">
        <f>G43/F43</f>
        <v>1.3326636029411765</v>
      </c>
      <c r="F43" s="505">
        <v>1632000</v>
      </c>
      <c r="G43" s="681">
        <v>2174907</v>
      </c>
      <c r="H43" s="697"/>
      <c r="I43" s="694">
        <f t="shared" si="10"/>
        <v>2174907</v>
      </c>
      <c r="J43" s="509"/>
      <c r="K43" s="694">
        <f t="shared" si="8"/>
        <v>2174907</v>
      </c>
      <c r="L43" s="1104">
        <v>1</v>
      </c>
      <c r="M43" s="697"/>
      <c r="N43" s="694">
        <f t="shared" si="9"/>
        <v>2174907</v>
      </c>
      <c r="O43" s="1265"/>
      <c r="P43" s="1268">
        <f t="shared" si="4"/>
        <v>2174907</v>
      </c>
    </row>
    <row r="44" spans="1:16" x14ac:dyDescent="0.25">
      <c r="A44" s="524">
        <v>2</v>
      </c>
      <c r="B44" s="491" t="s">
        <v>899</v>
      </c>
      <c r="C44" s="490" t="s">
        <v>900</v>
      </c>
      <c r="D44" s="528">
        <v>60</v>
      </c>
      <c r="E44" s="510"/>
      <c r="F44" s="505"/>
      <c r="G44" s="681">
        <v>2817783</v>
      </c>
      <c r="H44" s="697">
        <v>624417</v>
      </c>
      <c r="I44" s="694">
        <f t="shared" si="10"/>
        <v>3442200</v>
      </c>
      <c r="J44" s="509">
        <v>529651</v>
      </c>
      <c r="K44" s="694">
        <f t="shared" si="8"/>
        <v>3971851</v>
      </c>
      <c r="L44" s="1104">
        <v>60</v>
      </c>
      <c r="M44" s="697">
        <v>-5913</v>
      </c>
      <c r="N44" s="694">
        <f t="shared" si="9"/>
        <v>3965938</v>
      </c>
      <c r="O44" s="1278">
        <v>-141830</v>
      </c>
      <c r="P44" s="1268">
        <f t="shared" si="4"/>
        <v>3824108</v>
      </c>
    </row>
    <row r="45" spans="1:16" x14ac:dyDescent="0.25">
      <c r="A45" s="524"/>
      <c r="B45" s="491"/>
      <c r="C45" s="490" t="s">
        <v>401</v>
      </c>
      <c r="D45" s="528"/>
      <c r="E45" s="510"/>
      <c r="F45" s="505"/>
      <c r="G45" s="681"/>
      <c r="H45" s="697">
        <f>2*371983</f>
        <v>743966</v>
      </c>
      <c r="I45" s="694">
        <f t="shared" si="10"/>
        <v>743966</v>
      </c>
      <c r="J45" s="509"/>
      <c r="K45" s="694">
        <f t="shared" si="8"/>
        <v>743966</v>
      </c>
      <c r="L45" s="1104"/>
      <c r="M45" s="697">
        <v>-46482</v>
      </c>
      <c r="N45" s="694">
        <f t="shared" si="9"/>
        <v>697484</v>
      </c>
      <c r="O45" s="1265"/>
      <c r="P45" s="1268">
        <f t="shared" si="4"/>
        <v>697484</v>
      </c>
    </row>
    <row r="46" spans="1:16" x14ac:dyDescent="0.25">
      <c r="A46" s="526"/>
      <c r="B46" s="527"/>
      <c r="C46" s="492" t="s">
        <v>903</v>
      </c>
      <c r="D46" s="517"/>
      <c r="E46" s="492"/>
      <c r="F46" s="499"/>
      <c r="G46" s="680">
        <f>SUM(G35:G44)</f>
        <v>50295890</v>
      </c>
      <c r="H46" s="698">
        <f>SUM(H35:H45)</f>
        <v>687717</v>
      </c>
      <c r="I46" s="680">
        <f>SUM(I35:I45)</f>
        <v>50983607</v>
      </c>
      <c r="J46" s="519">
        <f>SUM(J35:J45)</f>
        <v>746651</v>
      </c>
      <c r="K46" s="707">
        <f t="shared" si="8"/>
        <v>51730258</v>
      </c>
      <c r="L46" s="1103"/>
      <c r="M46" s="698">
        <f>SUM(M35:M45)</f>
        <v>241805</v>
      </c>
      <c r="N46" s="707">
        <f t="shared" si="9"/>
        <v>51972063</v>
      </c>
      <c r="O46" s="1267">
        <f>SUM(O35:O45)</f>
        <v>-141830</v>
      </c>
      <c r="P46" s="1266">
        <f t="shared" si="4"/>
        <v>51830233</v>
      </c>
    </row>
    <row r="47" spans="1:16" x14ac:dyDescent="0.25">
      <c r="A47" s="524"/>
      <c r="B47" s="491"/>
      <c r="C47" s="490"/>
      <c r="D47" s="510"/>
      <c r="E47" s="490"/>
      <c r="F47" s="505"/>
      <c r="G47" s="679"/>
      <c r="H47" s="697"/>
      <c r="I47" s="694"/>
      <c r="J47" s="509"/>
      <c r="K47" s="694"/>
      <c r="L47" s="1102"/>
      <c r="M47" s="697"/>
      <c r="N47" s="694"/>
      <c r="O47" s="1265"/>
      <c r="P47" s="1268">
        <f t="shared" si="4"/>
        <v>0</v>
      </c>
    </row>
    <row r="48" spans="1:16" x14ac:dyDescent="0.25">
      <c r="A48" s="524">
        <v>2</v>
      </c>
      <c r="B48" s="491" t="s">
        <v>893</v>
      </c>
      <c r="C48" s="490" t="s">
        <v>879</v>
      </c>
      <c r="D48" s="528">
        <v>3.9</v>
      </c>
      <c r="E48" s="510">
        <v>3.9</v>
      </c>
      <c r="F48" s="486">
        <v>4308000</v>
      </c>
      <c r="G48" s="681">
        <v>10626400</v>
      </c>
      <c r="H48" s="697">
        <v>-287200</v>
      </c>
      <c r="I48" s="694">
        <f>G48+H48</f>
        <v>10339200</v>
      </c>
      <c r="J48" s="509"/>
      <c r="K48" s="694">
        <f t="shared" ref="K48:K59" si="11">I48+J48</f>
        <v>10339200</v>
      </c>
      <c r="L48" s="1104">
        <v>3.9</v>
      </c>
      <c r="M48" s="697"/>
      <c r="N48" s="694">
        <f t="shared" ref="N48:N59" si="12">K48+M48</f>
        <v>10339200</v>
      </c>
      <c r="O48" s="1265"/>
      <c r="P48" s="1268">
        <f t="shared" si="4"/>
        <v>10339200</v>
      </c>
    </row>
    <row r="49" spans="1:16" x14ac:dyDescent="0.25">
      <c r="A49" s="524">
        <v>2</v>
      </c>
      <c r="B49" s="491" t="s">
        <v>893</v>
      </c>
      <c r="C49" s="490" t="s">
        <v>880</v>
      </c>
      <c r="D49" s="528">
        <v>2</v>
      </c>
      <c r="E49" s="510">
        <f>G49/F49</f>
        <v>1.3333333333333333</v>
      </c>
      <c r="F49" s="486">
        <v>1800000</v>
      </c>
      <c r="G49" s="681">
        <v>2400000</v>
      </c>
      <c r="H49" s="697"/>
      <c r="I49" s="694">
        <f>G49+H49</f>
        <v>2400000</v>
      </c>
      <c r="J49" s="509"/>
      <c r="K49" s="694">
        <f t="shared" si="11"/>
        <v>2400000</v>
      </c>
      <c r="L49" s="1104">
        <v>2</v>
      </c>
      <c r="M49" s="697"/>
      <c r="N49" s="694">
        <f t="shared" si="12"/>
        <v>2400000</v>
      </c>
      <c r="O49" s="1265"/>
      <c r="P49" s="1268">
        <f t="shared" si="4"/>
        <v>2400000</v>
      </c>
    </row>
    <row r="50" spans="1:16" x14ac:dyDescent="0.25">
      <c r="A50" s="524">
        <v>2</v>
      </c>
      <c r="B50" s="491" t="s">
        <v>893</v>
      </c>
      <c r="C50" s="490" t="s">
        <v>881</v>
      </c>
      <c r="D50" s="528">
        <v>3.2</v>
      </c>
      <c r="E50" s="528">
        <v>3.2</v>
      </c>
      <c r="F50" s="486">
        <v>4308000</v>
      </c>
      <c r="G50" s="681">
        <v>4595200</v>
      </c>
      <c r="H50" s="697"/>
      <c r="I50" s="694">
        <f>G50+H50</f>
        <v>4595200</v>
      </c>
      <c r="J50" s="509"/>
      <c r="K50" s="694">
        <f t="shared" si="11"/>
        <v>4595200</v>
      </c>
      <c r="L50" s="1104">
        <v>3.2</v>
      </c>
      <c r="M50" s="697"/>
      <c r="N50" s="694">
        <f t="shared" si="12"/>
        <v>4595200</v>
      </c>
      <c r="O50" s="1265"/>
      <c r="P50" s="1268">
        <f t="shared" si="4"/>
        <v>4595200</v>
      </c>
    </row>
    <row r="51" spans="1:16" x14ac:dyDescent="0.25">
      <c r="A51" s="524">
        <v>2</v>
      </c>
      <c r="B51" s="491" t="s">
        <v>893</v>
      </c>
      <c r="C51" s="490" t="s">
        <v>883</v>
      </c>
      <c r="D51" s="510">
        <v>2</v>
      </c>
      <c r="E51" s="510">
        <f>G51/F51</f>
        <v>0.66666666666666663</v>
      </c>
      <c r="F51" s="486">
        <v>1800000</v>
      </c>
      <c r="G51" s="681">
        <v>1200000</v>
      </c>
      <c r="H51" s="697"/>
      <c r="I51" s="694">
        <f>G51+H51</f>
        <v>1200000</v>
      </c>
      <c r="J51" s="509"/>
      <c r="K51" s="694">
        <f t="shared" si="11"/>
        <v>1200000</v>
      </c>
      <c r="L51" s="1102">
        <v>2</v>
      </c>
      <c r="M51" s="697"/>
      <c r="N51" s="694">
        <f t="shared" si="12"/>
        <v>1200000</v>
      </c>
      <c r="O51" s="1265"/>
      <c r="P51" s="1268">
        <f t="shared" si="4"/>
        <v>1200000</v>
      </c>
    </row>
    <row r="52" spans="1:16" x14ac:dyDescent="0.25">
      <c r="A52" s="524">
        <v>2</v>
      </c>
      <c r="B52" s="491" t="s">
        <v>893</v>
      </c>
      <c r="C52" s="490" t="s">
        <v>882</v>
      </c>
      <c r="D52" s="528">
        <v>3.2</v>
      </c>
      <c r="E52" s="528">
        <v>3.2</v>
      </c>
      <c r="F52" s="486">
        <v>35000</v>
      </c>
      <c r="G52" s="681"/>
      <c r="H52" s="697"/>
      <c r="I52" s="694"/>
      <c r="J52" s="509">
        <v>112000</v>
      </c>
      <c r="K52" s="694">
        <f t="shared" si="11"/>
        <v>112000</v>
      </c>
      <c r="L52" s="1104">
        <v>3.2</v>
      </c>
      <c r="M52" s="697"/>
      <c r="N52" s="694">
        <f t="shared" si="12"/>
        <v>112000</v>
      </c>
      <c r="O52" s="1265"/>
      <c r="P52" s="1268">
        <f t="shared" si="4"/>
        <v>112000</v>
      </c>
    </row>
    <row r="53" spans="1:16" x14ac:dyDescent="0.25">
      <c r="A53" s="524">
        <v>2</v>
      </c>
      <c r="B53" s="491" t="s">
        <v>894</v>
      </c>
      <c r="C53" s="490" t="s">
        <v>895</v>
      </c>
      <c r="D53" s="510">
        <v>42</v>
      </c>
      <c r="E53" s="510">
        <f>G53/F53</f>
        <v>28</v>
      </c>
      <c r="F53" s="505">
        <v>80000</v>
      </c>
      <c r="G53" s="681">
        <v>2240000</v>
      </c>
      <c r="H53" s="697">
        <v>-53334</v>
      </c>
      <c r="I53" s="694">
        <f t="shared" ref="I53:I58" si="13">G53+H53</f>
        <v>2186666</v>
      </c>
      <c r="J53" s="509"/>
      <c r="K53" s="694">
        <f t="shared" si="11"/>
        <v>2186666</v>
      </c>
      <c r="L53" s="1102">
        <v>42</v>
      </c>
      <c r="M53" s="697"/>
      <c r="N53" s="694">
        <f t="shared" si="12"/>
        <v>2186666</v>
      </c>
      <c r="O53" s="1265"/>
      <c r="P53" s="1268">
        <f t="shared" si="4"/>
        <v>2186666</v>
      </c>
    </row>
    <row r="54" spans="1:16" x14ac:dyDescent="0.25">
      <c r="A54" s="524">
        <v>2</v>
      </c>
      <c r="B54" s="491" t="s">
        <v>894</v>
      </c>
      <c r="C54" s="490" t="s">
        <v>896</v>
      </c>
      <c r="D54" s="510">
        <v>38</v>
      </c>
      <c r="E54" s="510">
        <f>G54/F54</f>
        <v>12.666666666666668</v>
      </c>
      <c r="F54" s="505">
        <v>80000</v>
      </c>
      <c r="G54" s="681">
        <f>D54*F54/3</f>
        <v>1013333.3333333334</v>
      </c>
      <c r="H54" s="697"/>
      <c r="I54" s="694">
        <f t="shared" si="13"/>
        <v>1013333.3333333334</v>
      </c>
      <c r="J54" s="509"/>
      <c r="K54" s="694">
        <f t="shared" si="11"/>
        <v>1013333.3333333334</v>
      </c>
      <c r="L54" s="1102">
        <v>38</v>
      </c>
      <c r="M54" s="697"/>
      <c r="N54" s="694">
        <f t="shared" si="12"/>
        <v>1013333.3333333334</v>
      </c>
      <c r="O54" s="1265"/>
      <c r="P54" s="1268">
        <f t="shared" si="4"/>
        <v>1013333.3333333334</v>
      </c>
    </row>
    <row r="55" spans="1:16" x14ac:dyDescent="0.25">
      <c r="A55" s="524">
        <v>2</v>
      </c>
      <c r="B55" s="491" t="s">
        <v>532</v>
      </c>
      <c r="C55" s="489" t="s">
        <v>320</v>
      </c>
      <c r="D55" s="510">
        <v>1</v>
      </c>
      <c r="E55" s="510">
        <v>1</v>
      </c>
      <c r="F55" s="505">
        <v>384000</v>
      </c>
      <c r="G55" s="681">
        <f>F55*D55</f>
        <v>384000</v>
      </c>
      <c r="H55" s="697"/>
      <c r="I55" s="694">
        <f t="shared" si="13"/>
        <v>384000</v>
      </c>
      <c r="J55" s="509"/>
      <c r="K55" s="694">
        <f t="shared" si="11"/>
        <v>384000</v>
      </c>
      <c r="L55" s="1102">
        <v>1</v>
      </c>
      <c r="M55" s="697"/>
      <c r="N55" s="694">
        <f t="shared" si="12"/>
        <v>384000</v>
      </c>
      <c r="O55" s="1265"/>
      <c r="P55" s="1268">
        <f t="shared" si="4"/>
        <v>384000</v>
      </c>
    </row>
    <row r="56" spans="1:16" x14ac:dyDescent="0.25">
      <c r="A56" s="524">
        <v>2</v>
      </c>
      <c r="B56" s="491" t="s">
        <v>897</v>
      </c>
      <c r="C56" s="490" t="s">
        <v>898</v>
      </c>
      <c r="D56" s="510"/>
      <c r="E56" s="510">
        <f>G56/F56</f>
        <v>0.75517647058823534</v>
      </c>
      <c r="F56" s="505">
        <v>1632000</v>
      </c>
      <c r="G56" s="681">
        <v>1232448</v>
      </c>
      <c r="H56" s="697"/>
      <c r="I56" s="694">
        <f t="shared" si="13"/>
        <v>1232448</v>
      </c>
      <c r="J56" s="509"/>
      <c r="K56" s="694">
        <f t="shared" si="11"/>
        <v>1232448</v>
      </c>
      <c r="L56" s="1102"/>
      <c r="M56" s="697"/>
      <c r="N56" s="694">
        <f t="shared" si="12"/>
        <v>1232448</v>
      </c>
      <c r="O56" s="1265"/>
      <c r="P56" s="1268">
        <f t="shared" si="4"/>
        <v>1232448</v>
      </c>
    </row>
    <row r="57" spans="1:16" x14ac:dyDescent="0.25">
      <c r="A57" s="524">
        <v>2</v>
      </c>
      <c r="B57" s="491" t="s">
        <v>899</v>
      </c>
      <c r="C57" s="490" t="s">
        <v>900</v>
      </c>
      <c r="D57" s="510">
        <v>34</v>
      </c>
      <c r="E57" s="510"/>
      <c r="F57" s="505"/>
      <c r="G57" s="681">
        <v>1792065</v>
      </c>
      <c r="H57" s="697">
        <v>502650</v>
      </c>
      <c r="I57" s="694">
        <f t="shared" si="13"/>
        <v>2294715</v>
      </c>
      <c r="J57" s="509">
        <v>300649</v>
      </c>
      <c r="K57" s="694">
        <f t="shared" si="11"/>
        <v>2595364</v>
      </c>
      <c r="L57" s="1102">
        <v>34</v>
      </c>
      <c r="M57" s="697">
        <v>-3864</v>
      </c>
      <c r="N57" s="694">
        <f t="shared" si="12"/>
        <v>2591500</v>
      </c>
      <c r="O57" s="1278">
        <v>-92677</v>
      </c>
      <c r="P57" s="1268">
        <f t="shared" si="4"/>
        <v>2498823</v>
      </c>
    </row>
    <row r="58" spans="1:16" x14ac:dyDescent="0.25">
      <c r="A58" s="524"/>
      <c r="B58" s="491"/>
      <c r="C58" s="490" t="s">
        <v>401</v>
      </c>
      <c r="D58" s="510"/>
      <c r="E58" s="510"/>
      <c r="F58" s="505"/>
      <c r="G58" s="681"/>
      <c r="H58" s="697">
        <f>2*88773</f>
        <v>177546</v>
      </c>
      <c r="I58" s="694">
        <f t="shared" si="13"/>
        <v>177546</v>
      </c>
      <c r="J58" s="509"/>
      <c r="K58" s="694">
        <f t="shared" si="11"/>
        <v>177546</v>
      </c>
      <c r="L58" s="1102"/>
      <c r="M58" s="697">
        <v>-1524</v>
      </c>
      <c r="N58" s="694">
        <f t="shared" si="12"/>
        <v>176022</v>
      </c>
      <c r="O58" s="1265"/>
      <c r="P58" s="1268">
        <f t="shared" si="4"/>
        <v>176022</v>
      </c>
    </row>
    <row r="59" spans="1:16" ht="14.4" thickBot="1" x14ac:dyDescent="0.3">
      <c r="A59" s="1145"/>
      <c r="B59" s="1146"/>
      <c r="C59" s="1147" t="s">
        <v>904</v>
      </c>
      <c r="D59" s="1148"/>
      <c r="E59" s="1147"/>
      <c r="F59" s="1149"/>
      <c r="G59" s="1150">
        <f>SUM(G48:G57)</f>
        <v>25483446.333333332</v>
      </c>
      <c r="H59" s="1151">
        <f>SUM(H48:H58)</f>
        <v>339662</v>
      </c>
      <c r="I59" s="1150">
        <f>SUM(I48:I58)</f>
        <v>25823108.333333332</v>
      </c>
      <c r="J59" s="1152">
        <f>SUM(J48:J58)</f>
        <v>412649</v>
      </c>
      <c r="K59" s="1153">
        <f t="shared" si="11"/>
        <v>26235757.333333332</v>
      </c>
      <c r="L59" s="1154"/>
      <c r="M59" s="1151">
        <f>SUM(M48:M58)</f>
        <v>-5388</v>
      </c>
      <c r="N59" s="1153">
        <f t="shared" si="12"/>
        <v>26230369.333333332</v>
      </c>
      <c r="O59" s="1267">
        <f>SUM(O48:O58)</f>
        <v>-92677</v>
      </c>
      <c r="P59" s="1266">
        <f t="shared" si="4"/>
        <v>26137692.333333332</v>
      </c>
    </row>
    <row r="60" spans="1:16" ht="42" thickBot="1" x14ac:dyDescent="0.3">
      <c r="A60" s="1132" t="s">
        <v>889</v>
      </c>
      <c r="B60" s="1133" t="s">
        <v>890</v>
      </c>
      <c r="C60" s="1134" t="s">
        <v>891</v>
      </c>
      <c r="D60" s="1135"/>
      <c r="E60" s="1136" t="s">
        <v>851</v>
      </c>
      <c r="F60" s="1137" t="s">
        <v>852</v>
      </c>
      <c r="G60" s="1138" t="s">
        <v>400</v>
      </c>
      <c r="H60" s="1139" t="s">
        <v>662</v>
      </c>
      <c r="I60" s="1140" t="s">
        <v>663</v>
      </c>
      <c r="J60" s="1139" t="s">
        <v>452</v>
      </c>
      <c r="K60" s="1141" t="s">
        <v>451</v>
      </c>
      <c r="L60" s="1142" t="s">
        <v>892</v>
      </c>
      <c r="M60" s="1143" t="s">
        <v>763</v>
      </c>
      <c r="N60" s="1141" t="s">
        <v>764</v>
      </c>
      <c r="O60" s="1276" t="s">
        <v>547</v>
      </c>
      <c r="P60" s="1277" t="s">
        <v>548</v>
      </c>
    </row>
    <row r="61" spans="1:16" x14ac:dyDescent="0.25">
      <c r="A61" s="753">
        <v>2</v>
      </c>
      <c r="B61" s="1122" t="s">
        <v>475</v>
      </c>
      <c r="C61" s="1125" t="s">
        <v>514</v>
      </c>
      <c r="D61" s="1155"/>
      <c r="E61" s="754"/>
      <c r="F61" s="1156">
        <v>3141600</v>
      </c>
      <c r="G61" s="1157">
        <v>3141600</v>
      </c>
      <c r="H61" s="1128"/>
      <c r="I61" s="1157">
        <f>G61+H61</f>
        <v>3141600</v>
      </c>
      <c r="J61" s="1130"/>
      <c r="K61" s="1129">
        <f t="shared" ref="K61:K101" si="14">I61+J61</f>
        <v>3141600</v>
      </c>
      <c r="L61" s="1158"/>
      <c r="M61" s="1128"/>
      <c r="N61" s="1129">
        <f t="shared" ref="N61:N100" si="15">K61+M61</f>
        <v>3141600</v>
      </c>
      <c r="O61" s="1265"/>
      <c r="P61" s="1268">
        <f t="shared" si="4"/>
        <v>3141600</v>
      </c>
    </row>
    <row r="62" spans="1:16" x14ac:dyDescent="0.25">
      <c r="A62" s="524">
        <v>2</v>
      </c>
      <c r="B62" s="491" t="s">
        <v>897</v>
      </c>
      <c r="C62" s="490" t="s">
        <v>905</v>
      </c>
      <c r="D62" s="510">
        <v>794</v>
      </c>
      <c r="E62" s="510">
        <f>G62/F62</f>
        <v>17.635576593137255</v>
      </c>
      <c r="F62" s="505">
        <v>1632000</v>
      </c>
      <c r="G62" s="679">
        <v>28781261</v>
      </c>
      <c r="H62" s="697"/>
      <c r="I62" s="682">
        <f>G62+H62</f>
        <v>28781261</v>
      </c>
      <c r="J62" s="509"/>
      <c r="K62" s="694">
        <f t="shared" si="14"/>
        <v>28781261</v>
      </c>
      <c r="L62" s="1102">
        <v>794</v>
      </c>
      <c r="M62" s="697"/>
      <c r="N62" s="694">
        <f t="shared" si="15"/>
        <v>28781261</v>
      </c>
      <c r="O62" s="1265"/>
      <c r="P62" s="1268">
        <f t="shared" si="4"/>
        <v>28781261</v>
      </c>
    </row>
    <row r="63" spans="1:16" x14ac:dyDescent="0.25">
      <c r="A63" s="524">
        <v>2</v>
      </c>
      <c r="B63" s="491" t="s">
        <v>899</v>
      </c>
      <c r="C63" s="490" t="s">
        <v>900</v>
      </c>
      <c r="D63" s="510">
        <v>794</v>
      </c>
      <c r="E63" s="510"/>
      <c r="F63" s="505"/>
      <c r="G63" s="679">
        <v>20605971</v>
      </c>
      <c r="H63" s="697">
        <v>-4447319</v>
      </c>
      <c r="I63" s="682">
        <f>G63+H63</f>
        <v>16158652</v>
      </c>
      <c r="J63" s="509">
        <v>24093</v>
      </c>
      <c r="K63" s="694">
        <f t="shared" si="14"/>
        <v>16182745</v>
      </c>
      <c r="L63" s="1102">
        <v>794</v>
      </c>
      <c r="M63" s="697">
        <v>-24093</v>
      </c>
      <c r="N63" s="694">
        <f t="shared" si="15"/>
        <v>16158652</v>
      </c>
      <c r="O63" s="1278">
        <v>-577867</v>
      </c>
      <c r="P63" s="1268">
        <f t="shared" si="4"/>
        <v>15580785</v>
      </c>
    </row>
    <row r="64" spans="1:16" x14ac:dyDescent="0.25">
      <c r="A64" s="524"/>
      <c r="B64" s="491"/>
      <c r="C64" s="490" t="s">
        <v>401</v>
      </c>
      <c r="D64" s="510"/>
      <c r="E64" s="510"/>
      <c r="F64" s="505"/>
      <c r="G64" s="679"/>
      <c r="H64" s="697">
        <f>2*540893</f>
        <v>1081786</v>
      </c>
      <c r="I64" s="682">
        <f>G64+H64</f>
        <v>1081786</v>
      </c>
      <c r="J64" s="509"/>
      <c r="K64" s="694">
        <f t="shared" si="14"/>
        <v>1081786</v>
      </c>
      <c r="L64" s="1102"/>
      <c r="M64" s="697">
        <v>-77216</v>
      </c>
      <c r="N64" s="694">
        <f t="shared" si="15"/>
        <v>1004570</v>
      </c>
      <c r="O64" s="1265"/>
      <c r="P64" s="1268">
        <f t="shared" si="4"/>
        <v>1004570</v>
      </c>
    </row>
    <row r="65" spans="1:18" x14ac:dyDescent="0.25">
      <c r="A65" s="526"/>
      <c r="B65" s="527"/>
      <c r="C65" s="492" t="s">
        <v>906</v>
      </c>
      <c r="D65" s="517"/>
      <c r="E65" s="492"/>
      <c r="F65" s="499"/>
      <c r="G65" s="680">
        <f>G61+G62+G63</f>
        <v>52528832</v>
      </c>
      <c r="H65" s="698">
        <f>SUM(H61:H64)</f>
        <v>-3365533</v>
      </c>
      <c r="I65" s="680">
        <f>I61+I62+I63+I64</f>
        <v>49163299</v>
      </c>
      <c r="J65" s="519">
        <f>J61+J62+J63+J64</f>
        <v>24093</v>
      </c>
      <c r="K65" s="707">
        <f t="shared" si="14"/>
        <v>49187392</v>
      </c>
      <c r="L65" s="1103"/>
      <c r="M65" s="698">
        <f>SUM(M61:M64)</f>
        <v>-101309</v>
      </c>
      <c r="N65" s="707">
        <f t="shared" si="15"/>
        <v>49086083</v>
      </c>
      <c r="O65" s="1267">
        <f>SUM(O61:O64)</f>
        <v>-577867</v>
      </c>
      <c r="P65" s="1266">
        <f t="shared" si="4"/>
        <v>48508216</v>
      </c>
    </row>
    <row r="66" spans="1:18" x14ac:dyDescent="0.25">
      <c r="A66" s="526"/>
      <c r="B66" s="527"/>
      <c r="C66" s="492"/>
      <c r="D66" s="517"/>
      <c r="E66" s="492"/>
      <c r="F66" s="499"/>
      <c r="G66" s="680"/>
      <c r="H66" s="697"/>
      <c r="I66" s="694"/>
      <c r="J66" s="509"/>
      <c r="K66" s="694">
        <f t="shared" si="14"/>
        <v>0</v>
      </c>
      <c r="L66" s="1103"/>
      <c r="M66" s="697"/>
      <c r="N66" s="694">
        <f t="shared" si="15"/>
        <v>0</v>
      </c>
      <c r="O66" s="1265"/>
      <c r="P66" s="1268">
        <f t="shared" si="4"/>
        <v>0</v>
      </c>
    </row>
    <row r="67" spans="1:18" x14ac:dyDescent="0.25">
      <c r="A67" s="524"/>
      <c r="B67" s="491"/>
      <c r="C67" s="492"/>
      <c r="D67" s="510"/>
      <c r="E67" s="490"/>
      <c r="F67" s="505"/>
      <c r="G67" s="680"/>
      <c r="H67" s="697"/>
      <c r="I67" s="694"/>
      <c r="J67" s="509"/>
      <c r="K67" s="694">
        <f t="shared" si="14"/>
        <v>0</v>
      </c>
      <c r="L67" s="1102"/>
      <c r="M67" s="697"/>
      <c r="N67" s="694">
        <f t="shared" si="15"/>
        <v>0</v>
      </c>
      <c r="O67" s="1265"/>
      <c r="P67" s="1268">
        <f t="shared" si="4"/>
        <v>0</v>
      </c>
    </row>
    <row r="68" spans="1:18" x14ac:dyDescent="0.25">
      <c r="A68" s="524">
        <v>2</v>
      </c>
      <c r="B68" s="491" t="s">
        <v>907</v>
      </c>
      <c r="C68" s="490" t="s">
        <v>908</v>
      </c>
      <c r="D68" s="510">
        <v>41</v>
      </c>
      <c r="E68" s="490">
        <v>41</v>
      </c>
      <c r="F68" s="505">
        <v>494100</v>
      </c>
      <c r="G68" s="682">
        <v>20258100</v>
      </c>
      <c r="H68" s="697"/>
      <c r="I68" s="682">
        <f t="shared" ref="I68:I73" si="16">G68+H68</f>
        <v>20258100</v>
      </c>
      <c r="J68" s="509"/>
      <c r="K68" s="694">
        <f t="shared" si="14"/>
        <v>20258100</v>
      </c>
      <c r="L68" s="1102">
        <v>41</v>
      </c>
      <c r="M68" s="697"/>
      <c r="N68" s="694">
        <f t="shared" si="15"/>
        <v>20258100</v>
      </c>
      <c r="O68" s="1265"/>
      <c r="P68" s="1268">
        <f t="shared" si="4"/>
        <v>20258100</v>
      </c>
    </row>
    <row r="69" spans="1:18" x14ac:dyDescent="0.25">
      <c r="A69" s="524">
        <v>2</v>
      </c>
      <c r="B69" s="491" t="s">
        <v>897</v>
      </c>
      <c r="C69" s="490" t="s">
        <v>909</v>
      </c>
      <c r="D69" s="510">
        <v>33</v>
      </c>
      <c r="E69" s="502">
        <f>G69/F69</f>
        <v>0.73296568627450975</v>
      </c>
      <c r="F69" s="505">
        <v>1632000</v>
      </c>
      <c r="G69" s="679">
        <v>1196200</v>
      </c>
      <c r="H69" s="697"/>
      <c r="I69" s="682">
        <f t="shared" si="16"/>
        <v>1196200</v>
      </c>
      <c r="J69" s="509"/>
      <c r="K69" s="694">
        <f t="shared" si="14"/>
        <v>1196200</v>
      </c>
      <c r="L69" s="1102">
        <v>33</v>
      </c>
      <c r="M69" s="697"/>
      <c r="N69" s="694">
        <f t="shared" si="15"/>
        <v>1196200</v>
      </c>
      <c r="O69" s="1265"/>
      <c r="P69" s="1268">
        <f t="shared" si="4"/>
        <v>1196200</v>
      </c>
    </row>
    <row r="70" spans="1:18" x14ac:dyDescent="0.25">
      <c r="A70" s="524">
        <v>2</v>
      </c>
      <c r="B70" s="491" t="s">
        <v>899</v>
      </c>
      <c r="C70" s="490" t="s">
        <v>900</v>
      </c>
      <c r="D70" s="510">
        <v>33</v>
      </c>
      <c r="E70" s="502"/>
      <c r="F70" s="505"/>
      <c r="G70" s="679">
        <v>1842419</v>
      </c>
      <c r="H70" s="697">
        <v>566389</v>
      </c>
      <c r="I70" s="682">
        <f t="shared" si="16"/>
        <v>2408808</v>
      </c>
      <c r="J70" s="509">
        <v>3591</v>
      </c>
      <c r="K70" s="694">
        <f t="shared" si="14"/>
        <v>2412399</v>
      </c>
      <c r="L70" s="1102">
        <v>33</v>
      </c>
      <c r="M70" s="697">
        <v>-3591</v>
      </c>
      <c r="N70" s="694">
        <f t="shared" si="15"/>
        <v>2408808</v>
      </c>
      <c r="O70" s="1278">
        <v>-86144</v>
      </c>
      <c r="P70" s="1268">
        <f t="shared" si="4"/>
        <v>2322664</v>
      </c>
    </row>
    <row r="71" spans="1:18" ht="27.6" x14ac:dyDescent="0.25">
      <c r="A71" s="524">
        <v>2</v>
      </c>
      <c r="B71" s="491" t="s">
        <v>536</v>
      </c>
      <c r="C71" s="513" t="s">
        <v>535</v>
      </c>
      <c r="D71" s="510">
        <v>3</v>
      </c>
      <c r="E71" s="502">
        <v>3</v>
      </c>
      <c r="F71" s="505">
        <v>1508760</v>
      </c>
      <c r="G71" s="679">
        <v>4526280</v>
      </c>
      <c r="H71" s="697"/>
      <c r="I71" s="682">
        <f t="shared" si="16"/>
        <v>4526280</v>
      </c>
      <c r="J71" s="509"/>
      <c r="K71" s="694">
        <f t="shared" si="14"/>
        <v>4526280</v>
      </c>
      <c r="L71" s="1102">
        <v>3</v>
      </c>
      <c r="M71" s="697"/>
      <c r="N71" s="694">
        <f t="shared" si="15"/>
        <v>4526280</v>
      </c>
      <c r="O71" s="1265"/>
      <c r="P71" s="1268">
        <f t="shared" si="4"/>
        <v>4526280</v>
      </c>
    </row>
    <row r="72" spans="1:18" x14ac:dyDescent="0.25">
      <c r="A72" s="524"/>
      <c r="B72" s="491"/>
      <c r="C72" s="490" t="s">
        <v>401</v>
      </c>
      <c r="D72" s="510"/>
      <c r="E72" s="502"/>
      <c r="F72" s="505"/>
      <c r="G72" s="679"/>
      <c r="H72" s="697">
        <f>2*497840</f>
        <v>995680</v>
      </c>
      <c r="I72" s="682">
        <f t="shared" si="16"/>
        <v>995680</v>
      </c>
      <c r="J72" s="509"/>
      <c r="K72" s="694">
        <f t="shared" si="14"/>
        <v>995680</v>
      </c>
      <c r="L72" s="1102"/>
      <c r="M72" s="697">
        <v>-9398</v>
      </c>
      <c r="N72" s="694">
        <f t="shared" si="15"/>
        <v>986282</v>
      </c>
      <c r="O72" s="1265"/>
      <c r="P72" s="1268">
        <f t="shared" si="4"/>
        <v>986282</v>
      </c>
      <c r="R72" s="1264">
        <f>P73-Q73</f>
        <v>10061</v>
      </c>
    </row>
    <row r="73" spans="1:18" x14ac:dyDescent="0.25">
      <c r="A73" s="524"/>
      <c r="B73" s="491"/>
      <c r="C73" s="702" t="s">
        <v>402</v>
      </c>
      <c r="D73" s="510"/>
      <c r="E73" s="502"/>
      <c r="F73" s="505"/>
      <c r="G73" s="679"/>
      <c r="H73" s="697">
        <v>1945347</v>
      </c>
      <c r="I73" s="682">
        <f t="shared" si="16"/>
        <v>1945347</v>
      </c>
      <c r="J73" s="509">
        <v>956651</v>
      </c>
      <c r="K73" s="694">
        <f t="shared" si="14"/>
        <v>2901998</v>
      </c>
      <c r="L73" s="1102"/>
      <c r="M73" s="697">
        <f>530660+315922</f>
        <v>846582</v>
      </c>
      <c r="N73" s="694">
        <f t="shared" si="15"/>
        <v>3748580</v>
      </c>
      <c r="O73" s="1265"/>
      <c r="P73" s="1268">
        <f t="shared" si="4"/>
        <v>3748580</v>
      </c>
      <c r="Q73">
        <v>3738519</v>
      </c>
    </row>
    <row r="74" spans="1:18" x14ac:dyDescent="0.25">
      <c r="A74" s="529"/>
      <c r="B74" s="488"/>
      <c r="C74" s="492" t="s">
        <v>910</v>
      </c>
      <c r="D74" s="517"/>
      <c r="E74" s="492"/>
      <c r="F74" s="499"/>
      <c r="G74" s="680">
        <f>SUM(G68:G71)</f>
        <v>27822999</v>
      </c>
      <c r="H74" s="698">
        <f>SUM(H68:H73)</f>
        <v>3507416</v>
      </c>
      <c r="I74" s="680">
        <f>SUM(I68:I73)</f>
        <v>31330415</v>
      </c>
      <c r="J74" s="519">
        <f>SUM(J68:J73)</f>
        <v>960242</v>
      </c>
      <c r="K74" s="707">
        <f t="shared" si="14"/>
        <v>32290657</v>
      </c>
      <c r="L74" s="1103"/>
      <c r="M74" s="698">
        <f>SUM(M68:M73)</f>
        <v>833593</v>
      </c>
      <c r="N74" s="707">
        <f t="shared" si="15"/>
        <v>33124250</v>
      </c>
      <c r="O74" s="1267">
        <f>SUM(O68:O73)</f>
        <v>-86144</v>
      </c>
      <c r="P74" s="1266">
        <f t="shared" si="4"/>
        <v>33038106</v>
      </c>
      <c r="R74">
        <f>Q73+Q88</f>
        <v>16145220</v>
      </c>
    </row>
    <row r="75" spans="1:18" x14ac:dyDescent="0.25">
      <c r="A75" s="524"/>
      <c r="B75" s="491"/>
      <c r="C75" s="490"/>
      <c r="D75" s="510"/>
      <c r="E75" s="490"/>
      <c r="F75" s="530"/>
      <c r="G75" s="683"/>
      <c r="H75" s="697"/>
      <c r="I75" s="694"/>
      <c r="J75" s="509"/>
      <c r="K75" s="694">
        <f t="shared" si="14"/>
        <v>0</v>
      </c>
      <c r="L75" s="1102"/>
      <c r="M75" s="697"/>
      <c r="N75" s="694">
        <f t="shared" si="15"/>
        <v>0</v>
      </c>
      <c r="O75" s="1265"/>
      <c r="P75" s="1268">
        <f t="shared" si="4"/>
        <v>0</v>
      </c>
      <c r="R75" s="1264">
        <f>P73+P88</f>
        <v>16146300</v>
      </c>
    </row>
    <row r="76" spans="1:18" x14ac:dyDescent="0.25">
      <c r="A76" s="531"/>
      <c r="B76" s="511"/>
      <c r="C76" s="511"/>
      <c r="D76" s="528"/>
      <c r="E76" s="511"/>
      <c r="F76" s="511"/>
      <c r="G76" s="684"/>
      <c r="H76" s="697"/>
      <c r="I76" s="694"/>
      <c r="J76" s="509"/>
      <c r="K76" s="694">
        <f t="shared" si="14"/>
        <v>0</v>
      </c>
      <c r="L76" s="1104"/>
      <c r="M76" s="697"/>
      <c r="N76" s="694">
        <f t="shared" si="15"/>
        <v>0</v>
      </c>
      <c r="O76" s="1265"/>
      <c r="P76" s="1268">
        <f t="shared" si="4"/>
        <v>0</v>
      </c>
      <c r="R76" s="1264">
        <f>R74-R75</f>
        <v>-1080</v>
      </c>
    </row>
    <row r="77" spans="1:18" x14ac:dyDescent="0.25">
      <c r="A77" s="524">
        <v>2</v>
      </c>
      <c r="B77" s="491" t="s">
        <v>911</v>
      </c>
      <c r="C77" s="492" t="s">
        <v>912</v>
      </c>
      <c r="D77" s="517"/>
      <c r="E77" s="532"/>
      <c r="F77" s="499"/>
      <c r="G77" s="685"/>
      <c r="H77" s="697"/>
      <c r="I77" s="694"/>
      <c r="J77" s="509"/>
      <c r="K77" s="694">
        <f t="shared" si="14"/>
        <v>0</v>
      </c>
      <c r="L77" s="1103"/>
      <c r="M77" s="697"/>
      <c r="N77" s="694">
        <f t="shared" si="15"/>
        <v>0</v>
      </c>
      <c r="O77" s="1265"/>
      <c r="P77" s="1268">
        <f t="shared" si="4"/>
        <v>0</v>
      </c>
    </row>
    <row r="78" spans="1:18" ht="14.4" x14ac:dyDescent="0.3">
      <c r="A78" s="524">
        <v>2</v>
      </c>
      <c r="B78" s="491" t="s">
        <v>520</v>
      </c>
      <c r="C78" s="514" t="s">
        <v>515</v>
      </c>
      <c r="D78" s="518"/>
      <c r="E78" s="502">
        <f>G78/F78</f>
        <v>7.6</v>
      </c>
      <c r="F78" s="486">
        <v>3000000</v>
      </c>
      <c r="G78" s="682">
        <v>22800000</v>
      </c>
      <c r="H78" s="697"/>
      <c r="I78" s="682">
        <f t="shared" ref="I78:I88" si="17">G78+H78</f>
        <v>22800000</v>
      </c>
      <c r="J78" s="509"/>
      <c r="K78" s="694">
        <f t="shared" si="14"/>
        <v>22800000</v>
      </c>
      <c r="L78" s="1105"/>
      <c r="M78" s="697"/>
      <c r="N78" s="694">
        <f t="shared" si="15"/>
        <v>22800000</v>
      </c>
      <c r="O78" s="1265"/>
      <c r="P78" s="1268">
        <f t="shared" si="4"/>
        <v>22800000</v>
      </c>
      <c r="R78">
        <f>Q73+10063</f>
        <v>3748582</v>
      </c>
    </row>
    <row r="79" spans="1:18" ht="14.4" x14ac:dyDescent="0.3">
      <c r="A79" s="524">
        <v>2</v>
      </c>
      <c r="B79" s="491" t="s">
        <v>521</v>
      </c>
      <c r="C79" s="514" t="s">
        <v>516</v>
      </c>
      <c r="D79" s="518"/>
      <c r="E79" s="502">
        <f>G79/F79</f>
        <v>3.7</v>
      </c>
      <c r="F79" s="486">
        <v>3000000</v>
      </c>
      <c r="G79" s="682">
        <v>11100000</v>
      </c>
      <c r="H79" s="697"/>
      <c r="I79" s="682">
        <f t="shared" si="17"/>
        <v>11100000</v>
      </c>
      <c r="J79" s="509"/>
      <c r="K79" s="694">
        <f t="shared" si="14"/>
        <v>11100000</v>
      </c>
      <c r="L79" s="1105"/>
      <c r="M79" s="697"/>
      <c r="N79" s="694">
        <f t="shared" si="15"/>
        <v>11100000</v>
      </c>
      <c r="O79" s="1265"/>
      <c r="P79" s="1268">
        <f t="shared" si="4"/>
        <v>11100000</v>
      </c>
      <c r="R79">
        <f>Q88-8983</f>
        <v>12397718</v>
      </c>
    </row>
    <row r="80" spans="1:18" x14ac:dyDescent="0.25">
      <c r="A80" s="524">
        <v>2</v>
      </c>
      <c r="B80" s="491" t="s">
        <v>913</v>
      </c>
      <c r="C80" s="490" t="s">
        <v>867</v>
      </c>
      <c r="D80" s="505">
        <v>100</v>
      </c>
      <c r="E80" s="505">
        <v>100</v>
      </c>
      <c r="F80" s="486">
        <v>55360</v>
      </c>
      <c r="G80" s="682">
        <v>5536000</v>
      </c>
      <c r="H80" s="697"/>
      <c r="I80" s="682">
        <f t="shared" si="17"/>
        <v>5536000</v>
      </c>
      <c r="J80" s="509"/>
      <c r="K80" s="694">
        <f t="shared" si="14"/>
        <v>5536000</v>
      </c>
      <c r="L80" s="1106">
        <v>100</v>
      </c>
      <c r="M80" s="697"/>
      <c r="N80" s="694">
        <f t="shared" si="15"/>
        <v>5536000</v>
      </c>
      <c r="O80" s="1265"/>
      <c r="P80" s="1268">
        <f t="shared" si="4"/>
        <v>5536000</v>
      </c>
      <c r="R80">
        <f>SUM(R78:R79)</f>
        <v>16146300</v>
      </c>
    </row>
    <row r="81" spans="1:18" x14ac:dyDescent="0.25">
      <c r="A81" s="524">
        <v>2</v>
      </c>
      <c r="B81" s="491" t="s">
        <v>914</v>
      </c>
      <c r="C81" s="490" t="s">
        <v>868</v>
      </c>
      <c r="D81" s="505">
        <v>35</v>
      </c>
      <c r="E81" s="505">
        <v>35</v>
      </c>
      <c r="F81" s="486">
        <v>188500</v>
      </c>
      <c r="G81" s="682">
        <f>F81*E81</f>
        <v>6597500</v>
      </c>
      <c r="H81" s="697"/>
      <c r="I81" s="682">
        <f t="shared" si="17"/>
        <v>6597500</v>
      </c>
      <c r="J81" s="509"/>
      <c r="K81" s="694">
        <f t="shared" si="14"/>
        <v>6597500</v>
      </c>
      <c r="L81" s="1106">
        <v>35</v>
      </c>
      <c r="M81" s="697"/>
      <c r="N81" s="694">
        <f t="shared" si="15"/>
        <v>6597500</v>
      </c>
      <c r="O81" s="1265"/>
      <c r="P81" s="1268">
        <f t="shared" ref="P81:P130" si="18">O81+N81</f>
        <v>6597500</v>
      </c>
    </row>
    <row r="82" spans="1:18" x14ac:dyDescent="0.25">
      <c r="A82" s="524">
        <v>2</v>
      </c>
      <c r="B82" s="491" t="s">
        <v>915</v>
      </c>
      <c r="C82" s="533" t="s">
        <v>869</v>
      </c>
      <c r="D82" s="505">
        <v>43</v>
      </c>
      <c r="E82" s="505">
        <v>43</v>
      </c>
      <c r="F82" s="506">
        <v>163500</v>
      </c>
      <c r="G82" s="682">
        <f>F82*E82</f>
        <v>7030500</v>
      </c>
      <c r="H82" s="697"/>
      <c r="I82" s="682">
        <f t="shared" si="17"/>
        <v>7030500</v>
      </c>
      <c r="J82" s="509"/>
      <c r="K82" s="694">
        <f t="shared" si="14"/>
        <v>7030500</v>
      </c>
      <c r="L82" s="1106">
        <v>43</v>
      </c>
      <c r="M82" s="697"/>
      <c r="N82" s="694">
        <f t="shared" si="15"/>
        <v>7030500</v>
      </c>
      <c r="O82" s="1265"/>
      <c r="P82" s="1268">
        <f t="shared" si="18"/>
        <v>7030500</v>
      </c>
    </row>
    <row r="83" spans="1:18" ht="28.8" x14ac:dyDescent="0.3">
      <c r="A83" s="524">
        <v>2</v>
      </c>
      <c r="B83" s="491" t="s">
        <v>916</v>
      </c>
      <c r="C83" s="534" t="s">
        <v>870</v>
      </c>
      <c r="D83" s="515"/>
      <c r="E83" s="515"/>
      <c r="F83" s="516"/>
      <c r="G83" s="686">
        <f>G84+G85+G86</f>
        <v>17600000</v>
      </c>
      <c r="H83" s="697"/>
      <c r="I83" s="682">
        <f t="shared" si="17"/>
        <v>17600000</v>
      </c>
      <c r="J83" s="509"/>
      <c r="K83" s="694">
        <f t="shared" si="14"/>
        <v>17600000</v>
      </c>
      <c r="L83" s="1107"/>
      <c r="M83" s="697">
        <f>M84+M85</f>
        <v>-1540000</v>
      </c>
      <c r="N83" s="694">
        <f t="shared" si="15"/>
        <v>16060000</v>
      </c>
      <c r="O83" s="1265"/>
      <c r="P83" s="1268">
        <f t="shared" si="18"/>
        <v>16060000</v>
      </c>
    </row>
    <row r="84" spans="1:18" x14ac:dyDescent="0.25">
      <c r="A84" s="524">
        <v>2</v>
      </c>
      <c r="B84" s="491" t="s">
        <v>916</v>
      </c>
      <c r="C84" s="490" t="s">
        <v>871</v>
      </c>
      <c r="D84" s="505">
        <v>15</v>
      </c>
      <c r="E84" s="505">
        <v>15</v>
      </c>
      <c r="F84" s="486">
        <v>550000</v>
      </c>
      <c r="G84" s="682">
        <f>F84*E84</f>
        <v>8250000</v>
      </c>
      <c r="H84" s="697"/>
      <c r="I84" s="682">
        <f t="shared" si="17"/>
        <v>8250000</v>
      </c>
      <c r="J84" s="509"/>
      <c r="K84" s="694">
        <f t="shared" si="14"/>
        <v>8250000</v>
      </c>
      <c r="L84" s="1106">
        <v>13</v>
      </c>
      <c r="M84" s="697">
        <v>-1100000</v>
      </c>
      <c r="N84" s="694">
        <f t="shared" si="15"/>
        <v>7150000</v>
      </c>
      <c r="O84" s="1265"/>
      <c r="P84" s="1268">
        <f t="shared" si="18"/>
        <v>7150000</v>
      </c>
    </row>
    <row r="85" spans="1:18" ht="27.6" x14ac:dyDescent="0.25">
      <c r="A85" s="524">
        <v>2</v>
      </c>
      <c r="B85" s="491" t="s">
        <v>916</v>
      </c>
      <c r="C85" s="533" t="s">
        <v>872</v>
      </c>
      <c r="D85" s="505">
        <v>25</v>
      </c>
      <c r="E85" s="505">
        <v>25</v>
      </c>
      <c r="F85" s="486">
        <v>220000</v>
      </c>
      <c r="G85" s="682">
        <f>F85*E85</f>
        <v>5500000</v>
      </c>
      <c r="H85" s="697"/>
      <c r="I85" s="682">
        <f t="shared" si="17"/>
        <v>5500000</v>
      </c>
      <c r="J85" s="509"/>
      <c r="K85" s="694">
        <f t="shared" si="14"/>
        <v>5500000</v>
      </c>
      <c r="L85" s="1106">
        <v>23</v>
      </c>
      <c r="M85" s="697">
        <v>-440000</v>
      </c>
      <c r="N85" s="694">
        <f t="shared" si="15"/>
        <v>5060000</v>
      </c>
      <c r="O85" s="1265"/>
      <c r="P85" s="1268">
        <f t="shared" si="18"/>
        <v>5060000</v>
      </c>
    </row>
    <row r="86" spans="1:18" x14ac:dyDescent="0.25">
      <c r="A86" s="524">
        <v>2</v>
      </c>
      <c r="B86" s="491" t="s">
        <v>916</v>
      </c>
      <c r="C86" s="489" t="s">
        <v>319</v>
      </c>
      <c r="D86" s="505">
        <v>7</v>
      </c>
      <c r="E86" s="505">
        <v>7</v>
      </c>
      <c r="F86" s="486">
        <v>550000</v>
      </c>
      <c r="G86" s="682">
        <f>F86*E86</f>
        <v>3850000</v>
      </c>
      <c r="H86" s="697"/>
      <c r="I86" s="682">
        <f t="shared" si="17"/>
        <v>3850000</v>
      </c>
      <c r="J86" s="509"/>
      <c r="K86" s="694">
        <f t="shared" si="14"/>
        <v>3850000</v>
      </c>
      <c r="L86" s="1106">
        <v>7</v>
      </c>
      <c r="M86" s="697"/>
      <c r="N86" s="694">
        <f t="shared" si="15"/>
        <v>3850000</v>
      </c>
      <c r="O86" s="1265"/>
      <c r="P86" s="1268">
        <f t="shared" si="18"/>
        <v>3850000</v>
      </c>
    </row>
    <row r="87" spans="1:18" x14ac:dyDescent="0.25">
      <c r="A87" s="524"/>
      <c r="B87" s="491"/>
      <c r="C87" s="490" t="s">
        <v>401</v>
      </c>
      <c r="D87" s="505"/>
      <c r="E87" s="505"/>
      <c r="F87" s="486"/>
      <c r="G87" s="682"/>
      <c r="H87" s="697">
        <f>2*1498727</f>
        <v>2997454</v>
      </c>
      <c r="I87" s="682">
        <f t="shared" si="17"/>
        <v>2997454</v>
      </c>
      <c r="J87" s="509"/>
      <c r="K87" s="694">
        <f t="shared" si="14"/>
        <v>2997454</v>
      </c>
      <c r="L87" s="1106"/>
      <c r="M87" s="697">
        <v>-28829</v>
      </c>
      <c r="N87" s="694">
        <f t="shared" si="15"/>
        <v>2968625</v>
      </c>
      <c r="O87" s="1265"/>
      <c r="P87" s="1268">
        <f t="shared" si="18"/>
        <v>2968625</v>
      </c>
    </row>
    <row r="88" spans="1:18" x14ac:dyDescent="0.25">
      <c r="A88" s="524"/>
      <c r="B88" s="491"/>
      <c r="C88" s="702" t="s">
        <v>402</v>
      </c>
      <c r="D88" s="505"/>
      <c r="E88" s="505"/>
      <c r="F88" s="486"/>
      <c r="G88" s="682"/>
      <c r="H88" s="697">
        <v>6104121</v>
      </c>
      <c r="I88" s="682">
        <f t="shared" si="17"/>
        <v>6104121</v>
      </c>
      <c r="J88" s="509">
        <v>3142572</v>
      </c>
      <c r="K88" s="694">
        <f t="shared" si="14"/>
        <v>9246693</v>
      </c>
      <c r="L88" s="1106"/>
      <c r="M88" s="697">
        <f>2047879+1086887</f>
        <v>3134766</v>
      </c>
      <c r="N88" s="694">
        <f t="shared" si="15"/>
        <v>12381459</v>
      </c>
      <c r="O88" s="1265">
        <v>16261</v>
      </c>
      <c r="P88" s="1268">
        <f t="shared" si="18"/>
        <v>12397720</v>
      </c>
      <c r="Q88">
        <v>12406701</v>
      </c>
      <c r="R88" s="1264">
        <f>P88-Q88</f>
        <v>-8981</v>
      </c>
    </row>
    <row r="89" spans="1:18" x14ac:dyDescent="0.25">
      <c r="A89" s="526"/>
      <c r="B89" s="527"/>
      <c r="C89" s="492" t="s">
        <v>917</v>
      </c>
      <c r="D89" s="535"/>
      <c r="E89" s="499"/>
      <c r="F89" s="500"/>
      <c r="G89" s="687">
        <f>G78+G79+G80+G81+G82+G83</f>
        <v>70664000</v>
      </c>
      <c r="H89" s="698">
        <f>SUM(H78:H88)</f>
        <v>9101575</v>
      </c>
      <c r="I89" s="687">
        <f>I78+I79+I80+I81+I82+I83+I87+I88</f>
        <v>79765575</v>
      </c>
      <c r="J89" s="750">
        <f>J78+J79+J80+J81+J82+J83+J87+J88</f>
        <v>3142572</v>
      </c>
      <c r="K89" s="707">
        <f t="shared" si="14"/>
        <v>82908147</v>
      </c>
      <c r="L89" s="1108"/>
      <c r="M89" s="750">
        <f>M78+M79+M80+M81+M82+M83+M87+M88</f>
        <v>1565937</v>
      </c>
      <c r="N89" s="707">
        <f t="shared" si="15"/>
        <v>84474084</v>
      </c>
      <c r="O89" s="1267">
        <f>O88</f>
        <v>16261</v>
      </c>
      <c r="P89" s="1266">
        <f t="shared" si="18"/>
        <v>84490345</v>
      </c>
    </row>
    <row r="90" spans="1:18" x14ac:dyDescent="0.25">
      <c r="A90" s="524"/>
      <c r="B90" s="491"/>
      <c r="C90" s="492"/>
      <c r="D90" s="535"/>
      <c r="E90" s="492"/>
      <c r="F90" s="499"/>
      <c r="G90" s="680"/>
      <c r="H90" s="697"/>
      <c r="I90" s="680"/>
      <c r="J90" s="509"/>
      <c r="K90" s="694">
        <f t="shared" si="14"/>
        <v>0</v>
      </c>
      <c r="L90" s="1108"/>
      <c r="M90" s="697"/>
      <c r="N90" s="694">
        <f t="shared" si="15"/>
        <v>0</v>
      </c>
      <c r="O90" s="1265"/>
      <c r="P90" s="1268">
        <f t="shared" si="18"/>
        <v>0</v>
      </c>
    </row>
    <row r="91" spans="1:18" x14ac:dyDescent="0.25">
      <c r="A91" s="524">
        <v>2</v>
      </c>
      <c r="B91" s="491" t="s">
        <v>918</v>
      </c>
      <c r="C91" s="490" t="s">
        <v>919</v>
      </c>
      <c r="D91" s="517">
        <v>39.36</v>
      </c>
      <c r="E91" s="490">
        <v>39.36</v>
      </c>
      <c r="F91" s="499">
        <v>4580000</v>
      </c>
      <c r="G91" s="682">
        <f>F91*E91</f>
        <v>180268800</v>
      </c>
      <c r="H91" s="697"/>
      <c r="I91" s="682">
        <f>G91+H91</f>
        <v>180268800</v>
      </c>
      <c r="J91" s="509"/>
      <c r="K91" s="694">
        <f t="shared" si="14"/>
        <v>180268800</v>
      </c>
      <c r="L91" s="1103">
        <v>39.36</v>
      </c>
      <c r="M91" s="697"/>
      <c r="N91" s="694">
        <f t="shared" si="15"/>
        <v>180268800</v>
      </c>
      <c r="O91" s="1265"/>
      <c r="P91" s="1268">
        <f t="shared" si="18"/>
        <v>180268800</v>
      </c>
    </row>
    <row r="92" spans="1:18" x14ac:dyDescent="0.25">
      <c r="A92" s="524"/>
      <c r="B92" s="491"/>
      <c r="C92" s="490" t="s">
        <v>401</v>
      </c>
      <c r="D92" s="517"/>
      <c r="E92" s="490"/>
      <c r="F92" s="499"/>
      <c r="G92" s="682"/>
      <c r="H92" s="703">
        <f>2*1367917</f>
        <v>2735834</v>
      </c>
      <c r="I92" s="682">
        <f>G92+H92</f>
        <v>2735834</v>
      </c>
      <c r="J92" s="509"/>
      <c r="K92" s="694">
        <f t="shared" si="14"/>
        <v>2735834</v>
      </c>
      <c r="L92" s="1103"/>
      <c r="M92" s="697">
        <v>-114427</v>
      </c>
      <c r="N92" s="694">
        <f t="shared" si="15"/>
        <v>2621407</v>
      </c>
      <c r="O92" s="1265"/>
      <c r="P92" s="1268">
        <f t="shared" si="18"/>
        <v>2621407</v>
      </c>
    </row>
    <row r="93" spans="1:18" x14ac:dyDescent="0.25">
      <c r="A93" s="526"/>
      <c r="B93" s="536"/>
      <c r="C93" s="492" t="s">
        <v>920</v>
      </c>
      <c r="D93" s="535"/>
      <c r="E93" s="492"/>
      <c r="F93" s="499"/>
      <c r="G93" s="687">
        <f>G91</f>
        <v>180268800</v>
      </c>
      <c r="H93" s="700">
        <f>SUM(H91:H92)</f>
        <v>2735834</v>
      </c>
      <c r="I93" s="687">
        <f>SUM(I91:I92)</f>
        <v>183004634</v>
      </c>
      <c r="J93" s="750">
        <f>SUM(J91:J92)</f>
        <v>0</v>
      </c>
      <c r="K93" s="707">
        <f t="shared" si="14"/>
        <v>183004634</v>
      </c>
      <c r="L93" s="1108"/>
      <c r="M93" s="698">
        <f>SUM(M91:M92)</f>
        <v>-114427</v>
      </c>
      <c r="N93" s="707">
        <f t="shared" si="15"/>
        <v>182890207</v>
      </c>
      <c r="O93" s="1265"/>
      <c r="P93" s="1266">
        <f t="shared" si="18"/>
        <v>182890207</v>
      </c>
    </row>
    <row r="94" spans="1:18" x14ac:dyDescent="0.25">
      <c r="A94" s="524"/>
      <c r="B94" s="537"/>
      <c r="C94" s="492"/>
      <c r="D94" s="535"/>
      <c r="E94" s="490"/>
      <c r="F94" s="499"/>
      <c r="G94" s="687"/>
      <c r="H94" s="697"/>
      <c r="I94" s="687"/>
      <c r="J94" s="509"/>
      <c r="K94" s="694">
        <f t="shared" si="14"/>
        <v>0</v>
      </c>
      <c r="L94" s="1108"/>
      <c r="M94" s="697"/>
      <c r="N94" s="694">
        <f t="shared" si="15"/>
        <v>0</v>
      </c>
      <c r="O94" s="1265"/>
      <c r="P94" s="1268">
        <f t="shared" si="18"/>
        <v>0</v>
      </c>
    </row>
    <row r="95" spans="1:18" x14ac:dyDescent="0.25">
      <c r="A95" s="524">
        <v>2</v>
      </c>
      <c r="B95" s="537" t="s">
        <v>921</v>
      </c>
      <c r="C95" s="490" t="s">
        <v>922</v>
      </c>
      <c r="D95" s="518">
        <v>13903</v>
      </c>
      <c r="E95" s="490">
        <v>13903</v>
      </c>
      <c r="F95" s="505">
        <v>1140</v>
      </c>
      <c r="G95" s="682">
        <f>D95*F95</f>
        <v>15849420</v>
      </c>
      <c r="H95" s="697"/>
      <c r="I95" s="682">
        <f>G95+H95</f>
        <v>15849420</v>
      </c>
      <c r="J95" s="509"/>
      <c r="K95" s="694">
        <f t="shared" si="14"/>
        <v>15849420</v>
      </c>
      <c r="L95" s="1105">
        <v>13903</v>
      </c>
      <c r="M95" s="697"/>
      <c r="N95" s="694">
        <f t="shared" si="15"/>
        <v>15849420</v>
      </c>
      <c r="O95" s="1265"/>
      <c r="P95" s="1268">
        <f t="shared" si="18"/>
        <v>15849420</v>
      </c>
    </row>
    <row r="96" spans="1:18" x14ac:dyDescent="0.25">
      <c r="A96" s="524" t="s">
        <v>506</v>
      </c>
      <c r="B96" s="537" t="s">
        <v>406</v>
      </c>
      <c r="C96" s="490" t="s">
        <v>403</v>
      </c>
      <c r="D96" s="518"/>
      <c r="E96" s="490"/>
      <c r="F96" s="505"/>
      <c r="G96" s="682"/>
      <c r="H96" s="703">
        <v>765372</v>
      </c>
      <c r="I96" s="682">
        <f>G96+H96</f>
        <v>765372</v>
      </c>
      <c r="J96" s="509"/>
      <c r="K96" s="694">
        <f t="shared" si="14"/>
        <v>765372</v>
      </c>
      <c r="L96" s="1105"/>
      <c r="M96" s="697"/>
      <c r="N96" s="694">
        <f t="shared" si="15"/>
        <v>765372</v>
      </c>
      <c r="O96" s="1265"/>
      <c r="P96" s="1268">
        <f t="shared" si="18"/>
        <v>765372</v>
      </c>
    </row>
    <row r="97" spans="1:16" x14ac:dyDescent="0.25">
      <c r="A97" s="524" t="s">
        <v>507</v>
      </c>
      <c r="B97" s="537"/>
      <c r="C97" s="490" t="s">
        <v>401</v>
      </c>
      <c r="D97" s="518"/>
      <c r="E97" s="490"/>
      <c r="F97" s="505"/>
      <c r="G97" s="682"/>
      <c r="H97" s="703">
        <f>2*468757</f>
        <v>937514</v>
      </c>
      <c r="I97" s="682">
        <f>G97+H97</f>
        <v>937514</v>
      </c>
      <c r="J97" s="509"/>
      <c r="K97" s="694">
        <f t="shared" si="14"/>
        <v>937514</v>
      </c>
      <c r="L97" s="1105"/>
      <c r="M97" s="697">
        <v>-87249</v>
      </c>
      <c r="N97" s="694">
        <f t="shared" si="15"/>
        <v>850265</v>
      </c>
      <c r="O97" s="1265"/>
      <c r="P97" s="1268">
        <f t="shared" si="18"/>
        <v>850265</v>
      </c>
    </row>
    <row r="98" spans="1:16" x14ac:dyDescent="0.25">
      <c r="A98" s="526"/>
      <c r="B98" s="536"/>
      <c r="C98" s="492" t="s">
        <v>206</v>
      </c>
      <c r="D98" s="517"/>
      <c r="E98" s="492"/>
      <c r="F98" s="499"/>
      <c r="G98" s="687">
        <f>G95</f>
        <v>15849420</v>
      </c>
      <c r="H98" s="700">
        <f>SUM(H95:H97)</f>
        <v>1702886</v>
      </c>
      <c r="I98" s="687">
        <f>SUM(I95:I97)</f>
        <v>17552306</v>
      </c>
      <c r="J98" s="750">
        <f>SUM(J95:J97)</f>
        <v>0</v>
      </c>
      <c r="K98" s="707">
        <f t="shared" si="14"/>
        <v>17552306</v>
      </c>
      <c r="L98" s="1103"/>
      <c r="M98" s="698">
        <f>SUM(M97)</f>
        <v>-87249</v>
      </c>
      <c r="N98" s="707">
        <f t="shared" si="15"/>
        <v>17465057</v>
      </c>
      <c r="O98" s="1265"/>
      <c r="P98" s="1266">
        <f t="shared" si="18"/>
        <v>17465057</v>
      </c>
    </row>
    <row r="99" spans="1:16" x14ac:dyDescent="0.25">
      <c r="A99" s="526"/>
      <c r="B99" s="536"/>
      <c r="C99" s="492"/>
      <c r="D99" s="517"/>
      <c r="E99" s="492"/>
      <c r="F99" s="499"/>
      <c r="G99" s="687"/>
      <c r="H99" s="700"/>
      <c r="I99" s="687"/>
      <c r="J99" s="509"/>
      <c r="K99" s="694">
        <f t="shared" si="14"/>
        <v>0</v>
      </c>
      <c r="L99" s="1103"/>
      <c r="M99" s="697"/>
      <c r="N99" s="694">
        <f t="shared" si="15"/>
        <v>0</v>
      </c>
      <c r="O99" s="1265"/>
      <c r="P99" s="1268">
        <f t="shared" si="18"/>
        <v>0</v>
      </c>
    </row>
    <row r="100" spans="1:16" x14ac:dyDescent="0.25">
      <c r="A100" s="526"/>
      <c r="B100" s="536"/>
      <c r="C100" s="490" t="s">
        <v>401</v>
      </c>
      <c r="D100" s="517"/>
      <c r="E100" s="492"/>
      <c r="F100" s="499"/>
      <c r="G100" s="687"/>
      <c r="H100" s="704">
        <f>2*802640</f>
        <v>1605280</v>
      </c>
      <c r="I100" s="682">
        <f>G100+H100</f>
        <v>1605280</v>
      </c>
      <c r="J100" s="509"/>
      <c r="K100" s="694">
        <f t="shared" si="14"/>
        <v>1605280</v>
      </c>
      <c r="L100" s="1103"/>
      <c r="M100" s="697">
        <v>-48260</v>
      </c>
      <c r="N100" s="694">
        <f t="shared" si="15"/>
        <v>1557020</v>
      </c>
      <c r="O100" s="1265"/>
      <c r="P100" s="1268">
        <f t="shared" si="18"/>
        <v>1557020</v>
      </c>
    </row>
    <row r="101" spans="1:16" x14ac:dyDescent="0.25">
      <c r="A101" s="526"/>
      <c r="B101" s="536"/>
      <c r="C101" s="492" t="s">
        <v>404</v>
      </c>
      <c r="D101" s="517"/>
      <c r="E101" s="492"/>
      <c r="F101" s="499"/>
      <c r="G101" s="687"/>
      <c r="H101" s="698">
        <f>SUM(H100)</f>
        <v>1605280</v>
      </c>
      <c r="I101" s="687">
        <f>G101+H101</f>
        <v>1605280</v>
      </c>
      <c r="J101" s="750"/>
      <c r="K101" s="707">
        <f t="shared" si="14"/>
        <v>1605280</v>
      </c>
      <c r="L101" s="1103"/>
      <c r="M101" s="698">
        <f>SUM(M100)</f>
        <v>-48260</v>
      </c>
      <c r="N101" s="707">
        <f>K101+M101</f>
        <v>1557020</v>
      </c>
      <c r="O101" s="1265"/>
      <c r="P101" s="1266">
        <f t="shared" si="18"/>
        <v>1557020</v>
      </c>
    </row>
    <row r="102" spans="1:16" ht="14.4" thickBot="1" x14ac:dyDescent="0.3">
      <c r="A102" s="1111"/>
      <c r="B102" s="1112"/>
      <c r="C102" s="1113"/>
      <c r="D102" s="1114"/>
      <c r="E102" s="1113"/>
      <c r="F102" s="1115"/>
      <c r="G102" s="1116"/>
      <c r="H102" s="1117"/>
      <c r="I102" s="1118"/>
      <c r="J102" s="1119"/>
      <c r="K102" s="1118"/>
      <c r="L102" s="1120"/>
      <c r="M102" s="1117"/>
      <c r="N102" s="1118"/>
      <c r="O102" s="1285"/>
      <c r="P102" s="1286">
        <f t="shared" si="18"/>
        <v>0</v>
      </c>
    </row>
    <row r="103" spans="1:16" ht="42" thickBot="1" x14ac:dyDescent="0.3">
      <c r="A103" s="1132" t="s">
        <v>889</v>
      </c>
      <c r="B103" s="1133" t="s">
        <v>890</v>
      </c>
      <c r="C103" s="1134" t="s">
        <v>891</v>
      </c>
      <c r="D103" s="1135"/>
      <c r="E103" s="1136" t="s">
        <v>851</v>
      </c>
      <c r="F103" s="1137" t="s">
        <v>852</v>
      </c>
      <c r="G103" s="1138" t="s">
        <v>400</v>
      </c>
      <c r="H103" s="1139" t="s">
        <v>662</v>
      </c>
      <c r="I103" s="1140" t="s">
        <v>663</v>
      </c>
      <c r="J103" s="1139" t="s">
        <v>452</v>
      </c>
      <c r="K103" s="1141" t="s">
        <v>451</v>
      </c>
      <c r="L103" s="1142" t="s">
        <v>892</v>
      </c>
      <c r="M103" s="1143" t="s">
        <v>763</v>
      </c>
      <c r="N103" s="1141" t="s">
        <v>764</v>
      </c>
      <c r="O103" s="1143" t="s">
        <v>547</v>
      </c>
      <c r="P103" s="1144" t="s">
        <v>548</v>
      </c>
    </row>
    <row r="104" spans="1:16" ht="27.6" x14ac:dyDescent="0.25">
      <c r="A104" s="1121">
        <v>2</v>
      </c>
      <c r="B104" s="1122" t="s">
        <v>923</v>
      </c>
      <c r="C104" s="1123" t="s">
        <v>317</v>
      </c>
      <c r="D104" s="1124"/>
      <c r="E104" s="1125"/>
      <c r="F104" s="1126"/>
      <c r="G104" s="1127"/>
      <c r="H104" s="1128"/>
      <c r="I104" s="1129"/>
      <c r="J104" s="1130"/>
      <c r="K104" s="1129">
        <f t="shared" ref="K104:K119" si="19">I104+J104</f>
        <v>0</v>
      </c>
      <c r="L104" s="1131"/>
      <c r="M104" s="1128"/>
      <c r="N104" s="1129">
        <f t="shared" ref="N104:N119" si="20">K104+M104</f>
        <v>0</v>
      </c>
      <c r="O104" s="1287"/>
      <c r="P104" s="1288">
        <f t="shared" si="18"/>
        <v>0</v>
      </c>
    </row>
    <row r="105" spans="1:16" x14ac:dyDescent="0.25">
      <c r="A105" s="524">
        <v>2</v>
      </c>
      <c r="B105" s="491" t="s">
        <v>924</v>
      </c>
      <c r="C105" s="492" t="s">
        <v>925</v>
      </c>
      <c r="D105" s="517"/>
      <c r="E105" s="492"/>
      <c r="F105" s="499"/>
      <c r="G105" s="687">
        <f>G106+G107+G108+G109</f>
        <v>0</v>
      </c>
      <c r="H105" s="697"/>
      <c r="I105" s="687">
        <f>I106+I107+I108+I109</f>
        <v>0</v>
      </c>
      <c r="J105" s="509"/>
      <c r="K105" s="694">
        <f t="shared" si="19"/>
        <v>0</v>
      </c>
      <c r="L105" s="1103"/>
      <c r="M105" s="697"/>
      <c r="N105" s="694">
        <f t="shared" si="20"/>
        <v>0</v>
      </c>
      <c r="O105" s="1265"/>
      <c r="P105" s="1268">
        <f t="shared" si="18"/>
        <v>0</v>
      </c>
    </row>
    <row r="106" spans="1:16" x14ac:dyDescent="0.25">
      <c r="A106" s="524">
        <v>2</v>
      </c>
      <c r="B106" s="491" t="s">
        <v>926</v>
      </c>
      <c r="C106" s="490" t="s">
        <v>855</v>
      </c>
      <c r="D106" s="517"/>
      <c r="E106" s="492"/>
      <c r="F106" s="499"/>
      <c r="G106" s="682">
        <v>0</v>
      </c>
      <c r="H106" s="697"/>
      <c r="I106" s="682">
        <f t="shared" ref="I106:I115" si="21">G106+H106</f>
        <v>0</v>
      </c>
      <c r="J106" s="509"/>
      <c r="K106" s="694">
        <f t="shared" si="19"/>
        <v>0</v>
      </c>
      <c r="L106" s="1103"/>
      <c r="M106" s="697"/>
      <c r="N106" s="694">
        <f t="shared" si="20"/>
        <v>0</v>
      </c>
      <c r="O106" s="1265"/>
      <c r="P106" s="1268">
        <f t="shared" si="18"/>
        <v>0</v>
      </c>
    </row>
    <row r="107" spans="1:16" x14ac:dyDescent="0.25">
      <c r="A107" s="524">
        <v>2</v>
      </c>
      <c r="B107" s="491" t="s">
        <v>927</v>
      </c>
      <c r="C107" s="490" t="s">
        <v>857</v>
      </c>
      <c r="D107" s="510"/>
      <c r="E107" s="490"/>
      <c r="F107" s="486"/>
      <c r="G107" s="682">
        <v>0</v>
      </c>
      <c r="H107" s="697"/>
      <c r="I107" s="682">
        <f t="shared" si="21"/>
        <v>0</v>
      </c>
      <c r="J107" s="509"/>
      <c r="K107" s="694">
        <f t="shared" si="19"/>
        <v>0</v>
      </c>
      <c r="L107" s="1102"/>
      <c r="M107" s="697"/>
      <c r="N107" s="694">
        <f t="shared" si="20"/>
        <v>0</v>
      </c>
      <c r="O107" s="1265"/>
      <c r="P107" s="1268">
        <f t="shared" si="18"/>
        <v>0</v>
      </c>
    </row>
    <row r="108" spans="1:16" x14ac:dyDescent="0.25">
      <c r="A108" s="524">
        <v>2</v>
      </c>
      <c r="B108" s="491" t="s">
        <v>928</v>
      </c>
      <c r="C108" s="490" t="s">
        <v>858</v>
      </c>
      <c r="D108" s="510"/>
      <c r="E108" s="490"/>
      <c r="F108" s="505"/>
      <c r="G108" s="682">
        <v>0</v>
      </c>
      <c r="H108" s="697"/>
      <c r="I108" s="682">
        <f t="shared" si="21"/>
        <v>0</v>
      </c>
      <c r="J108" s="509"/>
      <c r="K108" s="694">
        <f t="shared" si="19"/>
        <v>0</v>
      </c>
      <c r="L108" s="1102"/>
      <c r="M108" s="697"/>
      <c r="N108" s="694">
        <f t="shared" si="20"/>
        <v>0</v>
      </c>
      <c r="O108" s="1265"/>
      <c r="P108" s="1268">
        <f t="shared" si="18"/>
        <v>0</v>
      </c>
    </row>
    <row r="109" spans="1:16" x14ac:dyDescent="0.25">
      <c r="A109" s="524">
        <v>2</v>
      </c>
      <c r="B109" s="491" t="s">
        <v>929</v>
      </c>
      <c r="C109" s="490" t="s">
        <v>859</v>
      </c>
      <c r="D109" s="510"/>
      <c r="E109" s="505"/>
      <c r="F109" s="525"/>
      <c r="G109" s="682">
        <v>0</v>
      </c>
      <c r="H109" s="697"/>
      <c r="I109" s="682">
        <f t="shared" si="21"/>
        <v>0</v>
      </c>
      <c r="J109" s="509"/>
      <c r="K109" s="694">
        <f t="shared" si="19"/>
        <v>0</v>
      </c>
      <c r="L109" s="1102"/>
      <c r="M109" s="697"/>
      <c r="N109" s="694">
        <f t="shared" si="20"/>
        <v>0</v>
      </c>
      <c r="O109" s="1265"/>
      <c r="P109" s="1268">
        <f t="shared" si="18"/>
        <v>0</v>
      </c>
    </row>
    <row r="110" spans="1:16" x14ac:dyDescent="0.25">
      <c r="A110" s="524">
        <v>2</v>
      </c>
      <c r="B110" s="491" t="s">
        <v>316</v>
      </c>
      <c r="C110" s="490" t="s">
        <v>315</v>
      </c>
      <c r="D110" s="510"/>
      <c r="E110" s="505"/>
      <c r="F110" s="525"/>
      <c r="G110" s="682">
        <v>0</v>
      </c>
      <c r="H110" s="697"/>
      <c r="I110" s="682">
        <f t="shared" si="21"/>
        <v>0</v>
      </c>
      <c r="J110" s="509"/>
      <c r="K110" s="694">
        <f t="shared" si="19"/>
        <v>0</v>
      </c>
      <c r="L110" s="1102"/>
      <c r="M110" s="697"/>
      <c r="N110" s="694">
        <f t="shared" si="20"/>
        <v>0</v>
      </c>
      <c r="O110" s="1265"/>
      <c r="P110" s="1268">
        <f t="shared" si="18"/>
        <v>0</v>
      </c>
    </row>
    <row r="111" spans="1:16" x14ac:dyDescent="0.25">
      <c r="A111" s="524">
        <v>2</v>
      </c>
      <c r="B111" s="491" t="s">
        <v>930</v>
      </c>
      <c r="C111" s="490" t="s">
        <v>887</v>
      </c>
      <c r="D111" s="510"/>
      <c r="E111" s="505"/>
      <c r="F111" s="525"/>
      <c r="G111" s="682">
        <v>0</v>
      </c>
      <c r="H111" s="697"/>
      <c r="I111" s="682">
        <f t="shared" si="21"/>
        <v>0</v>
      </c>
      <c r="J111" s="509"/>
      <c r="K111" s="694">
        <f t="shared" si="19"/>
        <v>0</v>
      </c>
      <c r="L111" s="1102"/>
      <c r="M111" s="697"/>
      <c r="N111" s="694">
        <f t="shared" si="20"/>
        <v>0</v>
      </c>
      <c r="O111" s="1265"/>
      <c r="P111" s="1268">
        <f t="shared" si="18"/>
        <v>0</v>
      </c>
    </row>
    <row r="112" spans="1:16" x14ac:dyDescent="0.25">
      <c r="A112" s="524">
        <v>2</v>
      </c>
      <c r="B112" s="491" t="s">
        <v>314</v>
      </c>
      <c r="C112" s="490" t="s">
        <v>886</v>
      </c>
      <c r="D112" s="528"/>
      <c r="E112" s="505"/>
      <c r="F112" s="538"/>
      <c r="G112" s="681">
        <v>396489051</v>
      </c>
      <c r="H112" s="697"/>
      <c r="I112" s="682">
        <f t="shared" si="21"/>
        <v>396489051</v>
      </c>
      <c r="J112" s="509"/>
      <c r="K112" s="694">
        <f t="shared" si="19"/>
        <v>396489051</v>
      </c>
      <c r="L112" s="1104"/>
      <c r="M112" s="697"/>
      <c r="N112" s="694">
        <f t="shared" si="20"/>
        <v>396489051</v>
      </c>
      <c r="O112" s="1265"/>
      <c r="P112" s="1268">
        <f t="shared" si="18"/>
        <v>396489051</v>
      </c>
    </row>
    <row r="113" spans="1:16" x14ac:dyDescent="0.25">
      <c r="A113" s="524">
        <v>2</v>
      </c>
      <c r="B113" s="491" t="s">
        <v>893</v>
      </c>
      <c r="C113" s="490" t="s">
        <v>882</v>
      </c>
      <c r="D113" s="510"/>
      <c r="E113" s="490"/>
      <c r="F113" s="505"/>
      <c r="G113" s="682">
        <v>1337000</v>
      </c>
      <c r="H113" s="697"/>
      <c r="I113" s="682">
        <f t="shared" si="21"/>
        <v>1337000</v>
      </c>
      <c r="J113" s="509">
        <v>-1337000</v>
      </c>
      <c r="K113" s="694">
        <f t="shared" si="19"/>
        <v>0</v>
      </c>
      <c r="L113" s="1102"/>
      <c r="M113" s="697"/>
      <c r="N113" s="694">
        <f t="shared" si="20"/>
        <v>0</v>
      </c>
      <c r="O113" s="1265"/>
      <c r="P113" s="1268">
        <f t="shared" si="18"/>
        <v>0</v>
      </c>
    </row>
    <row r="114" spans="1:16" x14ac:dyDescent="0.25">
      <c r="A114" s="524">
        <v>2</v>
      </c>
      <c r="B114" s="491" t="s">
        <v>522</v>
      </c>
      <c r="C114" s="490" t="s">
        <v>523</v>
      </c>
      <c r="D114" s="510">
        <v>37</v>
      </c>
      <c r="E114" s="490"/>
      <c r="F114" s="505"/>
      <c r="G114" s="682">
        <v>924882</v>
      </c>
      <c r="H114" s="697">
        <v>-5985</v>
      </c>
      <c r="I114" s="682">
        <f t="shared" si="21"/>
        <v>918897</v>
      </c>
      <c r="J114" s="509"/>
      <c r="K114" s="694">
        <f t="shared" si="19"/>
        <v>918897</v>
      </c>
      <c r="L114" s="1102">
        <v>37</v>
      </c>
      <c r="M114" s="697">
        <v>-602889</v>
      </c>
      <c r="N114" s="694">
        <f t="shared" si="20"/>
        <v>316008</v>
      </c>
      <c r="O114" s="1265"/>
      <c r="P114" s="1268">
        <f t="shared" si="18"/>
        <v>316008</v>
      </c>
    </row>
    <row r="115" spans="1:16" x14ac:dyDescent="0.25">
      <c r="A115" s="524">
        <v>2</v>
      </c>
      <c r="B115" s="491" t="s">
        <v>537</v>
      </c>
      <c r="C115" s="504" t="s">
        <v>534</v>
      </c>
      <c r="D115" s="510"/>
      <c r="E115" s="490"/>
      <c r="F115" s="505"/>
      <c r="G115" s="682">
        <v>1082294</v>
      </c>
      <c r="H115" s="697">
        <v>-1082294</v>
      </c>
      <c r="I115" s="682">
        <f t="shared" si="21"/>
        <v>0</v>
      </c>
      <c r="J115" s="509"/>
      <c r="K115" s="694">
        <f t="shared" si="19"/>
        <v>0</v>
      </c>
      <c r="L115" s="703"/>
      <c r="M115" s="697"/>
      <c r="N115" s="694">
        <f t="shared" si="20"/>
        <v>0</v>
      </c>
      <c r="O115" s="1265"/>
      <c r="P115" s="1268">
        <f t="shared" si="18"/>
        <v>0</v>
      </c>
    </row>
    <row r="116" spans="1:16" x14ac:dyDescent="0.25">
      <c r="A116" s="524">
        <v>3</v>
      </c>
      <c r="B116" s="491" t="s">
        <v>13</v>
      </c>
      <c r="C116" s="509" t="s">
        <v>10</v>
      </c>
      <c r="D116" s="510"/>
      <c r="E116" s="490"/>
      <c r="F116" s="505"/>
      <c r="G116" s="682"/>
      <c r="H116" s="697"/>
      <c r="I116" s="682"/>
      <c r="J116" s="509">
        <v>56338200</v>
      </c>
      <c r="K116" s="694">
        <f t="shared" si="19"/>
        <v>56338200</v>
      </c>
      <c r="L116" s="703"/>
      <c r="M116" s="697"/>
      <c r="N116" s="694">
        <f t="shared" si="20"/>
        <v>56338200</v>
      </c>
      <c r="O116" s="1265"/>
      <c r="P116" s="1268">
        <f t="shared" si="18"/>
        <v>56338200</v>
      </c>
    </row>
    <row r="117" spans="1:16" x14ac:dyDescent="0.25">
      <c r="A117" s="524">
        <v>3</v>
      </c>
      <c r="B117" s="491" t="s">
        <v>12</v>
      </c>
      <c r="C117" s="509" t="s">
        <v>11</v>
      </c>
      <c r="D117" s="510"/>
      <c r="E117" s="490"/>
      <c r="F117" s="505"/>
      <c r="G117" s="682"/>
      <c r="H117" s="697"/>
      <c r="I117" s="682"/>
      <c r="J117" s="509">
        <v>1772000</v>
      </c>
      <c r="K117" s="694">
        <f t="shared" si="19"/>
        <v>1772000</v>
      </c>
      <c r="L117" s="703"/>
      <c r="M117" s="697"/>
      <c r="N117" s="694">
        <f t="shared" si="20"/>
        <v>1772000</v>
      </c>
      <c r="O117" s="1265"/>
      <c r="P117" s="1268">
        <f t="shared" si="18"/>
        <v>1772000</v>
      </c>
    </row>
    <row r="118" spans="1:16" ht="27.6" x14ac:dyDescent="0.25">
      <c r="A118" s="524"/>
      <c r="B118" s="491"/>
      <c r="C118" s="845" t="s">
        <v>16</v>
      </c>
      <c r="D118" s="510"/>
      <c r="E118" s="490"/>
      <c r="F118" s="505"/>
      <c r="G118" s="682">
        <v>72000000</v>
      </c>
      <c r="H118" s="697"/>
      <c r="I118" s="682">
        <f>G118+H118</f>
        <v>72000000</v>
      </c>
      <c r="J118" s="509"/>
      <c r="K118" s="694">
        <f t="shared" si="19"/>
        <v>72000000</v>
      </c>
      <c r="L118" s="703"/>
      <c r="M118" s="697"/>
      <c r="N118" s="694">
        <f t="shared" si="20"/>
        <v>72000000</v>
      </c>
      <c r="O118" s="1265"/>
      <c r="P118" s="1268">
        <f t="shared" si="18"/>
        <v>72000000</v>
      </c>
    </row>
    <row r="119" spans="1:16" ht="27.6" x14ac:dyDescent="0.25">
      <c r="A119" s="524"/>
      <c r="B119" s="491"/>
      <c r="C119" s="845" t="s">
        <v>15</v>
      </c>
      <c r="D119" s="510"/>
      <c r="E119" s="490"/>
      <c r="F119" s="505"/>
      <c r="G119" s="682"/>
      <c r="H119" s="697"/>
      <c r="I119" s="682"/>
      <c r="J119" s="509">
        <v>1600000</v>
      </c>
      <c r="K119" s="694">
        <f t="shared" si="19"/>
        <v>1600000</v>
      </c>
      <c r="L119" s="703"/>
      <c r="M119" s="697"/>
      <c r="N119" s="694">
        <f t="shared" si="20"/>
        <v>1600000</v>
      </c>
      <c r="O119" s="1265"/>
      <c r="P119" s="1268">
        <f t="shared" si="18"/>
        <v>1600000</v>
      </c>
    </row>
    <row r="120" spans="1:16" x14ac:dyDescent="0.25">
      <c r="A120" s="524"/>
      <c r="B120" s="491"/>
      <c r="C120" s="1098" t="s">
        <v>56</v>
      </c>
      <c r="D120" s="510"/>
      <c r="E120" s="490"/>
      <c r="F120" s="505"/>
      <c r="G120" s="682"/>
      <c r="H120" s="697"/>
      <c r="I120" s="682"/>
      <c r="J120" s="509"/>
      <c r="K120" s="694"/>
      <c r="L120" s="703"/>
      <c r="M120" s="697">
        <v>1908000</v>
      </c>
      <c r="N120" s="694">
        <f>M120</f>
        <v>1908000</v>
      </c>
      <c r="O120" s="1265"/>
      <c r="P120" s="1268">
        <f t="shared" si="18"/>
        <v>1908000</v>
      </c>
    </row>
    <row r="121" spans="1:16" x14ac:dyDescent="0.25">
      <c r="A121" s="524"/>
      <c r="B121" s="491"/>
      <c r="C121" s="705" t="s">
        <v>405</v>
      </c>
      <c r="D121" s="510"/>
      <c r="E121" s="490"/>
      <c r="F121" s="505"/>
      <c r="G121" s="682"/>
      <c r="H121" s="697">
        <v>1075175</v>
      </c>
      <c r="I121" s="682">
        <f>G121+H121</f>
        <v>1075175</v>
      </c>
      <c r="J121" s="509"/>
      <c r="K121" s="694">
        <f>I121+J121</f>
        <v>1075175</v>
      </c>
      <c r="L121" s="703"/>
      <c r="M121" s="697"/>
      <c r="N121" s="694">
        <f>K121+M121</f>
        <v>1075175</v>
      </c>
      <c r="O121" s="1265"/>
      <c r="P121" s="1268">
        <f t="shared" si="18"/>
        <v>1075175</v>
      </c>
    </row>
    <row r="122" spans="1:16" x14ac:dyDescent="0.25">
      <c r="A122" s="524"/>
      <c r="B122" s="491"/>
      <c r="C122" s="705" t="s">
        <v>55</v>
      </c>
      <c r="D122" s="510"/>
      <c r="E122" s="490"/>
      <c r="F122" s="505"/>
      <c r="G122" s="682"/>
      <c r="H122" s="697"/>
      <c r="I122" s="682"/>
      <c r="J122" s="509"/>
      <c r="K122" s="694"/>
      <c r="L122" s="703"/>
      <c r="M122" s="697">
        <v>4980000</v>
      </c>
      <c r="N122" s="694">
        <f>M122</f>
        <v>4980000</v>
      </c>
      <c r="O122" s="1265">
        <v>-3583000</v>
      </c>
      <c r="P122" s="1268">
        <f t="shared" si="18"/>
        <v>1397000</v>
      </c>
    </row>
    <row r="123" spans="1:16" x14ac:dyDescent="0.25">
      <c r="A123" s="524"/>
      <c r="B123" s="491"/>
      <c r="C123" s="509" t="s">
        <v>546</v>
      </c>
      <c r="D123" s="510"/>
      <c r="E123" s="490"/>
      <c r="F123" s="505"/>
      <c r="G123" s="682"/>
      <c r="H123" s="697"/>
      <c r="I123" s="682"/>
      <c r="J123" s="509"/>
      <c r="K123" s="694"/>
      <c r="L123" s="703"/>
      <c r="M123" s="697"/>
      <c r="N123" s="694"/>
      <c r="O123" s="1265">
        <v>35034070</v>
      </c>
      <c r="P123" s="1268">
        <f t="shared" si="18"/>
        <v>35034070</v>
      </c>
    </row>
    <row r="124" spans="1:16" x14ac:dyDescent="0.25">
      <c r="A124" s="531"/>
      <c r="B124" s="511"/>
      <c r="C124" s="492" t="s">
        <v>931</v>
      </c>
      <c r="D124" s="528"/>
      <c r="E124" s="511"/>
      <c r="F124" s="511"/>
      <c r="G124" s="688">
        <f>G105+G113+G104+G102+G112+G114+G115+G118</f>
        <v>471833227</v>
      </c>
      <c r="H124" s="698">
        <f>SUM(H112:H121)</f>
        <v>-13104</v>
      </c>
      <c r="I124" s="688">
        <f>I105+I113+I104+I102+I112+I114+I115+I121+I118</f>
        <v>471820123</v>
      </c>
      <c r="J124" s="751">
        <f>J105+J113+J104+J102+J112+J114+J115+J116+J117+J119+J121</f>
        <v>58373200</v>
      </c>
      <c r="K124" s="707">
        <f>I124+J124</f>
        <v>530193323</v>
      </c>
      <c r="L124" s="1109"/>
      <c r="M124" s="751">
        <f>M105+M113+M104+M102+M112+M114+M115+M116+M117+M119+M121+M120+M122</f>
        <v>6285111</v>
      </c>
      <c r="N124" s="707">
        <f>K124+M124</f>
        <v>536478434</v>
      </c>
      <c r="O124" s="1267">
        <f>SUM(O122:O123)</f>
        <v>31451070</v>
      </c>
      <c r="P124" s="1266">
        <f t="shared" si="18"/>
        <v>567929504</v>
      </c>
    </row>
    <row r="125" spans="1:16" x14ac:dyDescent="0.25">
      <c r="A125" s="531"/>
      <c r="B125" s="511"/>
      <c r="C125" s="492"/>
      <c r="D125" s="528"/>
      <c r="E125" s="511"/>
      <c r="F125" s="511"/>
      <c r="G125" s="688"/>
      <c r="H125" s="697"/>
      <c r="I125" s="694"/>
      <c r="J125" s="509"/>
      <c r="K125" s="694"/>
      <c r="L125" s="703"/>
      <c r="M125" s="697"/>
      <c r="N125" s="694"/>
      <c r="O125" s="1265"/>
      <c r="P125" s="1266">
        <f t="shared" si="18"/>
        <v>0</v>
      </c>
    </row>
    <row r="126" spans="1:16" x14ac:dyDescent="0.25">
      <c r="A126" s="531"/>
      <c r="B126" s="511"/>
      <c r="C126" s="492"/>
      <c r="D126" s="528"/>
      <c r="E126" s="511"/>
      <c r="F126" s="511"/>
      <c r="G126" s="688"/>
      <c r="H126" s="697"/>
      <c r="I126" s="694"/>
      <c r="J126" s="509"/>
      <c r="K126" s="694"/>
      <c r="L126" s="703"/>
      <c r="M126" s="697"/>
      <c r="N126" s="694"/>
      <c r="O126" s="1265"/>
      <c r="P126" s="1266">
        <f t="shared" si="18"/>
        <v>0</v>
      </c>
    </row>
    <row r="127" spans="1:16" x14ac:dyDescent="0.25">
      <c r="A127" s="524"/>
      <c r="B127" s="491"/>
      <c r="C127" s="490"/>
      <c r="D127" s="528"/>
      <c r="E127" s="505"/>
      <c r="F127" s="506"/>
      <c r="G127" s="681"/>
      <c r="H127" s="697"/>
      <c r="I127" s="694"/>
      <c r="J127" s="509"/>
      <c r="K127" s="694"/>
      <c r="L127" s="703"/>
      <c r="M127" s="697"/>
      <c r="N127" s="694"/>
      <c r="O127" s="1265"/>
      <c r="P127" s="1266">
        <f t="shared" si="18"/>
        <v>0</v>
      </c>
    </row>
    <row r="128" spans="1:16" x14ac:dyDescent="0.25">
      <c r="A128" s="524"/>
      <c r="B128" s="491"/>
      <c r="C128" s="490"/>
      <c r="D128" s="528"/>
      <c r="E128" s="505"/>
      <c r="F128" s="506"/>
      <c r="G128" s="681"/>
      <c r="H128" s="697"/>
      <c r="I128" s="694"/>
      <c r="J128" s="509"/>
      <c r="K128" s="694"/>
      <c r="L128" s="703"/>
      <c r="M128" s="697"/>
      <c r="N128" s="694"/>
      <c r="O128" s="1265"/>
      <c r="P128" s="1266">
        <f t="shared" si="18"/>
        <v>0</v>
      </c>
    </row>
    <row r="129" spans="1:16" x14ac:dyDescent="0.25">
      <c r="A129" s="524"/>
      <c r="B129" s="491"/>
      <c r="C129" s="490"/>
      <c r="D129" s="510"/>
      <c r="E129" s="490"/>
      <c r="F129" s="505"/>
      <c r="G129" s="679"/>
      <c r="H129" s="697"/>
      <c r="I129" s="694"/>
      <c r="J129" s="509"/>
      <c r="K129" s="694"/>
      <c r="L129" s="703"/>
      <c r="M129" s="697"/>
      <c r="N129" s="694"/>
      <c r="O129" s="1265"/>
      <c r="P129" s="1266">
        <f t="shared" si="18"/>
        <v>0</v>
      </c>
    </row>
    <row r="130" spans="1:16" ht="14.4" thickBot="1" x14ac:dyDescent="0.3">
      <c r="A130" s="539"/>
      <c r="B130" s="540"/>
      <c r="C130" s="541" t="s">
        <v>932</v>
      </c>
      <c r="D130" s="542"/>
      <c r="E130" s="543"/>
      <c r="F130" s="544"/>
      <c r="G130" s="689">
        <f>G18+G33+G46+G59+G65+G89+G93+G124+G74+G126+G98</f>
        <v>1113539253.3333333</v>
      </c>
      <c r="H130" s="701">
        <f>H18+H33+H46+H59+H65+H89+H93+H124+H74+H126+H98+H101</f>
        <v>21725936</v>
      </c>
      <c r="I130" s="689">
        <f>I18+I33+I46+I59+I65+I89+I93+I124+I74+I126+I98+I101</f>
        <v>1135265189.3333333</v>
      </c>
      <c r="J130" s="752">
        <f>J18+J33+J46+J59+J65+J89+J93+J124+J74+J126+J98+J101</f>
        <v>67077018</v>
      </c>
      <c r="K130" s="1099">
        <f>I130+J130</f>
        <v>1202342207.3333333</v>
      </c>
      <c r="L130" s="1110"/>
      <c r="M130" s="752">
        <f>M18+M33+M46+M59+M65+M89+M93+M124+M74+M126+M98+M101</f>
        <v>5288630</v>
      </c>
      <c r="N130" s="1099">
        <f>K130+M130</f>
        <v>1207630837.3333333</v>
      </c>
      <c r="O130" s="1271">
        <f>O124+O74+O65+O59+O46+O33+O18+O89</f>
        <v>29930699</v>
      </c>
      <c r="P130" s="1289">
        <f t="shared" si="18"/>
        <v>1237561536.3333333</v>
      </c>
    </row>
    <row r="131" spans="1:16" x14ac:dyDescent="0.25">
      <c r="I131" s="699">
        <f>G130+H130</f>
        <v>1135265189.3333333</v>
      </c>
      <c r="K131" s="699">
        <f>I130+J130</f>
        <v>1202342207.3333333</v>
      </c>
      <c r="L131" s="699"/>
    </row>
    <row r="133" spans="1:16" x14ac:dyDescent="0.25">
      <c r="J133" s="699"/>
      <c r="K133" s="699"/>
      <c r="L133" s="699"/>
      <c r="N133" s="699"/>
    </row>
    <row r="134" spans="1:16" x14ac:dyDescent="0.25">
      <c r="J134" s="699"/>
      <c r="K134" s="699"/>
      <c r="L134" s="699"/>
      <c r="N134" s="699"/>
    </row>
    <row r="135" spans="1:16" x14ac:dyDescent="0.25">
      <c r="J135" s="699"/>
      <c r="K135" s="699"/>
      <c r="L135" s="699"/>
      <c r="N135" s="699"/>
    </row>
    <row r="136" spans="1:16" x14ac:dyDescent="0.25">
      <c r="J136" s="699"/>
      <c r="K136" s="699"/>
      <c r="L136" s="699"/>
      <c r="N136" s="699"/>
    </row>
    <row r="137" spans="1:16" x14ac:dyDescent="0.25">
      <c r="J137" s="699"/>
      <c r="K137" s="699"/>
      <c r="L137" s="699"/>
      <c r="N137" s="699"/>
    </row>
    <row r="138" spans="1:16" x14ac:dyDescent="0.25">
      <c r="J138" s="699"/>
      <c r="K138" s="699"/>
      <c r="L138" s="699"/>
      <c r="N138" s="699"/>
    </row>
    <row r="139" spans="1:16" x14ac:dyDescent="0.25">
      <c r="J139" s="699"/>
      <c r="K139" s="699"/>
      <c r="L139" s="699"/>
      <c r="N139" s="699"/>
    </row>
    <row r="140" spans="1:16" x14ac:dyDescent="0.25">
      <c r="J140" s="699"/>
      <c r="K140" s="699"/>
      <c r="L140" s="699"/>
      <c r="N140" s="699"/>
    </row>
    <row r="141" spans="1:16" x14ac:dyDescent="0.25">
      <c r="M141" s="497"/>
    </row>
    <row r="142" spans="1:16" x14ac:dyDescent="0.25">
      <c r="M142" s="497"/>
    </row>
    <row r="143" spans="1:16" x14ac:dyDescent="0.25">
      <c r="M143" s="497"/>
    </row>
    <row r="144" spans="1:16" x14ac:dyDescent="0.25">
      <c r="M144" s="497"/>
    </row>
  </sheetData>
  <phoneticPr fontId="28" type="noConversion"/>
  <pageMargins left="0.7" right="0.7" top="0.75" bottom="0.75" header="0.3" footer="0.3"/>
  <pageSetup paperSize="9" scale="51" orientation="landscape" r:id="rId1"/>
  <headerFooter alignWithMargins="0">
    <oddHeader>&amp;C&amp;"Arial,Félkövér"ÁLLAMI TÁMOGATÁSOK INTÉZMÉNYENKÉNT 2016. ÉV
2/c. melléklet
az önkormányzat 2016. évi költségvetéséről szóló 8/2016. (II.26.) önkormányzati rendelet
módosításáról szóló 7/2017.(II.24.) önkormányzati rendelethez</oddHeader>
  </headerFooter>
  <rowBreaks count="2" manualBreakCount="2">
    <brk id="59" max="15" man="1"/>
    <brk id="102"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H24"/>
  <sheetViews>
    <sheetView view="pageLayout" topLeftCell="D1" zoomScaleNormal="80" zoomScaleSheetLayoutView="89" workbookViewId="0">
      <selection activeCell="D25" sqref="D25"/>
    </sheetView>
  </sheetViews>
  <sheetFormatPr defaultColWidth="9.109375" defaultRowHeight="13.2" x14ac:dyDescent="0.25"/>
  <cols>
    <col min="1" max="1" width="22.5546875" style="105" customWidth="1"/>
    <col min="2" max="5" width="13.6640625" style="105" customWidth="1"/>
    <col min="6" max="9" width="13.109375" style="105" customWidth="1"/>
    <col min="10" max="13" width="14.33203125" style="105" customWidth="1"/>
    <col min="14" max="14" width="22.88671875" style="105" customWidth="1"/>
    <col min="15" max="18" width="13.109375" style="105" customWidth="1"/>
    <col min="19" max="22" width="14" style="105" customWidth="1"/>
    <col min="23" max="26" width="13.88671875" style="105" customWidth="1"/>
    <col min="27" max="30" width="14.109375" style="105" customWidth="1"/>
    <col min="31" max="31" width="11.44140625" style="105" customWidth="1"/>
    <col min="32" max="32" width="19" style="105" customWidth="1"/>
    <col min="33" max="33" width="10.6640625" style="105" customWidth="1"/>
    <col min="34" max="16384" width="9.109375" style="105"/>
  </cols>
  <sheetData>
    <row r="1" spans="1:58" ht="12.75" customHeight="1" x14ac:dyDescent="0.25">
      <c r="A1" s="1620"/>
      <c r="B1" s="1620"/>
      <c r="C1" s="1620"/>
      <c r="D1" s="1620"/>
      <c r="E1" s="1620"/>
      <c r="F1" s="1620"/>
      <c r="G1" s="1620"/>
      <c r="H1" s="1620"/>
      <c r="I1" s="1620"/>
      <c r="J1" s="1620"/>
      <c r="K1" s="1620"/>
      <c r="L1" s="1620"/>
      <c r="M1" s="1620"/>
      <c r="N1" s="1620"/>
      <c r="O1" s="1620"/>
      <c r="P1" s="1"/>
      <c r="Q1" s="1"/>
      <c r="R1" s="1"/>
      <c r="S1" s="1621"/>
      <c r="T1" s="1621"/>
      <c r="U1" s="1621"/>
      <c r="V1" s="1621"/>
      <c r="W1" s="1621"/>
      <c r="X1" s="1621"/>
      <c r="Y1" s="1621"/>
      <c r="Z1" s="1621"/>
      <c r="AA1" s="1621"/>
      <c r="AB1" s="1621"/>
      <c r="AC1" s="1621"/>
      <c r="AD1" s="1621"/>
    </row>
    <row r="2" spans="1:58" ht="12.75" customHeight="1" x14ac:dyDescent="0.25">
      <c r="A2" s="1620"/>
      <c r="B2" s="1620"/>
      <c r="C2" s="1620"/>
      <c r="D2" s="1620"/>
      <c r="E2" s="1620"/>
      <c r="F2" s="1620"/>
      <c r="G2" s="1620"/>
      <c r="H2" s="1620"/>
      <c r="I2" s="1620"/>
      <c r="J2" s="1620"/>
      <c r="K2" s="1620"/>
      <c r="L2" s="1620"/>
      <c r="M2" s="1620"/>
      <c r="N2" s="1620"/>
      <c r="O2" s="1620"/>
      <c r="P2" s="1"/>
      <c r="Q2" s="1"/>
      <c r="R2" s="1"/>
      <c r="S2" s="1621"/>
      <c r="T2" s="1621"/>
      <c r="U2" s="1621"/>
      <c r="V2" s="1621"/>
      <c r="W2" s="1621"/>
      <c r="X2" s="1621"/>
      <c r="Y2" s="1621"/>
      <c r="Z2" s="1621"/>
      <c r="AA2" s="1621"/>
      <c r="AB2" s="1621"/>
      <c r="AC2" s="1621"/>
      <c r="AD2" s="1621"/>
    </row>
    <row r="3" spans="1:58" x14ac:dyDescent="0.25">
      <c r="O3" s="142"/>
      <c r="P3" s="142"/>
      <c r="Q3" s="142"/>
      <c r="R3" s="142"/>
      <c r="AA3" s="142"/>
      <c r="AB3" s="142"/>
      <c r="AC3" s="142"/>
      <c r="AD3" s="142"/>
    </row>
    <row r="4" spans="1:58" x14ac:dyDescent="0.25">
      <c r="O4" s="142"/>
      <c r="P4" s="142"/>
      <c r="Q4" s="142"/>
      <c r="R4" s="142"/>
      <c r="AA4" s="142"/>
      <c r="AB4" s="142"/>
      <c r="AC4" s="142"/>
      <c r="AD4" s="142"/>
    </row>
    <row r="5" spans="1:58" ht="13.8" thickBot="1" x14ac:dyDescent="0.3">
      <c r="O5" s="142"/>
      <c r="P5" s="142"/>
      <c r="Q5" s="142"/>
      <c r="R5" s="142"/>
      <c r="AA5" s="142"/>
      <c r="AB5" s="142"/>
      <c r="AC5" s="142"/>
      <c r="AD5" s="142"/>
    </row>
    <row r="6" spans="1:58" s="144" customFormat="1" ht="32.25" customHeight="1" thickBot="1" x14ac:dyDescent="0.3">
      <c r="A6" s="1630" t="s">
        <v>307</v>
      </c>
      <c r="B6" s="1633" t="s">
        <v>308</v>
      </c>
      <c r="C6" s="1627"/>
      <c r="D6" s="1628"/>
      <c r="E6" s="1629"/>
      <c r="F6" s="1626" t="s">
        <v>933</v>
      </c>
      <c r="G6" s="1627"/>
      <c r="H6" s="1628"/>
      <c r="I6" s="1629"/>
      <c r="J6" s="1634" t="s">
        <v>934</v>
      </c>
      <c r="K6" s="1624"/>
      <c r="L6" s="1624"/>
      <c r="M6" s="1624"/>
      <c r="N6" s="1630" t="s">
        <v>891</v>
      </c>
      <c r="O6" s="1626" t="s">
        <v>935</v>
      </c>
      <c r="P6" s="1627"/>
      <c r="Q6" s="1628"/>
      <c r="R6" s="1629"/>
      <c r="S6" s="1622" t="s">
        <v>936</v>
      </c>
      <c r="T6" s="1623"/>
      <c r="U6" s="1624"/>
      <c r="V6" s="1625"/>
      <c r="W6" s="1626" t="s">
        <v>937</v>
      </c>
      <c r="X6" s="1627"/>
      <c r="Y6" s="1628"/>
      <c r="Z6" s="1629"/>
      <c r="AA6" s="1617" t="s">
        <v>938</v>
      </c>
      <c r="AB6" s="1618"/>
      <c r="AC6" s="1618"/>
      <c r="AD6" s="1619"/>
    </row>
    <row r="7" spans="1:58" s="145" customFormat="1" ht="63.75" customHeight="1" thickBot="1" x14ac:dyDescent="0.3">
      <c r="A7" s="1631"/>
      <c r="B7" s="846" t="s">
        <v>659</v>
      </c>
      <c r="C7" s="347" t="s">
        <v>52</v>
      </c>
      <c r="D7" s="347" t="s">
        <v>800</v>
      </c>
      <c r="E7" s="843" t="s">
        <v>660</v>
      </c>
      <c r="F7" s="817" t="s">
        <v>659</v>
      </c>
      <c r="G7" s="347" t="s">
        <v>52</v>
      </c>
      <c r="H7" s="347" t="s">
        <v>800</v>
      </c>
      <c r="I7" s="843" t="s">
        <v>660</v>
      </c>
      <c r="J7" s="817" t="s">
        <v>659</v>
      </c>
      <c r="K7" s="347" t="s">
        <v>52</v>
      </c>
      <c r="L7" s="347" t="s">
        <v>800</v>
      </c>
      <c r="M7" s="843" t="s">
        <v>660</v>
      </c>
      <c r="N7" s="1632"/>
      <c r="O7" s="817" t="s">
        <v>659</v>
      </c>
      <c r="P7" s="347" t="s">
        <v>52</v>
      </c>
      <c r="Q7" s="347" t="s">
        <v>800</v>
      </c>
      <c r="R7" s="843" t="s">
        <v>660</v>
      </c>
      <c r="S7" s="817" t="s">
        <v>659</v>
      </c>
      <c r="T7" s="347" t="s">
        <v>52</v>
      </c>
      <c r="U7" s="347" t="s">
        <v>800</v>
      </c>
      <c r="V7" s="843" t="s">
        <v>660</v>
      </c>
      <c r="W7" s="817" t="s">
        <v>659</v>
      </c>
      <c r="X7" s="347" t="s">
        <v>52</v>
      </c>
      <c r="Y7" s="347" t="s">
        <v>800</v>
      </c>
      <c r="Z7" s="843" t="s">
        <v>660</v>
      </c>
      <c r="AA7" s="817" t="s">
        <v>659</v>
      </c>
      <c r="AB7" s="347" t="s">
        <v>52</v>
      </c>
      <c r="AC7" s="347" t="s">
        <v>800</v>
      </c>
      <c r="AD7" s="346" t="s">
        <v>660</v>
      </c>
    </row>
    <row r="8" spans="1:58" ht="20.100000000000001" customHeight="1" x14ac:dyDescent="0.25">
      <c r="A8" s="895" t="s">
        <v>939</v>
      </c>
      <c r="B8" s="636">
        <v>23890</v>
      </c>
      <c r="C8" s="633">
        <v>22771</v>
      </c>
      <c r="D8" s="901">
        <v>22451</v>
      </c>
      <c r="E8" s="635">
        <f>D8-C8</f>
        <v>-320</v>
      </c>
      <c r="F8" s="650">
        <f>22284+800</f>
        <v>23084</v>
      </c>
      <c r="G8" s="631">
        <v>19607</v>
      </c>
      <c r="H8" s="802">
        <f>'2.a tábla ÚJ '!D50-'3.sz. tábla  (2)'!D8</f>
        <v>19927</v>
      </c>
      <c r="I8" s="632">
        <f>H8-G8</f>
        <v>320</v>
      </c>
      <c r="J8" s="650">
        <f t="shared" ref="J8:J17" si="0">SUM(B8+F8)</f>
        <v>46974</v>
      </c>
      <c r="K8" s="630">
        <f t="shared" ref="K8:L19" si="1">SUM(C8+G8)</f>
        <v>42378</v>
      </c>
      <c r="L8" s="630">
        <f t="shared" si="1"/>
        <v>42378</v>
      </c>
      <c r="M8" s="632">
        <f>L8-K8</f>
        <v>0</v>
      </c>
      <c r="N8" s="897" t="s">
        <v>939</v>
      </c>
      <c r="O8" s="894">
        <v>24855</v>
      </c>
      <c r="P8" s="630">
        <v>25655</v>
      </c>
      <c r="Q8" s="649">
        <f>'2.a tábla ÚJ '!D44</f>
        <v>25655</v>
      </c>
      <c r="R8" s="632">
        <f>Q8-P8</f>
        <v>0</v>
      </c>
      <c r="S8" s="636"/>
      <c r="T8" s="633">
        <v>5051</v>
      </c>
      <c r="U8" s="901">
        <f>'2.a tábla ÚJ '!D46</f>
        <v>5051</v>
      </c>
      <c r="V8" s="635">
        <f>U8-T8</f>
        <v>0</v>
      </c>
      <c r="W8" s="636"/>
      <c r="X8" s="898"/>
      <c r="Y8" s="1221"/>
      <c r="Z8" s="635">
        <f>Y8-X8</f>
        <v>0</v>
      </c>
      <c r="AA8" s="646">
        <f t="shared" ref="AA8:AC13" si="2">J8+O8+S8+W8</f>
        <v>71829</v>
      </c>
      <c r="AB8" s="896">
        <f t="shared" si="2"/>
        <v>73084</v>
      </c>
      <c r="AC8" s="896">
        <f t="shared" si="2"/>
        <v>73084</v>
      </c>
      <c r="AD8" s="899">
        <f>AC8-AB8</f>
        <v>0</v>
      </c>
    </row>
    <row r="9" spans="1:58" ht="20.100000000000001" customHeight="1" x14ac:dyDescent="0.25">
      <c r="A9" s="886" t="s">
        <v>940</v>
      </c>
      <c r="B9" s="637">
        <v>20843</v>
      </c>
      <c r="C9" s="349">
        <v>19551</v>
      </c>
      <c r="D9" s="709">
        <v>19328</v>
      </c>
      <c r="E9" s="416">
        <f>D9-C9</f>
        <v>-223</v>
      </c>
      <c r="F9" s="637">
        <f>18500+800</f>
        <v>19300</v>
      </c>
      <c r="G9" s="350">
        <v>19426</v>
      </c>
      <c r="H9" s="1219">
        <f>'2.a tábla ÚJ '!H50-'3.sz. tábla  (2)'!D9</f>
        <v>19649</v>
      </c>
      <c r="I9" s="416">
        <f>H9-G9</f>
        <v>223</v>
      </c>
      <c r="J9" s="637">
        <f t="shared" si="0"/>
        <v>40143</v>
      </c>
      <c r="K9" s="349">
        <f t="shared" si="1"/>
        <v>38977</v>
      </c>
      <c r="L9" s="349">
        <f t="shared" si="1"/>
        <v>38977</v>
      </c>
      <c r="M9" s="416">
        <f>L9-K9</f>
        <v>0</v>
      </c>
      <c r="N9" s="886" t="s">
        <v>940</v>
      </c>
      <c r="O9" s="885">
        <v>23321</v>
      </c>
      <c r="P9" s="349">
        <v>23632</v>
      </c>
      <c r="Q9" s="709">
        <f>'2.a tábla ÚJ '!H44</f>
        <v>24493</v>
      </c>
      <c r="R9" s="416">
        <f>Q9-P9</f>
        <v>861</v>
      </c>
      <c r="S9" s="637"/>
      <c r="T9" s="349">
        <v>4378</v>
      </c>
      <c r="U9" s="709">
        <f>'2.a tábla ÚJ '!H46</f>
        <v>4378</v>
      </c>
      <c r="V9" s="416">
        <f>U9-T9</f>
        <v>0</v>
      </c>
      <c r="W9" s="637"/>
      <c r="X9" s="354"/>
      <c r="Y9" s="796"/>
      <c r="Z9" s="416">
        <f>Y9-X9</f>
        <v>0</v>
      </c>
      <c r="AA9" s="640">
        <f t="shared" si="2"/>
        <v>63464</v>
      </c>
      <c r="AB9" s="350">
        <f t="shared" si="2"/>
        <v>66987</v>
      </c>
      <c r="AC9" s="350">
        <f t="shared" si="2"/>
        <v>67848</v>
      </c>
      <c r="AD9" s="711">
        <f>AC9-AB9</f>
        <v>861</v>
      </c>
    </row>
    <row r="10" spans="1:58" s="110" customFormat="1" ht="22.5" customHeight="1" x14ac:dyDescent="0.25">
      <c r="A10" s="887" t="s">
        <v>941</v>
      </c>
      <c r="B10" s="637">
        <v>2231</v>
      </c>
      <c r="C10" s="349">
        <v>2426</v>
      </c>
      <c r="D10" s="709">
        <v>2386</v>
      </c>
      <c r="E10" s="416">
        <f t="shared" ref="E10:E22" si="3">D10-C10</f>
        <v>-40</v>
      </c>
      <c r="F10" s="637">
        <f>2482+100</f>
        <v>2582</v>
      </c>
      <c r="G10" s="349">
        <v>1863</v>
      </c>
      <c r="H10" s="709">
        <f>'2.a tábla ÚJ '!L50-'3.sz. tábla  (2)'!D10</f>
        <v>1903</v>
      </c>
      <c r="I10" s="416">
        <f t="shared" ref="I10:I22" si="4">H10-G10</f>
        <v>40</v>
      </c>
      <c r="J10" s="637">
        <f t="shared" si="0"/>
        <v>4813</v>
      </c>
      <c r="K10" s="349">
        <f t="shared" si="1"/>
        <v>4289</v>
      </c>
      <c r="L10" s="349">
        <f t="shared" si="1"/>
        <v>4289</v>
      </c>
      <c r="M10" s="416">
        <f t="shared" ref="M10:M22" si="5">L10-K10</f>
        <v>0</v>
      </c>
      <c r="N10" s="887" t="s">
        <v>941</v>
      </c>
      <c r="O10" s="885">
        <v>1174</v>
      </c>
      <c r="P10" s="349">
        <v>1174</v>
      </c>
      <c r="Q10" s="709">
        <f>'2.a tábla ÚJ '!L44</f>
        <v>1618</v>
      </c>
      <c r="R10" s="416">
        <f t="shared" ref="R10:R22" si="6">Q10-P10</f>
        <v>444</v>
      </c>
      <c r="S10" s="637"/>
      <c r="T10" s="349">
        <v>850</v>
      </c>
      <c r="U10" s="709">
        <f>'2.a tábla ÚJ '!L46</f>
        <v>850</v>
      </c>
      <c r="V10" s="416">
        <f t="shared" ref="V10:V22" si="7">U10-T10</f>
        <v>0</v>
      </c>
      <c r="W10" s="637"/>
      <c r="X10" s="351"/>
      <c r="Y10" s="710"/>
      <c r="Z10" s="416">
        <f t="shared" ref="Z10:Z22" si="8">Y10-X10</f>
        <v>0</v>
      </c>
      <c r="AA10" s="640">
        <f t="shared" si="2"/>
        <v>5987</v>
      </c>
      <c r="AB10" s="350">
        <f t="shared" si="2"/>
        <v>6313</v>
      </c>
      <c r="AC10" s="350">
        <f t="shared" si="2"/>
        <v>6757</v>
      </c>
      <c r="AD10" s="711">
        <f t="shared" ref="AD10:AD22" si="9">AC10-AB10</f>
        <v>444</v>
      </c>
      <c r="AE10" s="149"/>
    </row>
    <row r="11" spans="1:58" ht="20.100000000000001" customHeight="1" x14ac:dyDescent="0.25">
      <c r="A11" s="886" t="s">
        <v>942</v>
      </c>
      <c r="B11" s="637">
        <v>5521</v>
      </c>
      <c r="C11" s="349">
        <v>4295</v>
      </c>
      <c r="D11" s="709">
        <v>4299</v>
      </c>
      <c r="E11" s="416">
        <f t="shared" si="3"/>
        <v>4</v>
      </c>
      <c r="F11" s="637">
        <f>31385+800</f>
        <v>32185</v>
      </c>
      <c r="G11" s="350">
        <v>34226</v>
      </c>
      <c r="H11" s="1219">
        <f>'2.a tábla ÚJ '!P50-'3.sz. tábla  (2)'!D11</f>
        <v>34222</v>
      </c>
      <c r="I11" s="416">
        <f t="shared" si="4"/>
        <v>-4</v>
      </c>
      <c r="J11" s="637">
        <f t="shared" si="0"/>
        <v>37706</v>
      </c>
      <c r="K11" s="349">
        <f>SUM(C11+G11)</f>
        <v>38521</v>
      </c>
      <c r="L11" s="349">
        <f>SUM(D11+H11)</f>
        <v>38521</v>
      </c>
      <c r="M11" s="416">
        <f>L11-K11</f>
        <v>0</v>
      </c>
      <c r="N11" s="886" t="s">
        <v>942</v>
      </c>
      <c r="O11" s="885">
        <v>12008</v>
      </c>
      <c r="P11" s="349">
        <v>12851</v>
      </c>
      <c r="Q11" s="709">
        <f>'2.a tábla ÚJ '!P44</f>
        <v>12851</v>
      </c>
      <c r="R11" s="416">
        <f t="shared" si="6"/>
        <v>0</v>
      </c>
      <c r="S11" s="637"/>
      <c r="T11" s="349">
        <v>2407</v>
      </c>
      <c r="U11" s="709">
        <f>'2.a tábla ÚJ '!P46</f>
        <v>2407</v>
      </c>
      <c r="V11" s="416">
        <f t="shared" si="7"/>
        <v>0</v>
      </c>
      <c r="W11" s="637"/>
      <c r="X11" s="354"/>
      <c r="Y11" s="796"/>
      <c r="Z11" s="416">
        <f t="shared" si="8"/>
        <v>0</v>
      </c>
      <c r="AA11" s="640">
        <f t="shared" si="2"/>
        <v>49714</v>
      </c>
      <c r="AB11" s="350">
        <f>K11+P11+T11+X11</f>
        <v>53779</v>
      </c>
      <c r="AC11" s="350">
        <f>L11+Q11+U11+Y11</f>
        <v>53779</v>
      </c>
      <c r="AD11" s="711">
        <f t="shared" si="9"/>
        <v>0</v>
      </c>
    </row>
    <row r="12" spans="1:58" ht="20.100000000000001" customHeight="1" x14ac:dyDescent="0.25">
      <c r="A12" s="886" t="s">
        <v>943</v>
      </c>
      <c r="B12" s="637">
        <v>44</v>
      </c>
      <c r="C12" s="349">
        <v>44</v>
      </c>
      <c r="D12" s="709">
        <v>44</v>
      </c>
      <c r="E12" s="416">
        <f t="shared" si="3"/>
        <v>0</v>
      </c>
      <c r="F12" s="637">
        <f>6221+300</f>
        <v>6521</v>
      </c>
      <c r="G12" s="350">
        <v>5848</v>
      </c>
      <c r="H12" s="1219">
        <f>'2.a tábla ÚJ '!U50-'3.sz. tábla  (2)'!D12</f>
        <v>5848</v>
      </c>
      <c r="I12" s="416">
        <f t="shared" si="4"/>
        <v>0</v>
      </c>
      <c r="J12" s="637">
        <f t="shared" si="0"/>
        <v>6565</v>
      </c>
      <c r="K12" s="349">
        <f t="shared" si="1"/>
        <v>5892</v>
      </c>
      <c r="L12" s="349">
        <f t="shared" si="1"/>
        <v>5892</v>
      </c>
      <c r="M12" s="416">
        <f t="shared" si="5"/>
        <v>0</v>
      </c>
      <c r="N12" s="886" t="s">
        <v>943</v>
      </c>
      <c r="O12" s="885">
        <v>1102</v>
      </c>
      <c r="P12" s="349">
        <v>1102</v>
      </c>
      <c r="Q12" s="709">
        <f>'2.a tábla ÚJ '!U44</f>
        <v>1705</v>
      </c>
      <c r="R12" s="416">
        <f t="shared" si="6"/>
        <v>603</v>
      </c>
      <c r="S12" s="637"/>
      <c r="T12" s="349">
        <v>1233</v>
      </c>
      <c r="U12" s="709">
        <f>'2.a tábla ÚJ '!U46</f>
        <v>1233</v>
      </c>
      <c r="V12" s="416">
        <f t="shared" si="7"/>
        <v>0</v>
      </c>
      <c r="W12" s="637"/>
      <c r="X12" s="354"/>
      <c r="Y12" s="796"/>
      <c r="Z12" s="416">
        <f t="shared" si="8"/>
        <v>0</v>
      </c>
      <c r="AA12" s="640">
        <f t="shared" si="2"/>
        <v>7667</v>
      </c>
      <c r="AB12" s="350">
        <f t="shared" si="2"/>
        <v>8227</v>
      </c>
      <c r="AC12" s="350">
        <f t="shared" si="2"/>
        <v>8830</v>
      </c>
      <c r="AD12" s="711">
        <f t="shared" si="9"/>
        <v>603</v>
      </c>
      <c r="AE12" s="109"/>
      <c r="AF12" s="109"/>
      <c r="AG12" s="1620"/>
      <c r="AH12" s="1620"/>
      <c r="AI12" s="1620"/>
      <c r="AJ12" s="1620"/>
      <c r="AK12" s="1620"/>
      <c r="AL12" s="1620"/>
      <c r="AM12" s="1620"/>
      <c r="AN12" s="1620"/>
      <c r="AO12" s="1620"/>
      <c r="AP12" s="1620"/>
      <c r="AQ12" s="1620"/>
      <c r="AR12" s="1620"/>
      <c r="AS12" s="110"/>
      <c r="AT12" s="109"/>
      <c r="AU12" s="1620"/>
      <c r="AV12" s="1620"/>
      <c r="AW12" s="1620"/>
      <c r="AX12" s="1"/>
      <c r="AY12" s="1616"/>
      <c r="AZ12" s="1616"/>
      <c r="BA12" s="1616"/>
      <c r="BB12" s="1616"/>
      <c r="BC12" s="1616"/>
      <c r="BD12" s="1616"/>
      <c r="BE12" s="1616"/>
      <c r="BF12" s="1616"/>
    </row>
    <row r="13" spans="1:58" ht="20.100000000000001" customHeight="1" x14ac:dyDescent="0.25">
      <c r="A13" s="886" t="s">
        <v>944</v>
      </c>
      <c r="B13" s="637">
        <v>0</v>
      </c>
      <c r="C13" s="349">
        <v>0</v>
      </c>
      <c r="D13" s="709">
        <v>0</v>
      </c>
      <c r="E13" s="416">
        <f t="shared" si="3"/>
        <v>0</v>
      </c>
      <c r="F13" s="637">
        <f>15332+150</f>
        <v>15482</v>
      </c>
      <c r="G13" s="350">
        <v>9390</v>
      </c>
      <c r="H13" s="1219">
        <f>'2.a tábla ÚJ '!Y50</f>
        <v>9390</v>
      </c>
      <c r="I13" s="416">
        <f t="shared" si="4"/>
        <v>0</v>
      </c>
      <c r="J13" s="637">
        <f t="shared" si="0"/>
        <v>15482</v>
      </c>
      <c r="K13" s="349">
        <f t="shared" si="1"/>
        <v>9390</v>
      </c>
      <c r="L13" s="349">
        <f t="shared" si="1"/>
        <v>9390</v>
      </c>
      <c r="M13" s="416">
        <f t="shared" si="5"/>
        <v>0</v>
      </c>
      <c r="N13" s="886" t="s">
        <v>944</v>
      </c>
      <c r="O13" s="885">
        <v>0</v>
      </c>
      <c r="P13" s="349">
        <v>0</v>
      </c>
      <c r="Q13" s="709">
        <f>'2.a tábla ÚJ '!Y44</f>
        <v>23</v>
      </c>
      <c r="R13" s="416">
        <f t="shared" si="6"/>
        <v>23</v>
      </c>
      <c r="S13" s="637"/>
      <c r="T13" s="349">
        <v>86</v>
      </c>
      <c r="U13" s="709">
        <f>'2.a tábla ÚJ '!Y46</f>
        <v>86</v>
      </c>
      <c r="V13" s="416">
        <f t="shared" si="7"/>
        <v>0</v>
      </c>
      <c r="W13" s="637"/>
      <c r="X13" s="354"/>
      <c r="Y13" s="796"/>
      <c r="Z13" s="416">
        <f t="shared" si="8"/>
        <v>0</v>
      </c>
      <c r="AA13" s="640">
        <f t="shared" si="2"/>
        <v>15482</v>
      </c>
      <c r="AB13" s="350">
        <f t="shared" si="2"/>
        <v>9476</v>
      </c>
      <c r="AC13" s="350">
        <f t="shared" si="2"/>
        <v>9499</v>
      </c>
      <c r="AD13" s="711">
        <f t="shared" si="9"/>
        <v>23</v>
      </c>
    </row>
    <row r="14" spans="1:58" s="110" customFormat="1" ht="41.4" x14ac:dyDescent="0.25">
      <c r="A14" s="888" t="s">
        <v>945</v>
      </c>
      <c r="B14" s="638">
        <f>SUM(B8:B13)</f>
        <v>52529</v>
      </c>
      <c r="C14" s="351">
        <f>SUM(C8:C13)</f>
        <v>49087</v>
      </c>
      <c r="D14" s="351">
        <f>SUM(D8:D13)</f>
        <v>48508</v>
      </c>
      <c r="E14" s="546">
        <f t="shared" si="3"/>
        <v>-579</v>
      </c>
      <c r="F14" s="638">
        <f>SUM(F8:F13)</f>
        <v>99154</v>
      </c>
      <c r="G14" s="351">
        <f>SUM(G8:G13)</f>
        <v>90360</v>
      </c>
      <c r="H14" s="351">
        <f>SUM(H8:H13)</f>
        <v>90939</v>
      </c>
      <c r="I14" s="546">
        <f t="shared" si="4"/>
        <v>579</v>
      </c>
      <c r="J14" s="638">
        <f t="shared" si="0"/>
        <v>151683</v>
      </c>
      <c r="K14" s="351">
        <f t="shared" si="1"/>
        <v>139447</v>
      </c>
      <c r="L14" s="351">
        <f t="shared" si="1"/>
        <v>139447</v>
      </c>
      <c r="M14" s="546">
        <f t="shared" si="5"/>
        <v>0</v>
      </c>
      <c r="N14" s="888" t="s">
        <v>945</v>
      </c>
      <c r="O14" s="644">
        <f t="shared" ref="O14:U14" si="10">SUM(O8:O13)</f>
        <v>62460</v>
      </c>
      <c r="P14" s="351">
        <f t="shared" si="10"/>
        <v>64414</v>
      </c>
      <c r="Q14" s="351">
        <f t="shared" si="10"/>
        <v>66345</v>
      </c>
      <c r="R14" s="546">
        <f t="shared" si="6"/>
        <v>1931</v>
      </c>
      <c r="S14" s="638">
        <f t="shared" si="10"/>
        <v>0</v>
      </c>
      <c r="T14" s="351">
        <f t="shared" si="10"/>
        <v>14005</v>
      </c>
      <c r="U14" s="351">
        <f t="shared" si="10"/>
        <v>14005</v>
      </c>
      <c r="V14" s="546">
        <f t="shared" si="7"/>
        <v>0</v>
      </c>
      <c r="W14" s="638">
        <f>SUM(W8:W13)</f>
        <v>0</v>
      </c>
      <c r="X14" s="351">
        <f>SUM(X8:X13)</f>
        <v>0</v>
      </c>
      <c r="Y14" s="710"/>
      <c r="Z14" s="546">
        <f t="shared" si="8"/>
        <v>0</v>
      </c>
      <c r="AA14" s="638">
        <f>SUM(AA8:AA13)</f>
        <v>214143</v>
      </c>
      <c r="AB14" s="351">
        <f>SUM(AB8:AB13)</f>
        <v>217866</v>
      </c>
      <c r="AC14" s="351">
        <f>SUM(AC8:AC13)</f>
        <v>219797</v>
      </c>
      <c r="AD14" s="712">
        <f t="shared" si="9"/>
        <v>1931</v>
      </c>
      <c r="AE14" s="149"/>
    </row>
    <row r="15" spans="1:58" s="154" customFormat="1" ht="20.100000000000001" customHeight="1" x14ac:dyDescent="0.25">
      <c r="A15" s="889" t="s">
        <v>946</v>
      </c>
      <c r="B15" s="637">
        <v>15849</v>
      </c>
      <c r="C15" s="349">
        <v>17465</v>
      </c>
      <c r="D15" s="709">
        <v>17465</v>
      </c>
      <c r="E15" s="416">
        <f t="shared" si="3"/>
        <v>0</v>
      </c>
      <c r="F15" s="637">
        <f>26631+300</f>
        <v>26931</v>
      </c>
      <c r="G15" s="350">
        <v>24924</v>
      </c>
      <c r="H15" s="1219">
        <f>'2.a tábla ÚJ '!AG50-'3.sz. tábla  (2)'!D15</f>
        <v>24924</v>
      </c>
      <c r="I15" s="416">
        <f t="shared" si="4"/>
        <v>0</v>
      </c>
      <c r="J15" s="637">
        <f t="shared" si="0"/>
        <v>42780</v>
      </c>
      <c r="K15" s="349">
        <f t="shared" si="1"/>
        <v>42389</v>
      </c>
      <c r="L15" s="349">
        <f t="shared" si="1"/>
        <v>42389</v>
      </c>
      <c r="M15" s="416">
        <f t="shared" si="5"/>
        <v>0</v>
      </c>
      <c r="N15" s="889" t="s">
        <v>946</v>
      </c>
      <c r="O15" s="885">
        <v>3590</v>
      </c>
      <c r="P15" s="349">
        <v>5103</v>
      </c>
      <c r="Q15" s="709">
        <f>'2.a tábla ÚJ '!AG44</f>
        <v>5103</v>
      </c>
      <c r="R15" s="416">
        <f t="shared" si="6"/>
        <v>0</v>
      </c>
      <c r="S15" s="637"/>
      <c r="T15" s="349">
        <v>4166</v>
      </c>
      <c r="U15" s="709">
        <f>'2.a tábla ÚJ '!AG46</f>
        <v>4166</v>
      </c>
      <c r="V15" s="416">
        <f t="shared" si="7"/>
        <v>0</v>
      </c>
      <c r="W15" s="637"/>
      <c r="X15" s="354"/>
      <c r="Y15" s="796"/>
      <c r="Z15" s="416">
        <f t="shared" si="8"/>
        <v>0</v>
      </c>
      <c r="AA15" s="640">
        <f t="shared" ref="AA15:AC17" si="11">J15+O15+S15+W15</f>
        <v>46370</v>
      </c>
      <c r="AB15" s="350">
        <f t="shared" si="11"/>
        <v>51658</v>
      </c>
      <c r="AC15" s="350">
        <f t="shared" si="11"/>
        <v>51658</v>
      </c>
      <c r="AD15" s="711">
        <f t="shared" si="9"/>
        <v>0</v>
      </c>
      <c r="AE15" s="151"/>
      <c r="AF15" s="151"/>
      <c r="AG15" s="152"/>
      <c r="AH15" s="152"/>
      <c r="AI15" s="152"/>
      <c r="AJ15" s="153"/>
      <c r="AK15" s="152"/>
      <c r="AL15" s="152"/>
      <c r="AM15" s="152"/>
      <c r="AN15" s="153"/>
      <c r="AO15" s="153"/>
      <c r="AP15" s="153"/>
      <c r="AQ15" s="153"/>
      <c r="AR15" s="153"/>
      <c r="AT15" s="151"/>
      <c r="AU15" s="153"/>
      <c r="AV15" s="153"/>
      <c r="AW15" s="151"/>
      <c r="AX15" s="153"/>
      <c r="AY15" s="153"/>
      <c r="AZ15" s="153"/>
      <c r="BA15" s="153"/>
      <c r="BB15" s="153"/>
      <c r="BC15" s="153"/>
      <c r="BD15" s="153"/>
      <c r="BE15" s="153"/>
      <c r="BF15" s="153"/>
    </row>
    <row r="16" spans="1:58" ht="20.100000000000001" customHeight="1" x14ac:dyDescent="0.25">
      <c r="A16" s="886" t="s">
        <v>947</v>
      </c>
      <c r="B16" s="637">
        <v>0</v>
      </c>
      <c r="C16" s="349">
        <v>1557</v>
      </c>
      <c r="D16" s="709">
        <v>1557</v>
      </c>
      <c r="E16" s="416">
        <f t="shared" si="3"/>
        <v>0</v>
      </c>
      <c r="F16" s="637">
        <f>24460+400</f>
        <v>24860</v>
      </c>
      <c r="G16" s="350">
        <v>19341</v>
      </c>
      <c r="H16" s="1219">
        <f>'2.a tábla ÚJ '!AL50-'3.sz. tábla  (2)'!D16</f>
        <v>19341</v>
      </c>
      <c r="I16" s="416">
        <f t="shared" si="4"/>
        <v>0</v>
      </c>
      <c r="J16" s="637">
        <f t="shared" si="0"/>
        <v>24860</v>
      </c>
      <c r="K16" s="349">
        <f t="shared" si="1"/>
        <v>20898</v>
      </c>
      <c r="L16" s="349">
        <f t="shared" si="1"/>
        <v>20898</v>
      </c>
      <c r="M16" s="416">
        <f t="shared" si="5"/>
        <v>0</v>
      </c>
      <c r="N16" s="886" t="s">
        <v>947</v>
      </c>
      <c r="O16" s="885">
        <v>123260</v>
      </c>
      <c r="P16" s="349">
        <v>128199</v>
      </c>
      <c r="Q16" s="709">
        <f>'2.a tábla ÚJ '!AL44</f>
        <v>128199</v>
      </c>
      <c r="R16" s="416">
        <f t="shared" si="6"/>
        <v>0</v>
      </c>
      <c r="S16" s="637"/>
      <c r="T16" s="349">
        <v>9380</v>
      </c>
      <c r="U16" s="709">
        <f>'2.a tábla ÚJ '!AL46</f>
        <v>9380</v>
      </c>
      <c r="V16" s="416">
        <f t="shared" si="7"/>
        <v>0</v>
      </c>
      <c r="W16" s="637"/>
      <c r="X16" s="354"/>
      <c r="Y16" s="796"/>
      <c r="Z16" s="416">
        <f t="shared" si="8"/>
        <v>0</v>
      </c>
      <c r="AA16" s="640">
        <f t="shared" si="11"/>
        <v>148120</v>
      </c>
      <c r="AB16" s="350">
        <f t="shared" si="11"/>
        <v>158477</v>
      </c>
      <c r="AC16" s="350">
        <f t="shared" si="11"/>
        <v>158477</v>
      </c>
      <c r="AD16" s="711">
        <f t="shared" si="9"/>
        <v>0</v>
      </c>
      <c r="AE16" s="113"/>
      <c r="AF16" s="113"/>
      <c r="AG16" s="155"/>
      <c r="AH16" s="155"/>
      <c r="AI16" s="155"/>
      <c r="AJ16" s="155"/>
      <c r="AK16" s="155"/>
      <c r="AL16" s="155"/>
      <c r="AM16" s="155"/>
      <c r="AN16" s="155"/>
      <c r="AO16" s="155"/>
      <c r="AP16" s="155"/>
      <c r="AQ16" s="155"/>
      <c r="AR16" s="155"/>
      <c r="AT16" s="113"/>
      <c r="AU16" s="155"/>
      <c r="AV16" s="155"/>
      <c r="AW16" s="113"/>
      <c r="AX16" s="155"/>
      <c r="AY16" s="155"/>
      <c r="AZ16" s="155"/>
      <c r="BA16" s="155"/>
      <c r="BB16" s="155"/>
      <c r="BC16" s="155"/>
      <c r="BD16" s="155"/>
      <c r="BE16" s="155"/>
      <c r="BF16" s="155"/>
    </row>
    <row r="17" spans="1:60" s="160" customFormat="1" ht="19.5" customHeight="1" x14ac:dyDescent="0.25">
      <c r="A17" s="890" t="s">
        <v>948</v>
      </c>
      <c r="B17" s="637">
        <v>27823</v>
      </c>
      <c r="C17" s="356">
        <v>33124</v>
      </c>
      <c r="D17" s="799">
        <v>33038</v>
      </c>
      <c r="E17" s="416">
        <f t="shared" si="3"/>
        <v>-86</v>
      </c>
      <c r="F17" s="637">
        <f>23621+200</f>
        <v>23821</v>
      </c>
      <c r="G17" s="352">
        <v>18504</v>
      </c>
      <c r="H17" s="805">
        <f>'2.a tábla ÚJ '!AP50-'3.sz. tábla  (2)'!D17</f>
        <v>18590</v>
      </c>
      <c r="I17" s="416">
        <f t="shared" si="4"/>
        <v>86</v>
      </c>
      <c r="J17" s="637">
        <f t="shared" si="0"/>
        <v>51644</v>
      </c>
      <c r="K17" s="349">
        <f t="shared" si="1"/>
        <v>51628</v>
      </c>
      <c r="L17" s="349">
        <f t="shared" si="1"/>
        <v>51628</v>
      </c>
      <c r="M17" s="416">
        <f t="shared" si="5"/>
        <v>0</v>
      </c>
      <c r="N17" s="890" t="s">
        <v>948</v>
      </c>
      <c r="O17" s="885">
        <v>1192</v>
      </c>
      <c r="P17" s="356">
        <v>1583</v>
      </c>
      <c r="Q17" s="799">
        <f>'2.a tábla ÚJ '!AP44</f>
        <v>1583</v>
      </c>
      <c r="R17" s="416">
        <f t="shared" si="6"/>
        <v>0</v>
      </c>
      <c r="S17" s="637"/>
      <c r="T17" s="356">
        <v>2725</v>
      </c>
      <c r="U17" s="799">
        <f>'2.a tábla ÚJ '!AP46</f>
        <v>2725</v>
      </c>
      <c r="V17" s="416">
        <f t="shared" si="7"/>
        <v>0</v>
      </c>
      <c r="W17" s="637"/>
      <c r="X17" s="355"/>
      <c r="Y17" s="798"/>
      <c r="Z17" s="416">
        <f t="shared" si="8"/>
        <v>0</v>
      </c>
      <c r="AA17" s="640">
        <f t="shared" si="11"/>
        <v>52836</v>
      </c>
      <c r="AB17" s="350">
        <f t="shared" si="11"/>
        <v>55936</v>
      </c>
      <c r="AC17" s="350">
        <f t="shared" si="11"/>
        <v>55936</v>
      </c>
      <c r="AD17" s="711">
        <f t="shared" si="9"/>
        <v>0</v>
      </c>
      <c r="AE17" s="158"/>
      <c r="AF17" s="158"/>
      <c r="AG17" s="159"/>
      <c r="AH17" s="159"/>
      <c r="AI17" s="159"/>
      <c r="AJ17" s="159"/>
      <c r="AK17" s="159"/>
      <c r="AL17" s="159"/>
      <c r="AM17" s="159"/>
      <c r="AN17" s="159"/>
      <c r="AO17" s="159"/>
      <c r="AP17" s="159"/>
      <c r="AQ17" s="159"/>
      <c r="AR17" s="159"/>
      <c r="AT17" s="158"/>
      <c r="AU17" s="159"/>
      <c r="AV17" s="159"/>
      <c r="AW17" s="158"/>
      <c r="AX17" s="159"/>
      <c r="AY17" s="159"/>
      <c r="AZ17" s="159"/>
      <c r="BA17" s="159"/>
      <c r="BB17" s="159"/>
      <c r="BC17" s="159"/>
      <c r="BD17" s="159"/>
      <c r="BE17" s="159"/>
      <c r="BF17" s="159"/>
    </row>
    <row r="18" spans="1:60" s="110" customFormat="1" ht="27.75" customHeight="1" x14ac:dyDescent="0.25">
      <c r="A18" s="888" t="s">
        <v>949</v>
      </c>
      <c r="B18" s="639">
        <f>+B14+B15+B16+B17</f>
        <v>96201</v>
      </c>
      <c r="C18" s="353">
        <f>+C14+C15+C16+C17</f>
        <v>101233</v>
      </c>
      <c r="D18" s="353">
        <f>+D14+D15+D16+D17</f>
        <v>100568</v>
      </c>
      <c r="E18" s="546">
        <f t="shared" si="3"/>
        <v>-665</v>
      </c>
      <c r="F18" s="639">
        <f>+F14+F15+F16+F17</f>
        <v>174766</v>
      </c>
      <c r="G18" s="353">
        <f>+G14+G15+G16+G17</f>
        <v>153129</v>
      </c>
      <c r="H18" s="353">
        <f>+H14+H15+H16+H17</f>
        <v>153794</v>
      </c>
      <c r="I18" s="546">
        <f t="shared" si="4"/>
        <v>665</v>
      </c>
      <c r="J18" s="639">
        <f>+J14+J15+J16+J17</f>
        <v>270967</v>
      </c>
      <c r="K18" s="353">
        <f>+K14+K15+K16+K17</f>
        <v>254362</v>
      </c>
      <c r="L18" s="353">
        <f>+L14+L15+L16+L17</f>
        <v>254362</v>
      </c>
      <c r="M18" s="546">
        <f t="shared" si="5"/>
        <v>0</v>
      </c>
      <c r="N18" s="888" t="s">
        <v>949</v>
      </c>
      <c r="O18" s="547">
        <f>O14+O15+O16+O17</f>
        <v>190502</v>
      </c>
      <c r="P18" s="353">
        <f>P14+P15+P16+P17</f>
        <v>199299</v>
      </c>
      <c r="Q18" s="353">
        <f>Q14+Q15+Q16+Q17</f>
        <v>201230</v>
      </c>
      <c r="R18" s="546">
        <f t="shared" si="6"/>
        <v>1931</v>
      </c>
      <c r="S18" s="639">
        <f>S14+S15+S16+S17</f>
        <v>0</v>
      </c>
      <c r="T18" s="353">
        <f>T14+T15+T16+T17</f>
        <v>30276</v>
      </c>
      <c r="U18" s="353">
        <f>U14+U15+U16+U17</f>
        <v>30276</v>
      </c>
      <c r="V18" s="546">
        <f t="shared" si="7"/>
        <v>0</v>
      </c>
      <c r="W18" s="639">
        <f>W14+W15+W16+W17</f>
        <v>0</v>
      </c>
      <c r="X18" s="353">
        <f>X14+X15+X16+X17</f>
        <v>0</v>
      </c>
      <c r="Y18" s="548"/>
      <c r="Z18" s="546">
        <f t="shared" si="8"/>
        <v>0</v>
      </c>
      <c r="AA18" s="639">
        <f>AA14+AA15+AA16+AA17</f>
        <v>461469</v>
      </c>
      <c r="AB18" s="353">
        <f>AB14+AB15+AB16+AB17</f>
        <v>483937</v>
      </c>
      <c r="AC18" s="353">
        <f>AC14+AC15+AC16+AC17</f>
        <v>485868</v>
      </c>
      <c r="AD18" s="712">
        <f t="shared" si="9"/>
        <v>1931</v>
      </c>
      <c r="AE18" s="161"/>
      <c r="AF18" s="109"/>
      <c r="AG18" s="161"/>
      <c r="AH18" s="161"/>
      <c r="AI18" s="161"/>
      <c r="AJ18" s="161"/>
      <c r="AK18" s="161"/>
      <c r="AL18" s="161"/>
      <c r="AM18" s="161"/>
      <c r="AN18" s="161"/>
      <c r="AO18" s="161"/>
      <c r="AP18" s="161"/>
      <c r="AQ18" s="161"/>
      <c r="AR18" s="161"/>
      <c r="AT18" s="109"/>
      <c r="AU18" s="161"/>
      <c r="AV18" s="161"/>
      <c r="AW18" s="109"/>
      <c r="AX18" s="161"/>
      <c r="AY18" s="161"/>
      <c r="AZ18" s="161"/>
      <c r="BA18" s="161"/>
      <c r="BB18" s="161"/>
      <c r="BC18" s="161"/>
      <c r="BD18" s="161"/>
      <c r="BE18" s="161"/>
      <c r="BF18" s="161"/>
    </row>
    <row r="19" spans="1:60" s="162" customFormat="1" ht="15" customHeight="1" x14ac:dyDescent="0.25">
      <c r="A19" s="891" t="s">
        <v>950</v>
      </c>
      <c r="B19" s="637">
        <v>180269</v>
      </c>
      <c r="C19" s="545">
        <v>182890</v>
      </c>
      <c r="D19" s="1001">
        <v>182890</v>
      </c>
      <c r="E19" s="416">
        <f t="shared" si="3"/>
        <v>0</v>
      </c>
      <c r="F19" s="637">
        <f>148110+2000</f>
        <v>150110</v>
      </c>
      <c r="G19" s="545">
        <v>127660</v>
      </c>
      <c r="H19" s="1001">
        <f>'2.a tábla ÚJ '!AY50-'3.sz. tábla  (2)'!D19</f>
        <v>127660</v>
      </c>
      <c r="I19" s="416">
        <f t="shared" si="4"/>
        <v>0</v>
      </c>
      <c r="J19" s="637">
        <f>SUM(B19+F19)</f>
        <v>330379</v>
      </c>
      <c r="K19" s="349">
        <f>C19+G19</f>
        <v>310550</v>
      </c>
      <c r="L19" s="349">
        <f t="shared" si="1"/>
        <v>310550</v>
      </c>
      <c r="M19" s="416">
        <f t="shared" si="5"/>
        <v>0</v>
      </c>
      <c r="N19" s="891" t="s">
        <v>950</v>
      </c>
      <c r="O19" s="885">
        <v>36176</v>
      </c>
      <c r="P19" s="545">
        <v>42358</v>
      </c>
      <c r="Q19" s="1001">
        <f>'2.a tábla ÚJ '!AY44</f>
        <v>42383</v>
      </c>
      <c r="R19" s="416">
        <f t="shared" si="6"/>
        <v>25</v>
      </c>
      <c r="S19" s="637"/>
      <c r="T19" s="349">
        <v>20305</v>
      </c>
      <c r="U19" s="709">
        <f>'2.a tábla ÚJ '!AY46</f>
        <v>20305</v>
      </c>
      <c r="V19" s="416">
        <f t="shared" si="7"/>
        <v>0</v>
      </c>
      <c r="W19" s="637"/>
      <c r="X19" s="545"/>
      <c r="Y19" s="1001"/>
      <c r="Z19" s="416">
        <f t="shared" si="8"/>
        <v>0</v>
      </c>
      <c r="AA19" s="640">
        <f>J19+O19+S19+W19</f>
        <v>366555</v>
      </c>
      <c r="AB19" s="350">
        <f>K19+P19+T19+X19</f>
        <v>373213</v>
      </c>
      <c r="AC19" s="350">
        <f>L19+Q19+U19+Y19</f>
        <v>373238</v>
      </c>
      <c r="AD19" s="711">
        <f t="shared" si="9"/>
        <v>25</v>
      </c>
    </row>
    <row r="20" spans="1:60" s="110" customFormat="1" ht="12.75" customHeight="1" x14ac:dyDescent="0.25">
      <c r="A20" s="892" t="s">
        <v>951</v>
      </c>
      <c r="B20" s="639">
        <f>SUM(B18:B19)</f>
        <v>276470</v>
      </c>
      <c r="C20" s="353">
        <f>SUM(C18:C19)</f>
        <v>284123</v>
      </c>
      <c r="D20" s="353">
        <f>SUM(D18:D19)</f>
        <v>283458</v>
      </c>
      <c r="E20" s="546">
        <f t="shared" si="3"/>
        <v>-665</v>
      </c>
      <c r="F20" s="639">
        <f>SUM(F18:F19)</f>
        <v>324876</v>
      </c>
      <c r="G20" s="353">
        <f>SUM(G18:G19)</f>
        <v>280789</v>
      </c>
      <c r="H20" s="353">
        <f>SUM(H18:H19)</f>
        <v>281454</v>
      </c>
      <c r="I20" s="546">
        <f t="shared" si="4"/>
        <v>665</v>
      </c>
      <c r="J20" s="639">
        <f>SUM(J18:J19)</f>
        <v>601346</v>
      </c>
      <c r="K20" s="353">
        <f>SUM(K18:K19)</f>
        <v>564912</v>
      </c>
      <c r="L20" s="353">
        <f>SUM(L18:L19)</f>
        <v>564912</v>
      </c>
      <c r="M20" s="546">
        <f t="shared" si="5"/>
        <v>0</v>
      </c>
      <c r="N20" s="892" t="s">
        <v>951</v>
      </c>
      <c r="O20" s="547">
        <f>SUM(O18:O19)</f>
        <v>226678</v>
      </c>
      <c r="P20" s="353">
        <f>SUM(P18:P19)</f>
        <v>241657</v>
      </c>
      <c r="Q20" s="353">
        <f>SUM(Q18:Q19)</f>
        <v>243613</v>
      </c>
      <c r="R20" s="546">
        <f t="shared" si="6"/>
        <v>1956</v>
      </c>
      <c r="S20" s="639">
        <f>SUM(S18:S19)</f>
        <v>0</v>
      </c>
      <c r="T20" s="353">
        <f>SUM(T18:T19)</f>
        <v>50581</v>
      </c>
      <c r="U20" s="353">
        <f>SUM(U18:U19)</f>
        <v>50581</v>
      </c>
      <c r="V20" s="546">
        <f t="shared" si="7"/>
        <v>0</v>
      </c>
      <c r="W20" s="639">
        <f>SUM(W18:W19)</f>
        <v>0</v>
      </c>
      <c r="X20" s="353">
        <f>SUM(X18:X19)</f>
        <v>0</v>
      </c>
      <c r="Y20" s="548"/>
      <c r="Z20" s="546">
        <f t="shared" si="8"/>
        <v>0</v>
      </c>
      <c r="AA20" s="639">
        <f>SUM(AA18:AA19)</f>
        <v>828024</v>
      </c>
      <c r="AB20" s="353">
        <f>SUM(AB18:AB19)</f>
        <v>857150</v>
      </c>
      <c r="AC20" s="353">
        <f>SUM(AC18:AC19)</f>
        <v>859106</v>
      </c>
      <c r="AD20" s="712">
        <f t="shared" si="9"/>
        <v>1956</v>
      </c>
      <c r="AE20" s="161"/>
      <c r="AF20" s="109"/>
      <c r="AG20" s="161"/>
      <c r="AH20" s="161"/>
      <c r="AI20" s="161"/>
      <c r="AJ20" s="161"/>
      <c r="AK20" s="161"/>
      <c r="AL20" s="161"/>
      <c r="AM20" s="161"/>
      <c r="AN20" s="161"/>
      <c r="AO20" s="161"/>
      <c r="AP20" s="161"/>
      <c r="AQ20" s="161"/>
      <c r="AR20" s="161"/>
      <c r="AT20" s="109"/>
      <c r="AU20" s="161"/>
      <c r="AV20" s="161"/>
      <c r="AW20" s="109"/>
      <c r="AX20" s="161"/>
      <c r="AY20" s="161"/>
      <c r="AZ20" s="161"/>
      <c r="BA20" s="161"/>
      <c r="BB20" s="161"/>
      <c r="BC20" s="161"/>
      <c r="BD20" s="161"/>
      <c r="BE20" s="161"/>
      <c r="BF20" s="161"/>
    </row>
    <row r="21" spans="1:60" ht="13.8" x14ac:dyDescent="0.25">
      <c r="A21" s="886" t="s">
        <v>695</v>
      </c>
      <c r="B21" s="640">
        <f>B24-B20</f>
        <v>765069</v>
      </c>
      <c r="C21" s="350">
        <f>C24-C20</f>
        <v>923508</v>
      </c>
      <c r="D21" s="350">
        <f>D24-D20</f>
        <v>954103</v>
      </c>
      <c r="E21" s="416">
        <f t="shared" si="3"/>
        <v>30595</v>
      </c>
      <c r="F21" s="637">
        <v>-324876</v>
      </c>
      <c r="G21" s="350">
        <v>-280789</v>
      </c>
      <c r="H21" s="1219">
        <f>-H20</f>
        <v>-281454</v>
      </c>
      <c r="I21" s="416">
        <f t="shared" si="4"/>
        <v>-665</v>
      </c>
      <c r="J21" s="637"/>
      <c r="K21" s="349"/>
      <c r="L21" s="709"/>
      <c r="M21" s="416">
        <f t="shared" si="5"/>
        <v>0</v>
      </c>
      <c r="N21" s="886" t="s">
        <v>695</v>
      </c>
      <c r="O21" s="885">
        <f>2443264+4983</f>
        <v>2448247</v>
      </c>
      <c r="P21" s="350">
        <v>4773796</v>
      </c>
      <c r="Q21" s="1219">
        <f>'2.sz.tábla   (2)'!D72-'2.sz.tábla   (2)'!D6-'2.sz.tábla   (2)'!D21</f>
        <v>4761728</v>
      </c>
      <c r="R21" s="416">
        <f t="shared" si="6"/>
        <v>-12068</v>
      </c>
      <c r="S21" s="637">
        <v>682920</v>
      </c>
      <c r="T21" s="350">
        <v>852305</v>
      </c>
      <c r="U21" s="1219">
        <f>'2.sz.tábla   (2)'!D74</f>
        <v>852305</v>
      </c>
      <c r="V21" s="416">
        <f t="shared" si="7"/>
        <v>0</v>
      </c>
      <c r="W21" s="637">
        <v>8600</v>
      </c>
      <c r="X21" s="350">
        <v>662800</v>
      </c>
      <c r="Y21" s="1219">
        <f>'2.sz.tábla   (2)'!D77</f>
        <v>693348</v>
      </c>
      <c r="Z21" s="416">
        <f t="shared" si="8"/>
        <v>30548</v>
      </c>
      <c r="AA21" s="640">
        <f>J21+O21+S21+W21+F21+B21</f>
        <v>3579960</v>
      </c>
      <c r="AB21" s="350">
        <f>K21+P21+T21+X21+G21+C21</f>
        <v>6931620</v>
      </c>
      <c r="AC21" s="350">
        <f>L21+Q21+U21+Y21+H21+D21</f>
        <v>6980030</v>
      </c>
      <c r="AD21" s="711">
        <f t="shared" si="9"/>
        <v>48410</v>
      </c>
      <c r="AE21" s="155"/>
      <c r="AF21" s="113"/>
      <c r="AG21" s="155"/>
      <c r="AH21" s="155"/>
      <c r="AI21" s="155"/>
      <c r="AJ21" s="155"/>
      <c r="AK21" s="155"/>
      <c r="AL21" s="155"/>
      <c r="AM21" s="155"/>
      <c r="AN21" s="155"/>
      <c r="AO21" s="155"/>
      <c r="AP21" s="155"/>
      <c r="AQ21" s="155"/>
      <c r="AR21" s="155"/>
      <c r="AT21" s="113"/>
      <c r="AU21" s="155"/>
      <c r="AV21" s="155"/>
      <c r="AW21" s="113"/>
      <c r="AX21" s="155"/>
      <c r="AY21" s="155"/>
      <c r="AZ21" s="155"/>
      <c r="BA21" s="155"/>
      <c r="BB21" s="155"/>
      <c r="BC21" s="155"/>
      <c r="BD21" s="155"/>
      <c r="BE21" s="155"/>
      <c r="BF21" s="155"/>
    </row>
    <row r="22" spans="1:60" s="110" customFormat="1" ht="14.4" thickBot="1" x14ac:dyDescent="0.3">
      <c r="A22" s="893" t="s">
        <v>952</v>
      </c>
      <c r="B22" s="641">
        <f>SUM(B20:B21)</f>
        <v>1041539</v>
      </c>
      <c r="C22" s="418">
        <f>SUM(C20:C21)</f>
        <v>1207631</v>
      </c>
      <c r="D22" s="418">
        <f>SUM(D20:D21)</f>
        <v>1237561</v>
      </c>
      <c r="E22" s="715">
        <f t="shared" si="3"/>
        <v>29930</v>
      </c>
      <c r="F22" s="641">
        <f>SUM(F20:F21)</f>
        <v>0</v>
      </c>
      <c r="G22" s="418">
        <f>SUM(G20:G21)</f>
        <v>0</v>
      </c>
      <c r="H22" s="1220"/>
      <c r="I22" s="715">
        <f t="shared" si="4"/>
        <v>0</v>
      </c>
      <c r="J22" s="641">
        <f>SUM(J20:J21)</f>
        <v>601346</v>
      </c>
      <c r="K22" s="418">
        <f>SUM(K20:K21)</f>
        <v>564912</v>
      </c>
      <c r="L22" s="418">
        <f>SUM(L20:L21)</f>
        <v>564912</v>
      </c>
      <c r="M22" s="715">
        <f t="shared" si="5"/>
        <v>0</v>
      </c>
      <c r="N22" s="893" t="s">
        <v>952</v>
      </c>
      <c r="O22" s="645">
        <f>SUM(O20:O21)</f>
        <v>2674925</v>
      </c>
      <c r="P22" s="418">
        <f>SUM(P20:P21)</f>
        <v>5015453</v>
      </c>
      <c r="Q22" s="418">
        <f>SUM(Q20:Q21)</f>
        <v>5005341</v>
      </c>
      <c r="R22" s="715">
        <f t="shared" si="6"/>
        <v>-10112</v>
      </c>
      <c r="S22" s="641">
        <f>SUM(S20:S21)</f>
        <v>682920</v>
      </c>
      <c r="T22" s="418">
        <f>SUM(T20:T21)</f>
        <v>902886</v>
      </c>
      <c r="U22" s="418">
        <f>SUM(U20:U21)</f>
        <v>902886</v>
      </c>
      <c r="V22" s="715">
        <f t="shared" si="7"/>
        <v>0</v>
      </c>
      <c r="W22" s="641">
        <f>SUM(W20:W21)</f>
        <v>8600</v>
      </c>
      <c r="X22" s="418">
        <f>SUM(X20:X21)</f>
        <v>662800</v>
      </c>
      <c r="Y22" s="418">
        <f>SUM(Y20:Y21)</f>
        <v>693348</v>
      </c>
      <c r="Z22" s="715">
        <f t="shared" si="8"/>
        <v>30548</v>
      </c>
      <c r="AA22" s="641">
        <f>SUM(AA20:AA21)</f>
        <v>4407984</v>
      </c>
      <c r="AB22" s="418">
        <f>SUM(AB20:AB21)</f>
        <v>7788770</v>
      </c>
      <c r="AC22" s="418">
        <f>SUM(AC20:AC21)</f>
        <v>7839136</v>
      </c>
      <c r="AD22" s="900">
        <f t="shared" si="9"/>
        <v>50366</v>
      </c>
      <c r="AE22" s="149"/>
      <c r="AG22" s="109"/>
      <c r="AH22" s="109"/>
      <c r="AI22" s="161"/>
      <c r="AJ22" s="161"/>
      <c r="AK22" s="161"/>
      <c r="AL22" s="161"/>
      <c r="AM22" s="161"/>
      <c r="AN22" s="161"/>
      <c r="AO22" s="161"/>
      <c r="AP22" s="161"/>
      <c r="AQ22" s="161"/>
      <c r="AR22" s="161"/>
      <c r="AS22" s="161"/>
      <c r="AT22" s="161"/>
      <c r="AV22" s="109"/>
      <c r="AW22" s="161"/>
      <c r="AX22" s="161"/>
      <c r="AY22" s="109"/>
      <c r="AZ22" s="161"/>
      <c r="BA22" s="161"/>
      <c r="BB22" s="161"/>
      <c r="BC22" s="161"/>
      <c r="BD22" s="161"/>
      <c r="BE22" s="161"/>
      <c r="BF22" s="161"/>
      <c r="BG22" s="161"/>
      <c r="BH22" s="161"/>
    </row>
    <row r="24" spans="1:60" x14ac:dyDescent="0.25">
      <c r="B24" s="143">
        <v>1041539</v>
      </c>
      <c r="C24" s="143">
        <v>1207631</v>
      </c>
      <c r="D24" s="143">
        <f>'2.sz.tábla   (2)'!D6+'2.sz.tábla   (2)'!D21</f>
        <v>1237561</v>
      </c>
      <c r="E24" s="143">
        <v>1041539</v>
      </c>
    </row>
  </sheetData>
  <sheetProtection selectLockedCells="1" selectUnlockedCells="1"/>
  <mergeCells count="19">
    <mergeCell ref="S1:AD1"/>
    <mergeCell ref="A2:O2"/>
    <mergeCell ref="S2:AD2"/>
    <mergeCell ref="S6:V6"/>
    <mergeCell ref="W6:Z6"/>
    <mergeCell ref="A1:O1"/>
    <mergeCell ref="A6:A7"/>
    <mergeCell ref="N6:N7"/>
    <mergeCell ref="B6:E6"/>
    <mergeCell ref="F6:I6"/>
    <mergeCell ref="J6:M6"/>
    <mergeCell ref="O6:R6"/>
    <mergeCell ref="BC12:BF12"/>
    <mergeCell ref="AA6:AD6"/>
    <mergeCell ref="AG12:AJ12"/>
    <mergeCell ref="AK12:AN12"/>
    <mergeCell ref="AO12:AR12"/>
    <mergeCell ref="AU12:AW12"/>
    <mergeCell ref="AY12:BB12"/>
  </mergeCells>
  <phoneticPr fontId="28" type="noConversion"/>
  <printOptions horizontalCentered="1"/>
  <pageMargins left="0.23622047244094491" right="0.23622047244094491" top="0.74803149606299213" bottom="0.74803149606299213" header="0.31496062992125984" footer="0.31496062992125984"/>
  <pageSetup paperSize="9" scale="59" firstPageNumber="0" fitToWidth="0" fitToHeight="0" orientation="landscape" r:id="rId1"/>
  <headerFooter alignWithMargins="0">
    <oddHeader>&amp;C&amp;"Arial,Félkövér"&amp;12INTÉZMÉNYEK BEVÉTELEI 2016. ÉV
3. melléklet
az önkormányzat 2016. évi költségvetéséről szóló 8/2016. (II.26.) önkormányzati rendelet
módosításáról szóló 7/2017.(II.24.) önkormányzati rendelethez&amp;R
&amp;P. oldal
ezer forint</oddHeader>
  </headerFooter>
  <colBreaks count="1" manualBreakCount="1">
    <brk id="13"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17"/>
  <sheetViews>
    <sheetView view="pageLayout" topLeftCell="AB1" zoomScaleNormal="68" zoomScaleSheetLayoutView="89" workbookViewId="0">
      <selection activeCell="AB40" sqref="AB40"/>
    </sheetView>
  </sheetViews>
  <sheetFormatPr defaultColWidth="9.109375" defaultRowHeight="13.2" x14ac:dyDescent="0.25"/>
  <cols>
    <col min="1" max="1" width="23.44140625" style="105" customWidth="1"/>
    <col min="2" max="5" width="13.33203125" style="105" customWidth="1"/>
    <col min="6" max="9" width="13.44140625" style="105" customWidth="1"/>
    <col min="10" max="10" width="13" style="105" customWidth="1"/>
    <col min="11" max="12" width="13.109375" style="105" customWidth="1"/>
    <col min="13" max="13" width="13" style="105" customWidth="1"/>
    <col min="14" max="14" width="12.109375" style="105" customWidth="1"/>
    <col min="15" max="16" width="13.5546875" style="105" customWidth="1"/>
    <col min="17" max="17" width="12.109375" style="105" customWidth="1"/>
    <col min="18" max="21" width="0" style="105" hidden="1" customWidth="1"/>
    <col min="22" max="22" width="24.44140625" style="105" customWidth="1"/>
    <col min="23" max="26" width="13.33203125" style="105" customWidth="1"/>
    <col min="27" max="30" width="14.33203125" style="105" customWidth="1"/>
    <col min="31" max="34" width="13" style="105" customWidth="1"/>
    <col min="35" max="35" width="12.6640625" style="105" customWidth="1"/>
    <col min="36" max="37" width="13" style="105" customWidth="1"/>
    <col min="38" max="38" width="12.6640625" style="105" customWidth="1"/>
    <col min="39" max="39" width="26.44140625" style="105" customWidth="1"/>
    <col min="40" max="47" width="13.6640625" style="105" customWidth="1"/>
    <col min="48" max="51" width="14.109375" style="105" customWidth="1"/>
    <col min="52" max="52" width="9.88671875" style="105" customWidth="1"/>
    <col min="53" max="16384" width="9.109375" style="105"/>
  </cols>
  <sheetData>
    <row r="1" spans="1:52" ht="46.5" customHeight="1" thickBot="1" x14ac:dyDescent="0.3">
      <c r="A1" s="1635" t="s">
        <v>307</v>
      </c>
      <c r="B1" s="1642" t="s">
        <v>953</v>
      </c>
      <c r="C1" s="1642"/>
      <c r="D1" s="1642"/>
      <c r="E1" s="1643"/>
      <c r="F1" s="1622" t="s">
        <v>954</v>
      </c>
      <c r="G1" s="1623"/>
      <c r="H1" s="1624"/>
      <c r="I1" s="1625"/>
      <c r="J1" s="1644" t="s">
        <v>955</v>
      </c>
      <c r="K1" s="1645"/>
      <c r="L1" s="1646"/>
      <c r="M1" s="1647"/>
      <c r="N1" s="1622" t="s">
        <v>956</v>
      </c>
      <c r="O1" s="1624"/>
      <c r="P1" s="1624"/>
      <c r="Q1" s="1625"/>
      <c r="R1" s="410"/>
      <c r="S1" s="140"/>
      <c r="T1" s="140"/>
      <c r="U1" s="419"/>
      <c r="V1" s="1635" t="s">
        <v>307</v>
      </c>
      <c r="W1" s="1639" t="s">
        <v>957</v>
      </c>
      <c r="X1" s="1640"/>
      <c r="Y1" s="1640"/>
      <c r="Z1" s="1640"/>
      <c r="AA1" s="1637" t="s">
        <v>958</v>
      </c>
      <c r="AB1" s="1637"/>
      <c r="AC1" s="1638"/>
      <c r="AD1" s="1638"/>
      <c r="AE1" s="1650" t="s">
        <v>959</v>
      </c>
      <c r="AF1" s="1651"/>
      <c r="AG1" s="1652"/>
      <c r="AH1" s="1653"/>
      <c r="AI1" s="1654" t="s">
        <v>960</v>
      </c>
      <c r="AJ1" s="1655"/>
      <c r="AK1" s="1655"/>
      <c r="AL1" s="1656"/>
      <c r="AM1" s="1635" t="s">
        <v>307</v>
      </c>
      <c r="AN1" s="1650" t="s">
        <v>961</v>
      </c>
      <c r="AO1" s="1651"/>
      <c r="AP1" s="1652"/>
      <c r="AQ1" s="1653"/>
      <c r="AR1" s="1657" t="s">
        <v>338</v>
      </c>
      <c r="AS1" s="1638"/>
      <c r="AT1" s="1638"/>
      <c r="AU1" s="1638"/>
      <c r="AV1" s="1648" t="s">
        <v>962</v>
      </c>
      <c r="AW1" s="1638"/>
      <c r="AX1" s="1638"/>
      <c r="AY1" s="1649"/>
    </row>
    <row r="2" spans="1:52" s="163" customFormat="1" ht="52.5" customHeight="1" thickBot="1" x14ac:dyDescent="0.3">
      <c r="A2" s="1636"/>
      <c r="B2" s="817" t="s">
        <v>659</v>
      </c>
      <c r="C2" s="347" t="s">
        <v>52</v>
      </c>
      <c r="D2" s="347" t="s">
        <v>800</v>
      </c>
      <c r="E2" s="843" t="s">
        <v>660</v>
      </c>
      <c r="F2" s="817" t="s">
        <v>659</v>
      </c>
      <c r="G2" s="347" t="s">
        <v>52</v>
      </c>
      <c r="H2" s="347" t="s">
        <v>800</v>
      </c>
      <c r="I2" s="346" t="s">
        <v>660</v>
      </c>
      <c r="J2" s="846" t="s">
        <v>659</v>
      </c>
      <c r="K2" s="347" t="s">
        <v>52</v>
      </c>
      <c r="L2" s="347" t="s">
        <v>800</v>
      </c>
      <c r="M2" s="843" t="s">
        <v>660</v>
      </c>
      <c r="N2" s="817" t="s">
        <v>659</v>
      </c>
      <c r="O2" s="347" t="s">
        <v>52</v>
      </c>
      <c r="P2" s="347" t="s">
        <v>800</v>
      </c>
      <c r="Q2" s="346" t="s">
        <v>660</v>
      </c>
      <c r="R2" s="411"/>
      <c r="S2" s="338"/>
      <c r="T2" s="338"/>
      <c r="U2" s="420"/>
      <c r="V2" s="1641"/>
      <c r="W2" s="846" t="s">
        <v>659</v>
      </c>
      <c r="X2" s="347" t="s">
        <v>52</v>
      </c>
      <c r="Y2" s="347" t="s">
        <v>800</v>
      </c>
      <c r="Z2" s="843" t="s">
        <v>660</v>
      </c>
      <c r="AA2" s="817" t="s">
        <v>659</v>
      </c>
      <c r="AB2" s="347" t="s">
        <v>52</v>
      </c>
      <c r="AC2" s="347" t="s">
        <v>800</v>
      </c>
      <c r="AD2" s="843" t="s">
        <v>660</v>
      </c>
      <c r="AE2" s="817" t="s">
        <v>659</v>
      </c>
      <c r="AF2" s="347" t="s">
        <v>52</v>
      </c>
      <c r="AG2" s="347" t="s">
        <v>800</v>
      </c>
      <c r="AH2" s="843" t="s">
        <v>660</v>
      </c>
      <c r="AI2" s="817" t="s">
        <v>659</v>
      </c>
      <c r="AJ2" s="347" t="s">
        <v>52</v>
      </c>
      <c r="AK2" s="347" t="s">
        <v>800</v>
      </c>
      <c r="AL2" s="346" t="s">
        <v>660</v>
      </c>
      <c r="AM2" s="1641"/>
      <c r="AN2" s="846" t="s">
        <v>659</v>
      </c>
      <c r="AO2" s="347" t="s">
        <v>52</v>
      </c>
      <c r="AP2" s="347" t="s">
        <v>800</v>
      </c>
      <c r="AQ2" s="843" t="s">
        <v>660</v>
      </c>
      <c r="AR2" s="817" t="s">
        <v>659</v>
      </c>
      <c r="AS2" s="347" t="s">
        <v>52</v>
      </c>
      <c r="AT2" s="347" t="s">
        <v>800</v>
      </c>
      <c r="AU2" s="843" t="s">
        <v>660</v>
      </c>
      <c r="AV2" s="817" t="s">
        <v>659</v>
      </c>
      <c r="AW2" s="347" t="s">
        <v>52</v>
      </c>
      <c r="AX2" s="347" t="s">
        <v>800</v>
      </c>
      <c r="AY2" s="346" t="s">
        <v>660</v>
      </c>
    </row>
    <row r="3" spans="1:52" ht="20.100000000000001" customHeight="1" x14ac:dyDescent="0.25">
      <c r="A3" s="897" t="s">
        <v>963</v>
      </c>
      <c r="B3" s="636">
        <v>11401</v>
      </c>
      <c r="C3" s="901">
        <v>12260</v>
      </c>
      <c r="D3" s="901">
        <v>12196</v>
      </c>
      <c r="E3" s="635">
        <f>D3-C3</f>
        <v>-64</v>
      </c>
      <c r="F3" s="636">
        <v>3141</v>
      </c>
      <c r="G3" s="901">
        <v>3373</v>
      </c>
      <c r="H3" s="901">
        <v>3255</v>
      </c>
      <c r="I3" s="635">
        <f>H3-G3</f>
        <v>-118</v>
      </c>
      <c r="J3" s="650">
        <v>56287</v>
      </c>
      <c r="K3" s="471">
        <v>56435</v>
      </c>
      <c r="L3" s="471">
        <v>52173</v>
      </c>
      <c r="M3" s="649">
        <f>L3-K3</f>
        <v>-4262</v>
      </c>
      <c r="N3" s="650"/>
      <c r="O3" s="649"/>
      <c r="P3" s="649"/>
      <c r="Q3" s="632">
        <f>P3-O3</f>
        <v>0</v>
      </c>
      <c r="R3" s="406"/>
      <c r="S3" s="336"/>
      <c r="T3" s="336"/>
      <c r="U3" s="337"/>
      <c r="V3" s="897" t="s">
        <v>939</v>
      </c>
      <c r="W3" s="894"/>
      <c r="X3" s="797"/>
      <c r="Y3" s="797">
        <v>4444</v>
      </c>
      <c r="Z3" s="632">
        <f>Y3-X3</f>
        <v>4444</v>
      </c>
      <c r="AA3" s="650">
        <f>200+800</f>
        <v>1000</v>
      </c>
      <c r="AB3" s="802">
        <v>1016</v>
      </c>
      <c r="AC3" s="802">
        <f>'4a. sz. tábla  (3)'!E5</f>
        <v>1016</v>
      </c>
      <c r="AD3" s="632">
        <f>AC3-AB3</f>
        <v>0</v>
      </c>
      <c r="AE3" s="650"/>
      <c r="AF3" s="802"/>
      <c r="AG3" s="802"/>
      <c r="AH3" s="632">
        <f>AG3-AF3</f>
        <v>0</v>
      </c>
      <c r="AI3" s="650"/>
      <c r="AJ3" s="802"/>
      <c r="AK3" s="802"/>
      <c r="AL3" s="632">
        <f>AK3-AJ3</f>
        <v>0</v>
      </c>
      <c r="AM3" s="897" t="s">
        <v>963</v>
      </c>
      <c r="AN3" s="894"/>
      <c r="AO3" s="802"/>
      <c r="AP3" s="802"/>
      <c r="AQ3" s="632">
        <f>AP3-AO3</f>
        <v>0</v>
      </c>
      <c r="AR3" s="650"/>
      <c r="AS3" s="802"/>
      <c r="AT3" s="802"/>
      <c r="AU3" s="649">
        <f>AT3-AS3</f>
        <v>0</v>
      </c>
      <c r="AV3" s="842">
        <f t="shared" ref="AV3:AX8" si="0">SUM(AE3,AI3,AN3,AA3,W3,N3,J3,F3,B3)</f>
        <v>71829</v>
      </c>
      <c r="AW3" s="642">
        <f t="shared" si="0"/>
        <v>73084</v>
      </c>
      <c r="AX3" s="642">
        <f>SUM(AG3,AK3,AP3,AC3,Y3,P3,L3,H3,D3)</f>
        <v>73084</v>
      </c>
      <c r="AY3" s="634">
        <f>AX3-AW3</f>
        <v>0</v>
      </c>
    </row>
    <row r="4" spans="1:52" ht="20.100000000000001" customHeight="1" x14ac:dyDescent="0.25">
      <c r="A4" s="886" t="s">
        <v>940</v>
      </c>
      <c r="B4" s="637">
        <v>10730</v>
      </c>
      <c r="C4" s="709">
        <v>13722</v>
      </c>
      <c r="D4" s="709">
        <v>13600</v>
      </c>
      <c r="E4" s="416">
        <f>D4-C4</f>
        <v>-122</v>
      </c>
      <c r="F4" s="637">
        <v>2950</v>
      </c>
      <c r="G4" s="709">
        <v>3760</v>
      </c>
      <c r="H4" s="709">
        <v>3693</v>
      </c>
      <c r="I4" s="416">
        <f>H4-G4</f>
        <v>-67</v>
      </c>
      <c r="J4" s="637">
        <v>48857</v>
      </c>
      <c r="K4" s="471">
        <v>48707</v>
      </c>
      <c r="L4" s="471">
        <v>47568</v>
      </c>
      <c r="M4" s="649">
        <f>L4-K4</f>
        <v>-1139</v>
      </c>
      <c r="N4" s="637"/>
      <c r="O4" s="649"/>
      <c r="P4" s="649"/>
      <c r="Q4" s="632">
        <f>P4-O4</f>
        <v>0</v>
      </c>
      <c r="R4" s="407"/>
      <c r="S4" s="137"/>
      <c r="T4" s="137"/>
      <c r="U4" s="139"/>
      <c r="V4" s="886" t="s">
        <v>940</v>
      </c>
      <c r="W4" s="885"/>
      <c r="X4" s="796"/>
      <c r="Y4" s="796">
        <v>2384</v>
      </c>
      <c r="Z4" s="632">
        <f>Y4-X4</f>
        <v>2384</v>
      </c>
      <c r="AA4" s="637">
        <f>127+800</f>
        <v>927</v>
      </c>
      <c r="AB4" s="802">
        <v>798</v>
      </c>
      <c r="AC4" s="802">
        <f>'4a. sz. tábla  (3)'!E15</f>
        <v>603</v>
      </c>
      <c r="AD4" s="632">
        <f>AC4-AB4</f>
        <v>-195</v>
      </c>
      <c r="AE4" s="637"/>
      <c r="AF4" s="802"/>
      <c r="AG4" s="802"/>
      <c r="AH4" s="632">
        <f t="shared" ref="AH4:AH17" si="1">AG4-AF4</f>
        <v>0</v>
      </c>
      <c r="AI4" s="637"/>
      <c r="AJ4" s="802"/>
      <c r="AK4" s="802"/>
      <c r="AL4" s="632">
        <f t="shared" ref="AL4:AL17" si="2">AK4-AJ4</f>
        <v>0</v>
      </c>
      <c r="AM4" s="886" t="s">
        <v>940</v>
      </c>
      <c r="AN4" s="885"/>
      <c r="AO4" s="802"/>
      <c r="AP4" s="802"/>
      <c r="AQ4" s="632">
        <f t="shared" ref="AQ4:AQ17" si="3">AP4-AO4</f>
        <v>0</v>
      </c>
      <c r="AR4" s="637"/>
      <c r="AS4" s="802"/>
      <c r="AT4" s="802"/>
      <c r="AU4" s="649">
        <f t="shared" ref="AU4:AU17" si="4">AT4-AS4</f>
        <v>0</v>
      </c>
      <c r="AV4" s="640">
        <f t="shared" si="0"/>
        <v>63464</v>
      </c>
      <c r="AW4" s="643">
        <f t="shared" si="0"/>
        <v>66987</v>
      </c>
      <c r="AX4" s="643">
        <f t="shared" si="0"/>
        <v>67848</v>
      </c>
      <c r="AY4" s="634">
        <f t="shared" ref="AY4:AY17" si="5">AX4-AW4</f>
        <v>861</v>
      </c>
    </row>
    <row r="5" spans="1:52" s="110" customFormat="1" ht="29.25" customHeight="1" x14ac:dyDescent="0.25">
      <c r="A5" s="887" t="s">
        <v>941</v>
      </c>
      <c r="B5" s="637">
        <v>832</v>
      </c>
      <c r="C5" s="709">
        <v>881</v>
      </c>
      <c r="D5" s="709">
        <v>892</v>
      </c>
      <c r="E5" s="416">
        <f t="shared" ref="E5:E17" si="6">D5-C5</f>
        <v>11</v>
      </c>
      <c r="F5" s="637">
        <v>228</v>
      </c>
      <c r="G5" s="709">
        <v>241</v>
      </c>
      <c r="H5" s="709">
        <v>244</v>
      </c>
      <c r="I5" s="416">
        <f t="shared" ref="I5:I17" si="7">H5-G5</f>
        <v>3</v>
      </c>
      <c r="J5" s="637">
        <v>4783</v>
      </c>
      <c r="K5" s="649">
        <v>5047</v>
      </c>
      <c r="L5" s="649">
        <v>4497</v>
      </c>
      <c r="M5" s="649">
        <f t="shared" ref="M5:M17" si="8">L5-K5</f>
        <v>-550</v>
      </c>
      <c r="N5" s="637"/>
      <c r="O5" s="649"/>
      <c r="P5" s="649"/>
      <c r="Q5" s="632">
        <f>P5-O5</f>
        <v>0</v>
      </c>
      <c r="R5" s="412"/>
      <c r="S5" s="150"/>
      <c r="T5" s="150"/>
      <c r="U5" s="148"/>
      <c r="V5" s="887" t="s">
        <v>941</v>
      </c>
      <c r="W5" s="885"/>
      <c r="X5" s="710"/>
      <c r="Y5" s="709">
        <v>981</v>
      </c>
      <c r="Z5" s="632">
        <f t="shared" ref="Z5:Z17" si="9">Y5-X5</f>
        <v>981</v>
      </c>
      <c r="AA5" s="637">
        <f>44+100</f>
        <v>144</v>
      </c>
      <c r="AB5" s="649">
        <v>144</v>
      </c>
      <c r="AC5" s="649">
        <f>'4a. sz. tábla  (3)'!E24</f>
        <v>143</v>
      </c>
      <c r="AD5" s="632">
        <f t="shared" ref="AD5:AD17" si="10">AC5-AB5</f>
        <v>-1</v>
      </c>
      <c r="AE5" s="637"/>
      <c r="AF5" s="651"/>
      <c r="AG5" s="651"/>
      <c r="AH5" s="632">
        <f t="shared" si="1"/>
        <v>0</v>
      </c>
      <c r="AI5" s="637"/>
      <c r="AJ5" s="651"/>
      <c r="AK5" s="651"/>
      <c r="AL5" s="632">
        <f t="shared" si="2"/>
        <v>0</v>
      </c>
      <c r="AM5" s="887" t="s">
        <v>941</v>
      </c>
      <c r="AN5" s="885"/>
      <c r="AO5" s="651"/>
      <c r="AP5" s="651"/>
      <c r="AQ5" s="632">
        <f t="shared" si="3"/>
        <v>0</v>
      </c>
      <c r="AR5" s="637"/>
      <c r="AS5" s="651"/>
      <c r="AT5" s="651"/>
      <c r="AU5" s="649">
        <f t="shared" si="4"/>
        <v>0</v>
      </c>
      <c r="AV5" s="640">
        <f t="shared" si="0"/>
        <v>5987</v>
      </c>
      <c r="AW5" s="643">
        <f t="shared" si="0"/>
        <v>6313</v>
      </c>
      <c r="AX5" s="643">
        <f t="shared" si="0"/>
        <v>6757</v>
      </c>
      <c r="AY5" s="634">
        <f t="shared" si="5"/>
        <v>444</v>
      </c>
    </row>
    <row r="6" spans="1:52" ht="20.100000000000001" customHeight="1" x14ac:dyDescent="0.25">
      <c r="A6" s="886" t="s">
        <v>942</v>
      </c>
      <c r="B6" s="637">
        <v>7370</v>
      </c>
      <c r="C6" s="709">
        <v>8652</v>
      </c>
      <c r="D6" s="709">
        <v>8874</v>
      </c>
      <c r="E6" s="416">
        <f t="shared" si="6"/>
        <v>222</v>
      </c>
      <c r="F6" s="637">
        <v>1999</v>
      </c>
      <c r="G6" s="709">
        <v>2345</v>
      </c>
      <c r="H6" s="709">
        <v>2370</v>
      </c>
      <c r="I6" s="416">
        <f t="shared" si="7"/>
        <v>25</v>
      </c>
      <c r="J6" s="637">
        <v>39418</v>
      </c>
      <c r="K6" s="471">
        <v>41855</v>
      </c>
      <c r="L6" s="471">
        <v>39133</v>
      </c>
      <c r="M6" s="649">
        <f t="shared" si="8"/>
        <v>-2722</v>
      </c>
      <c r="N6" s="637"/>
      <c r="O6" s="802"/>
      <c r="P6" s="802"/>
      <c r="Q6" s="632">
        <f t="shared" ref="Q6:Q17" si="11">P6-O6</f>
        <v>0</v>
      </c>
      <c r="R6" s="413" t="e">
        <f>#REF!-#REF!</f>
        <v>#REF!</v>
      </c>
      <c r="S6" s="147" t="e">
        <f>R6-#REF!</f>
        <v>#REF!</v>
      </c>
      <c r="T6" s="147" t="e">
        <f>S6-R6</f>
        <v>#REF!</v>
      </c>
      <c r="U6" s="146" t="e">
        <f>T6-S6</f>
        <v>#REF!</v>
      </c>
      <c r="V6" s="886" t="s">
        <v>942</v>
      </c>
      <c r="W6" s="885"/>
      <c r="X6" s="796"/>
      <c r="Y6" s="796">
        <v>2941</v>
      </c>
      <c r="Z6" s="632">
        <f t="shared" si="9"/>
        <v>2941</v>
      </c>
      <c r="AA6" s="637">
        <f>127+800</f>
        <v>927</v>
      </c>
      <c r="AB6" s="802">
        <v>927</v>
      </c>
      <c r="AC6" s="802">
        <f>'4a. sz. tábla  (3)'!E31</f>
        <v>461</v>
      </c>
      <c r="AD6" s="632">
        <f t="shared" si="10"/>
        <v>-466</v>
      </c>
      <c r="AE6" s="637"/>
      <c r="AF6" s="802"/>
      <c r="AG6" s="802"/>
      <c r="AH6" s="632">
        <f t="shared" si="1"/>
        <v>0</v>
      </c>
      <c r="AI6" s="637"/>
      <c r="AJ6" s="802"/>
      <c r="AK6" s="802"/>
      <c r="AL6" s="632">
        <f t="shared" si="2"/>
        <v>0</v>
      </c>
      <c r="AM6" s="886" t="s">
        <v>942</v>
      </c>
      <c r="AN6" s="885"/>
      <c r="AO6" s="802"/>
      <c r="AP6" s="802"/>
      <c r="AQ6" s="632">
        <f t="shared" si="3"/>
        <v>0</v>
      </c>
      <c r="AR6" s="637"/>
      <c r="AS6" s="802"/>
      <c r="AT6" s="802"/>
      <c r="AU6" s="649">
        <f t="shared" si="4"/>
        <v>0</v>
      </c>
      <c r="AV6" s="640">
        <f t="shared" si="0"/>
        <v>49714</v>
      </c>
      <c r="AW6" s="643">
        <f t="shared" si="0"/>
        <v>53779</v>
      </c>
      <c r="AX6" s="643">
        <f t="shared" si="0"/>
        <v>53779</v>
      </c>
      <c r="AY6" s="634">
        <f t="shared" si="5"/>
        <v>0</v>
      </c>
    </row>
    <row r="7" spans="1:52" ht="18.75" customHeight="1" x14ac:dyDescent="0.25">
      <c r="A7" s="886" t="s">
        <v>943</v>
      </c>
      <c r="B7" s="637">
        <v>1464</v>
      </c>
      <c r="C7" s="709">
        <v>1561</v>
      </c>
      <c r="D7" s="709">
        <v>1548</v>
      </c>
      <c r="E7" s="416">
        <f t="shared" si="6"/>
        <v>-13</v>
      </c>
      <c r="F7" s="637">
        <v>418</v>
      </c>
      <c r="G7" s="709">
        <v>444</v>
      </c>
      <c r="H7" s="709">
        <v>423</v>
      </c>
      <c r="I7" s="416">
        <f t="shared" si="7"/>
        <v>-21</v>
      </c>
      <c r="J7" s="637">
        <v>5485</v>
      </c>
      <c r="K7" s="471">
        <v>5922</v>
      </c>
      <c r="L7" s="471">
        <v>6525</v>
      </c>
      <c r="M7" s="649">
        <f t="shared" si="8"/>
        <v>603</v>
      </c>
      <c r="N7" s="637"/>
      <c r="O7" s="802"/>
      <c r="P7" s="802"/>
      <c r="Q7" s="632">
        <f t="shared" si="11"/>
        <v>0</v>
      </c>
      <c r="R7" s="407"/>
      <c r="S7" s="137"/>
      <c r="T7" s="137"/>
      <c r="U7" s="139"/>
      <c r="V7" s="886" t="s">
        <v>943</v>
      </c>
      <c r="W7" s="885"/>
      <c r="X7" s="796"/>
      <c r="Y7" s="796">
        <v>43</v>
      </c>
      <c r="Z7" s="632">
        <f t="shared" si="9"/>
        <v>43</v>
      </c>
      <c r="AA7" s="637">
        <v>300</v>
      </c>
      <c r="AB7" s="802">
        <v>300</v>
      </c>
      <c r="AC7" s="802">
        <f>'4a. sz. tábla  (3)'!E45</f>
        <v>291</v>
      </c>
      <c r="AD7" s="632">
        <f t="shared" si="10"/>
        <v>-9</v>
      </c>
      <c r="AE7" s="637"/>
      <c r="AF7" s="802"/>
      <c r="AG7" s="802"/>
      <c r="AH7" s="632">
        <f t="shared" si="1"/>
        <v>0</v>
      </c>
      <c r="AI7" s="637"/>
      <c r="AJ7" s="802"/>
      <c r="AK7" s="802"/>
      <c r="AL7" s="632">
        <f t="shared" si="2"/>
        <v>0</v>
      </c>
      <c r="AM7" s="886" t="s">
        <v>943</v>
      </c>
      <c r="AN7" s="885"/>
      <c r="AO7" s="802"/>
      <c r="AP7" s="802"/>
      <c r="AQ7" s="632">
        <f t="shared" si="3"/>
        <v>0</v>
      </c>
      <c r="AR7" s="637"/>
      <c r="AS7" s="802"/>
      <c r="AT7" s="802"/>
      <c r="AU7" s="649">
        <f t="shared" si="4"/>
        <v>0</v>
      </c>
      <c r="AV7" s="640">
        <f t="shared" si="0"/>
        <v>7667</v>
      </c>
      <c r="AW7" s="643">
        <f t="shared" si="0"/>
        <v>8227</v>
      </c>
      <c r="AX7" s="1225">
        <f t="shared" si="0"/>
        <v>8830</v>
      </c>
      <c r="AY7" s="634">
        <f t="shared" si="5"/>
        <v>603</v>
      </c>
    </row>
    <row r="8" spans="1:52" ht="20.100000000000001" customHeight="1" x14ac:dyDescent="0.25">
      <c r="A8" s="886" t="s">
        <v>964</v>
      </c>
      <c r="B8" s="637">
        <v>8038</v>
      </c>
      <c r="C8" s="709">
        <v>5859</v>
      </c>
      <c r="D8" s="709">
        <v>5562</v>
      </c>
      <c r="E8" s="416">
        <f t="shared" si="6"/>
        <v>-297</v>
      </c>
      <c r="F8" s="637">
        <v>2194</v>
      </c>
      <c r="G8" s="709">
        <v>1597</v>
      </c>
      <c r="H8" s="709">
        <v>1539</v>
      </c>
      <c r="I8" s="416">
        <f t="shared" si="7"/>
        <v>-58</v>
      </c>
      <c r="J8" s="637">
        <v>5100</v>
      </c>
      <c r="K8" s="471">
        <v>1886</v>
      </c>
      <c r="L8" s="471">
        <v>2398</v>
      </c>
      <c r="M8" s="649">
        <f t="shared" si="8"/>
        <v>512</v>
      </c>
      <c r="N8" s="637"/>
      <c r="O8" s="649"/>
      <c r="P8" s="649"/>
      <c r="Q8" s="632">
        <f t="shared" si="11"/>
        <v>0</v>
      </c>
      <c r="R8" s="407"/>
      <c r="S8" s="137"/>
      <c r="T8" s="137"/>
      <c r="U8" s="139"/>
      <c r="V8" s="886" t="s">
        <v>964</v>
      </c>
      <c r="W8" s="885"/>
      <c r="X8" s="796"/>
      <c r="Y8" s="796">
        <v>0</v>
      </c>
      <c r="Z8" s="632">
        <f t="shared" si="9"/>
        <v>0</v>
      </c>
      <c r="AA8" s="637">
        <v>150</v>
      </c>
      <c r="AB8" s="802">
        <v>134</v>
      </c>
      <c r="AC8" s="802">
        <v>0</v>
      </c>
      <c r="AD8" s="632">
        <f t="shared" si="10"/>
        <v>-134</v>
      </c>
      <c r="AE8" s="637"/>
      <c r="AF8" s="802"/>
      <c r="AG8" s="802"/>
      <c r="AH8" s="632">
        <f t="shared" si="1"/>
        <v>0</v>
      </c>
      <c r="AI8" s="637"/>
      <c r="AJ8" s="802"/>
      <c r="AK8" s="802"/>
      <c r="AL8" s="632">
        <f t="shared" si="2"/>
        <v>0</v>
      </c>
      <c r="AM8" s="886" t="s">
        <v>964</v>
      </c>
      <c r="AN8" s="885"/>
      <c r="AO8" s="802"/>
      <c r="AP8" s="802"/>
      <c r="AQ8" s="632">
        <f t="shared" si="3"/>
        <v>0</v>
      </c>
      <c r="AR8" s="637"/>
      <c r="AS8" s="802"/>
      <c r="AT8" s="802"/>
      <c r="AU8" s="649">
        <f t="shared" si="4"/>
        <v>0</v>
      </c>
      <c r="AV8" s="640">
        <f t="shared" si="0"/>
        <v>15482</v>
      </c>
      <c r="AW8" s="643">
        <f t="shared" si="0"/>
        <v>9476</v>
      </c>
      <c r="AX8" s="643">
        <f t="shared" si="0"/>
        <v>9499</v>
      </c>
      <c r="AY8" s="634">
        <f t="shared" si="5"/>
        <v>23</v>
      </c>
    </row>
    <row r="9" spans="1:52" s="110" customFormat="1" ht="29.25" customHeight="1" x14ac:dyDescent="0.25">
      <c r="A9" s="928" t="s">
        <v>945</v>
      </c>
      <c r="B9" s="638">
        <f>SUM(B3:B8)</f>
        <v>39835</v>
      </c>
      <c r="C9" s="351">
        <f>SUM(C3:C8)</f>
        <v>42935</v>
      </c>
      <c r="D9" s="351">
        <f>SUM(D3:D8)</f>
        <v>42672</v>
      </c>
      <c r="E9" s="546">
        <f t="shared" si="6"/>
        <v>-263</v>
      </c>
      <c r="F9" s="638">
        <f>SUM(F3:F8)</f>
        <v>10930</v>
      </c>
      <c r="G9" s="351">
        <f>SUM(G3:G8)</f>
        <v>11760</v>
      </c>
      <c r="H9" s="351">
        <f>SUM(H3:H8)</f>
        <v>11524</v>
      </c>
      <c r="I9" s="546">
        <f t="shared" si="7"/>
        <v>-236</v>
      </c>
      <c r="J9" s="638">
        <f>SUM(J3:J8)</f>
        <v>159930</v>
      </c>
      <c r="K9" s="351">
        <f>SUM(K3:K8)</f>
        <v>159852</v>
      </c>
      <c r="L9" s="351">
        <f>SUM(L3:L8)</f>
        <v>152294</v>
      </c>
      <c r="M9" s="651">
        <f t="shared" si="8"/>
        <v>-7558</v>
      </c>
      <c r="N9" s="638">
        <f>SUM(N3:N8)</f>
        <v>0</v>
      </c>
      <c r="O9" s="351">
        <f>SUM(O3:O8)</f>
        <v>0</v>
      </c>
      <c r="P9" s="651"/>
      <c r="Q9" s="647">
        <f t="shared" si="11"/>
        <v>0</v>
      </c>
      <c r="R9" s="412" t="e">
        <f>SUM(R3:R8)</f>
        <v>#REF!</v>
      </c>
      <c r="S9" s="150" t="e">
        <f>SUM(S3:S8)</f>
        <v>#REF!</v>
      </c>
      <c r="T9" s="150" t="e">
        <f>SUM(T3:T8)</f>
        <v>#REF!</v>
      </c>
      <c r="U9" s="148" t="e">
        <f>SUM(U3:U8)</f>
        <v>#REF!</v>
      </c>
      <c r="V9" s="888" t="s">
        <v>945</v>
      </c>
      <c r="W9" s="644">
        <f>SUM(W3:W8)</f>
        <v>0</v>
      </c>
      <c r="X9" s="351">
        <f>SUM(X3:X8)</f>
        <v>0</v>
      </c>
      <c r="Y9" s="351">
        <f>SUM(Y3:Y8)</f>
        <v>10793</v>
      </c>
      <c r="Z9" s="647">
        <f t="shared" si="9"/>
        <v>10793</v>
      </c>
      <c r="AA9" s="638">
        <f>SUM(AA3:AA8)</f>
        <v>3448</v>
      </c>
      <c r="AB9" s="351">
        <f>SUM(AB3:AB8)</f>
        <v>3319</v>
      </c>
      <c r="AC9" s="351">
        <f>SUM(AC3:AC8)</f>
        <v>2514</v>
      </c>
      <c r="AD9" s="647">
        <f t="shared" si="10"/>
        <v>-805</v>
      </c>
      <c r="AE9" s="638">
        <f>SUM(AE3:AE8)</f>
        <v>0</v>
      </c>
      <c r="AF9" s="351">
        <f>SUM(AF3:AF8)</f>
        <v>0</v>
      </c>
      <c r="AG9" s="651"/>
      <c r="AH9" s="647">
        <f t="shared" si="1"/>
        <v>0</v>
      </c>
      <c r="AI9" s="638">
        <f>SUM(AI3:AI8)</f>
        <v>0</v>
      </c>
      <c r="AJ9" s="351">
        <f>SUM(AJ3:AJ8)</f>
        <v>0</v>
      </c>
      <c r="AK9" s="651"/>
      <c r="AL9" s="647">
        <f t="shared" si="2"/>
        <v>0</v>
      </c>
      <c r="AM9" s="888" t="s">
        <v>945</v>
      </c>
      <c r="AN9" s="644">
        <f>SUM(AN3:AN8)</f>
        <v>0</v>
      </c>
      <c r="AO9" s="351">
        <f>SUM(AO3:AO8)</f>
        <v>0</v>
      </c>
      <c r="AP9" s="651"/>
      <c r="AQ9" s="647">
        <f t="shared" si="3"/>
        <v>0</v>
      </c>
      <c r="AR9" s="638">
        <f>SUM(AR3:AR8)</f>
        <v>0</v>
      </c>
      <c r="AS9" s="351">
        <f>SUM(AS3:AS8)</f>
        <v>0</v>
      </c>
      <c r="AT9" s="651"/>
      <c r="AU9" s="651">
        <f t="shared" si="4"/>
        <v>0</v>
      </c>
      <c r="AV9" s="638">
        <f>SUM(AV3:AV8)</f>
        <v>214143</v>
      </c>
      <c r="AW9" s="644">
        <f>SUM(AW3:AW8)</f>
        <v>217866</v>
      </c>
      <c r="AX9" s="644">
        <f>SUM(AX3:AX8)</f>
        <v>219797</v>
      </c>
      <c r="AY9" s="648">
        <f t="shared" si="5"/>
        <v>1931</v>
      </c>
      <c r="AZ9" s="149"/>
    </row>
    <row r="10" spans="1:52" s="154" customFormat="1" ht="20.100000000000001" customHeight="1" x14ac:dyDescent="0.25">
      <c r="A10" s="889" t="s">
        <v>946</v>
      </c>
      <c r="B10" s="637">
        <v>25437</v>
      </c>
      <c r="C10" s="709">
        <v>28069</v>
      </c>
      <c r="D10" s="709">
        <v>28069</v>
      </c>
      <c r="E10" s="416">
        <f t="shared" si="6"/>
        <v>0</v>
      </c>
      <c r="F10" s="637">
        <v>6824</v>
      </c>
      <c r="G10" s="709">
        <v>7393</v>
      </c>
      <c r="H10" s="709">
        <v>7393</v>
      </c>
      <c r="I10" s="416">
        <f t="shared" si="7"/>
        <v>0</v>
      </c>
      <c r="J10" s="637">
        <v>11138</v>
      </c>
      <c r="K10" s="471">
        <v>12029</v>
      </c>
      <c r="L10" s="471">
        <v>12029</v>
      </c>
      <c r="M10" s="649">
        <f t="shared" si="8"/>
        <v>0</v>
      </c>
      <c r="N10" s="637"/>
      <c r="O10" s="649"/>
      <c r="P10" s="649"/>
      <c r="Q10" s="632">
        <f t="shared" si="11"/>
        <v>0</v>
      </c>
      <c r="R10" s="408"/>
      <c r="S10" s="135"/>
      <c r="T10" s="135"/>
      <c r="U10" s="421"/>
      <c r="V10" s="889" t="s">
        <v>946</v>
      </c>
      <c r="W10" s="885"/>
      <c r="X10" s="791"/>
      <c r="Y10" s="791"/>
      <c r="Z10" s="632">
        <f t="shared" si="9"/>
        <v>0</v>
      </c>
      <c r="AA10" s="637">
        <f>2671+300</f>
        <v>2971</v>
      </c>
      <c r="AB10" s="802">
        <v>4167</v>
      </c>
      <c r="AC10" s="802">
        <f>'4a. sz. tábla  (3)'!E54</f>
        <v>4167</v>
      </c>
      <c r="AD10" s="632">
        <f t="shared" si="10"/>
        <v>0</v>
      </c>
      <c r="AE10" s="637"/>
      <c r="AF10" s="802"/>
      <c r="AG10" s="802"/>
      <c r="AH10" s="632">
        <f t="shared" si="1"/>
        <v>0</v>
      </c>
      <c r="AI10" s="637"/>
      <c r="AJ10" s="802"/>
      <c r="AK10" s="802"/>
      <c r="AL10" s="632">
        <f t="shared" si="2"/>
        <v>0</v>
      </c>
      <c r="AM10" s="889" t="s">
        <v>946</v>
      </c>
      <c r="AN10" s="885"/>
      <c r="AO10" s="802"/>
      <c r="AP10" s="802"/>
      <c r="AQ10" s="632">
        <f t="shared" si="3"/>
        <v>0</v>
      </c>
      <c r="AR10" s="637"/>
      <c r="AS10" s="802"/>
      <c r="AT10" s="802"/>
      <c r="AU10" s="649">
        <f t="shared" si="4"/>
        <v>0</v>
      </c>
      <c r="AV10" s="640">
        <f t="shared" ref="AV10:AX12" si="12">SUM(AE10,AI10,AN10,AA10,W10,N10,J10,F10,B10)</f>
        <v>46370</v>
      </c>
      <c r="AW10" s="643">
        <f t="shared" si="12"/>
        <v>51658</v>
      </c>
      <c r="AX10" s="643">
        <f t="shared" si="12"/>
        <v>51658</v>
      </c>
      <c r="AY10" s="634">
        <f t="shared" si="5"/>
        <v>0</v>
      </c>
      <c r="AZ10" s="149"/>
    </row>
    <row r="11" spans="1:52" ht="20.100000000000001" customHeight="1" x14ac:dyDescent="0.25">
      <c r="A11" s="886" t="s">
        <v>947</v>
      </c>
      <c r="B11" s="637">
        <v>68852</v>
      </c>
      <c r="C11" s="709">
        <v>76834</v>
      </c>
      <c r="D11" s="709">
        <v>76834</v>
      </c>
      <c r="E11" s="416">
        <f t="shared" si="6"/>
        <v>0</v>
      </c>
      <c r="F11" s="637">
        <v>18090</v>
      </c>
      <c r="G11" s="709">
        <v>20815</v>
      </c>
      <c r="H11" s="709">
        <v>20815</v>
      </c>
      <c r="I11" s="416">
        <f t="shared" si="7"/>
        <v>0</v>
      </c>
      <c r="J11" s="637">
        <v>60778</v>
      </c>
      <c r="K11" s="471">
        <v>59908</v>
      </c>
      <c r="L11" s="471">
        <v>59908</v>
      </c>
      <c r="M11" s="649">
        <f t="shared" si="8"/>
        <v>0</v>
      </c>
      <c r="N11" s="637"/>
      <c r="O11" s="649"/>
      <c r="P11" s="649"/>
      <c r="Q11" s="632">
        <f t="shared" si="11"/>
        <v>0</v>
      </c>
      <c r="R11" s="407"/>
      <c r="S11" s="137"/>
      <c r="T11" s="137"/>
      <c r="U11" s="139"/>
      <c r="V11" s="886" t="s">
        <v>947</v>
      </c>
      <c r="W11" s="885"/>
      <c r="X11" s="796"/>
      <c r="Y11" s="796"/>
      <c r="Z11" s="632">
        <f t="shared" si="9"/>
        <v>0</v>
      </c>
      <c r="AA11" s="637">
        <v>400</v>
      </c>
      <c r="AB11" s="802">
        <v>920</v>
      </c>
      <c r="AC11" s="802">
        <f>'4a. sz. tábla  (3)'!E70</f>
        <v>920</v>
      </c>
      <c r="AD11" s="632">
        <f t="shared" si="10"/>
        <v>0</v>
      </c>
      <c r="AE11" s="637"/>
      <c r="AF11" s="802"/>
      <c r="AG11" s="802"/>
      <c r="AH11" s="632">
        <f t="shared" si="1"/>
        <v>0</v>
      </c>
      <c r="AI11" s="637"/>
      <c r="AJ11" s="802"/>
      <c r="AK11" s="802"/>
      <c r="AL11" s="632">
        <f t="shared" si="2"/>
        <v>0</v>
      </c>
      <c r="AM11" s="886" t="s">
        <v>947</v>
      </c>
      <c r="AN11" s="885"/>
      <c r="AO11" s="802"/>
      <c r="AP11" s="802"/>
      <c r="AQ11" s="632">
        <f t="shared" si="3"/>
        <v>0</v>
      </c>
      <c r="AR11" s="637"/>
      <c r="AS11" s="802"/>
      <c r="AT11" s="802"/>
      <c r="AU11" s="649">
        <f t="shared" si="4"/>
        <v>0</v>
      </c>
      <c r="AV11" s="640">
        <f t="shared" si="12"/>
        <v>148120</v>
      </c>
      <c r="AW11" s="643">
        <f t="shared" si="12"/>
        <v>158477</v>
      </c>
      <c r="AX11" s="643">
        <f t="shared" si="12"/>
        <v>158477</v>
      </c>
      <c r="AY11" s="634">
        <f t="shared" si="5"/>
        <v>0</v>
      </c>
      <c r="AZ11" s="149"/>
    </row>
    <row r="12" spans="1:52" s="160" customFormat="1" ht="20.100000000000001" customHeight="1" x14ac:dyDescent="0.25">
      <c r="A12" s="890" t="s">
        <v>965</v>
      </c>
      <c r="B12" s="637">
        <v>32439</v>
      </c>
      <c r="C12" s="799">
        <v>33538</v>
      </c>
      <c r="D12" s="799">
        <v>33538</v>
      </c>
      <c r="E12" s="416">
        <f t="shared" si="6"/>
        <v>0</v>
      </c>
      <c r="F12" s="637">
        <v>8170</v>
      </c>
      <c r="G12" s="799">
        <v>9038</v>
      </c>
      <c r="H12" s="799">
        <v>9038</v>
      </c>
      <c r="I12" s="416">
        <f t="shared" si="7"/>
        <v>0</v>
      </c>
      <c r="J12" s="637">
        <v>12027</v>
      </c>
      <c r="K12" s="801">
        <v>12960</v>
      </c>
      <c r="L12" s="801">
        <v>12960</v>
      </c>
      <c r="M12" s="649">
        <f t="shared" si="8"/>
        <v>0</v>
      </c>
      <c r="N12" s="637"/>
      <c r="O12" s="803"/>
      <c r="P12" s="803"/>
      <c r="Q12" s="632">
        <f t="shared" si="11"/>
        <v>0</v>
      </c>
      <c r="R12" s="409"/>
      <c r="S12" s="156"/>
      <c r="T12" s="156"/>
      <c r="U12" s="157"/>
      <c r="V12" s="890" t="s">
        <v>948</v>
      </c>
      <c r="W12" s="885"/>
      <c r="X12" s="798"/>
      <c r="Y12" s="798"/>
      <c r="Z12" s="632">
        <f t="shared" si="9"/>
        <v>0</v>
      </c>
      <c r="AA12" s="637">
        <v>200</v>
      </c>
      <c r="AB12" s="803">
        <v>400</v>
      </c>
      <c r="AC12" s="803">
        <f>'4a. sz. tábla  (3)'!E63</f>
        <v>400</v>
      </c>
      <c r="AD12" s="632">
        <f t="shared" si="10"/>
        <v>0</v>
      </c>
      <c r="AE12" s="637"/>
      <c r="AF12" s="803"/>
      <c r="AG12" s="803"/>
      <c r="AH12" s="632">
        <f t="shared" si="1"/>
        <v>0</v>
      </c>
      <c r="AI12" s="637"/>
      <c r="AJ12" s="803"/>
      <c r="AK12" s="803"/>
      <c r="AL12" s="632">
        <f t="shared" si="2"/>
        <v>0</v>
      </c>
      <c r="AM12" s="890" t="s">
        <v>965</v>
      </c>
      <c r="AN12" s="885"/>
      <c r="AO12" s="803"/>
      <c r="AP12" s="803"/>
      <c r="AQ12" s="632">
        <f t="shared" si="3"/>
        <v>0</v>
      </c>
      <c r="AR12" s="637"/>
      <c r="AS12" s="803"/>
      <c r="AT12" s="803"/>
      <c r="AU12" s="649">
        <f t="shared" si="4"/>
        <v>0</v>
      </c>
      <c r="AV12" s="417">
        <f t="shared" si="12"/>
        <v>52836</v>
      </c>
      <c r="AW12" s="643">
        <f t="shared" si="12"/>
        <v>55936</v>
      </c>
      <c r="AX12" s="643">
        <f t="shared" si="12"/>
        <v>55936</v>
      </c>
      <c r="AY12" s="634">
        <f t="shared" si="5"/>
        <v>0</v>
      </c>
      <c r="AZ12" s="149"/>
    </row>
    <row r="13" spans="1:52" s="110" customFormat="1" ht="27.9" customHeight="1" x14ac:dyDescent="0.25">
      <c r="A13" s="888" t="s">
        <v>949</v>
      </c>
      <c r="B13" s="639">
        <f>B9+B10+B11+B12</f>
        <v>166563</v>
      </c>
      <c r="C13" s="353">
        <f>C9+C10+C11+C12</f>
        <v>181376</v>
      </c>
      <c r="D13" s="353">
        <f>D9+D10+D11+D12</f>
        <v>181113</v>
      </c>
      <c r="E13" s="546">
        <f t="shared" si="6"/>
        <v>-263</v>
      </c>
      <c r="F13" s="639">
        <f>F9+F10+F11+F12</f>
        <v>44014</v>
      </c>
      <c r="G13" s="353">
        <f t="shared" ref="G13:U13" si="13">G9+G10+G11+G12</f>
        <v>49006</v>
      </c>
      <c r="H13" s="353">
        <f t="shared" si="13"/>
        <v>48770</v>
      </c>
      <c r="I13" s="546">
        <f t="shared" si="7"/>
        <v>-236</v>
      </c>
      <c r="J13" s="639">
        <f>J9+J10+J11+J12</f>
        <v>243873</v>
      </c>
      <c r="K13" s="353">
        <f t="shared" si="13"/>
        <v>244749</v>
      </c>
      <c r="L13" s="353">
        <f t="shared" si="13"/>
        <v>237191</v>
      </c>
      <c r="M13" s="651">
        <f t="shared" si="8"/>
        <v>-7558</v>
      </c>
      <c r="N13" s="639">
        <f>N9+N10+N11+N12</f>
        <v>0</v>
      </c>
      <c r="O13" s="353">
        <f t="shared" si="13"/>
        <v>0</v>
      </c>
      <c r="P13" s="1223"/>
      <c r="Q13" s="647">
        <f t="shared" si="11"/>
        <v>0</v>
      </c>
      <c r="R13" s="547" t="e">
        <f t="shared" si="13"/>
        <v>#REF!</v>
      </c>
      <c r="S13" s="353" t="e">
        <f t="shared" si="13"/>
        <v>#REF!</v>
      </c>
      <c r="T13" s="353" t="e">
        <f t="shared" si="13"/>
        <v>#REF!</v>
      </c>
      <c r="U13" s="548" t="e">
        <f t="shared" si="13"/>
        <v>#REF!</v>
      </c>
      <c r="V13" s="888" t="s">
        <v>949</v>
      </c>
      <c r="W13" s="547">
        <f>W9+W10+W11+W12</f>
        <v>0</v>
      </c>
      <c r="X13" s="353">
        <f>X9+X10+X11+X12</f>
        <v>0</v>
      </c>
      <c r="Y13" s="353">
        <f>Y9+Y10+Y11+Y12</f>
        <v>10793</v>
      </c>
      <c r="Z13" s="647">
        <f t="shared" si="9"/>
        <v>10793</v>
      </c>
      <c r="AA13" s="639">
        <f>AA9+AA10+AA11+AA12</f>
        <v>7019</v>
      </c>
      <c r="AB13" s="353">
        <f>AB9+AB10+AB11+AB12</f>
        <v>8806</v>
      </c>
      <c r="AC13" s="353">
        <f>AC9+AC10+AC11+AC12</f>
        <v>8001</v>
      </c>
      <c r="AD13" s="647">
        <f t="shared" si="10"/>
        <v>-805</v>
      </c>
      <c r="AE13" s="639">
        <f>AE9+AE10+AE11+AE12</f>
        <v>0</v>
      </c>
      <c r="AF13" s="353">
        <f>AF9+AF10+AF11+AF12</f>
        <v>0</v>
      </c>
      <c r="AG13" s="1223"/>
      <c r="AH13" s="647">
        <f t="shared" si="1"/>
        <v>0</v>
      </c>
      <c r="AI13" s="639">
        <f>AI9+AI10+AI11+AI12</f>
        <v>0</v>
      </c>
      <c r="AJ13" s="353">
        <f>AJ9+AJ10+AJ11+AJ12</f>
        <v>0</v>
      </c>
      <c r="AK13" s="1223"/>
      <c r="AL13" s="647">
        <f t="shared" si="2"/>
        <v>0</v>
      </c>
      <c r="AM13" s="888" t="s">
        <v>949</v>
      </c>
      <c r="AN13" s="547">
        <f>AN9+AN10+AN11+AN12</f>
        <v>0</v>
      </c>
      <c r="AO13" s="353">
        <f>AO9+AO10+AO11+AO12</f>
        <v>0</v>
      </c>
      <c r="AP13" s="1223"/>
      <c r="AQ13" s="647">
        <f t="shared" si="3"/>
        <v>0</v>
      </c>
      <c r="AR13" s="639">
        <f>AR9+AR10+AR11+AR12</f>
        <v>0</v>
      </c>
      <c r="AS13" s="353">
        <f>AS9+AS10+AS11+AS12</f>
        <v>0</v>
      </c>
      <c r="AT13" s="1223"/>
      <c r="AU13" s="651">
        <f t="shared" si="4"/>
        <v>0</v>
      </c>
      <c r="AV13" s="639">
        <f>AV9+AV10+AV11+AV12</f>
        <v>461469</v>
      </c>
      <c r="AW13" s="547">
        <f>AW9+AW10+AW11+AW12</f>
        <v>483937</v>
      </c>
      <c r="AX13" s="547">
        <f>AX9+AX10+AX11+AX12</f>
        <v>485868</v>
      </c>
      <c r="AY13" s="648">
        <f t="shared" si="5"/>
        <v>1931</v>
      </c>
      <c r="AZ13" s="149"/>
    </row>
    <row r="14" spans="1:52" s="164" customFormat="1" ht="20.100000000000001" customHeight="1" x14ac:dyDescent="0.25">
      <c r="A14" s="891" t="s">
        <v>950</v>
      </c>
      <c r="B14" s="637">
        <v>218950</v>
      </c>
      <c r="C14" s="800">
        <v>222753</v>
      </c>
      <c r="D14" s="800">
        <f>'5.tábla (2)'!D7</f>
        <v>222753</v>
      </c>
      <c r="E14" s="416">
        <f t="shared" si="6"/>
        <v>0</v>
      </c>
      <c r="F14" s="637">
        <v>63277</v>
      </c>
      <c r="G14" s="800">
        <v>64917</v>
      </c>
      <c r="H14" s="800">
        <f>'5.tábla (2)'!D8</f>
        <v>64917</v>
      </c>
      <c r="I14" s="416">
        <f t="shared" si="7"/>
        <v>0</v>
      </c>
      <c r="J14" s="637">
        <v>79212</v>
      </c>
      <c r="K14" s="471">
        <v>79211</v>
      </c>
      <c r="L14" s="1291">
        <f>'5.tábla (2)'!D9</f>
        <v>79211</v>
      </c>
      <c r="M14" s="649">
        <f t="shared" si="8"/>
        <v>0</v>
      </c>
      <c r="N14" s="637">
        <v>2416</v>
      </c>
      <c r="O14" s="804">
        <v>2439</v>
      </c>
      <c r="P14" s="804">
        <f>'5.tábla (2)'!D15+'5.tábla (2)'!D21</f>
        <v>2439</v>
      </c>
      <c r="Q14" s="632">
        <f t="shared" si="11"/>
        <v>0</v>
      </c>
      <c r="R14" s="414"/>
      <c r="S14" s="5"/>
      <c r="T14" s="5"/>
      <c r="U14" s="422"/>
      <c r="V14" s="891" t="s">
        <v>950</v>
      </c>
      <c r="W14" s="885"/>
      <c r="X14" s="805">
        <v>1011</v>
      </c>
      <c r="Y14" s="805">
        <f>'5.tábla (2)'!D26</f>
        <v>1036</v>
      </c>
      <c r="Z14" s="632">
        <f t="shared" si="9"/>
        <v>25</v>
      </c>
      <c r="AA14" s="637">
        <f>700+2000</f>
        <v>2700</v>
      </c>
      <c r="AB14" s="802">
        <v>2882</v>
      </c>
      <c r="AC14" s="802">
        <f>'4a. sz. tábla  (3)'!E74</f>
        <v>2882</v>
      </c>
      <c r="AD14" s="632">
        <f t="shared" si="10"/>
        <v>0</v>
      </c>
      <c r="AE14" s="637"/>
      <c r="AF14" s="802"/>
      <c r="AG14" s="802"/>
      <c r="AH14" s="632">
        <f t="shared" si="1"/>
        <v>0</v>
      </c>
      <c r="AI14" s="637"/>
      <c r="AJ14" s="802"/>
      <c r="AK14" s="802"/>
      <c r="AL14" s="632">
        <f t="shared" si="2"/>
        <v>0</v>
      </c>
      <c r="AM14" s="891" t="s">
        <v>950</v>
      </c>
      <c r="AN14" s="885"/>
      <c r="AO14" s="804"/>
      <c r="AP14" s="804"/>
      <c r="AQ14" s="632">
        <f t="shared" si="3"/>
        <v>0</v>
      </c>
      <c r="AR14" s="637"/>
      <c r="AS14" s="804"/>
      <c r="AT14" s="804"/>
      <c r="AU14" s="649">
        <f t="shared" si="4"/>
        <v>0</v>
      </c>
      <c r="AV14" s="640">
        <f>SUM(AE14,AI14,AN14,AA14,W14,N14,J14,F14,B14)</f>
        <v>366555</v>
      </c>
      <c r="AW14" s="643">
        <f>SUM(AF14,AJ14,AO14,AB14,X14,O14,K14,G14,C14)</f>
        <v>373213</v>
      </c>
      <c r="AX14" s="643">
        <f>SUM(AG14,AK14,AP14,AC14,Y14,P14,L14,H14,D14)</f>
        <v>373238</v>
      </c>
      <c r="AY14" s="634">
        <f t="shared" si="5"/>
        <v>25</v>
      </c>
      <c r="AZ14" s="149"/>
    </row>
    <row r="15" spans="1:52" s="110" customFormat="1" ht="19.5" customHeight="1" x14ac:dyDescent="0.25">
      <c r="A15" s="892" t="s">
        <v>951</v>
      </c>
      <c r="B15" s="639">
        <f>SUM(B13:B14)</f>
        <v>385513</v>
      </c>
      <c r="C15" s="353">
        <f>SUM(C13:C14)</f>
        <v>404129</v>
      </c>
      <c r="D15" s="353">
        <f>SUM(D13:D14)</f>
        <v>403866</v>
      </c>
      <c r="E15" s="546">
        <f t="shared" si="6"/>
        <v>-263</v>
      </c>
      <c r="F15" s="639">
        <f>SUM(F13:F14)</f>
        <v>107291</v>
      </c>
      <c r="G15" s="353">
        <f>SUM(G13:G14)</f>
        <v>113923</v>
      </c>
      <c r="H15" s="353">
        <f>SUM(H13:H14)</f>
        <v>113687</v>
      </c>
      <c r="I15" s="546">
        <f t="shared" si="7"/>
        <v>-236</v>
      </c>
      <c r="J15" s="639">
        <f>SUM(J13:J14)</f>
        <v>323085</v>
      </c>
      <c r="K15" s="353">
        <f>SUM(K13:K14)</f>
        <v>323960</v>
      </c>
      <c r="L15" s="353">
        <f>SUM(L13:L14)</f>
        <v>316402</v>
      </c>
      <c r="M15" s="651">
        <f t="shared" si="8"/>
        <v>-7558</v>
      </c>
      <c r="N15" s="639">
        <f>SUM(N13:N14)</f>
        <v>2416</v>
      </c>
      <c r="O15" s="353">
        <f>SUM(O13:O14)</f>
        <v>2439</v>
      </c>
      <c r="P15" s="353">
        <f>SUM(P13:P14)</f>
        <v>2439</v>
      </c>
      <c r="Q15" s="647">
        <f t="shared" si="11"/>
        <v>0</v>
      </c>
      <c r="R15" s="415" t="e">
        <f>SUM(R13:R14)</f>
        <v>#REF!</v>
      </c>
      <c r="S15" s="165" t="e">
        <f>SUM(S13:S14)</f>
        <v>#REF!</v>
      </c>
      <c r="T15" s="165" t="e">
        <f>SUM(T13:T14)</f>
        <v>#REF!</v>
      </c>
      <c r="U15" s="423" t="e">
        <f>SUM(U13:U14)</f>
        <v>#REF!</v>
      </c>
      <c r="V15" s="892" t="s">
        <v>951</v>
      </c>
      <c r="W15" s="547">
        <f>SUM(W13:W14)</f>
        <v>0</v>
      </c>
      <c r="X15" s="353">
        <f>SUM(X13:X14)</f>
        <v>1011</v>
      </c>
      <c r="Y15" s="353">
        <f>SUM(Y13:Y14)</f>
        <v>11829</v>
      </c>
      <c r="Z15" s="647">
        <f t="shared" si="9"/>
        <v>10818</v>
      </c>
      <c r="AA15" s="639">
        <f>SUM(AA13:AA14)</f>
        <v>9719</v>
      </c>
      <c r="AB15" s="353">
        <f>SUM(AB13:AB14)</f>
        <v>11688</v>
      </c>
      <c r="AC15" s="353">
        <f>SUM(AC13:AC14)</f>
        <v>10883</v>
      </c>
      <c r="AD15" s="647">
        <f t="shared" si="10"/>
        <v>-805</v>
      </c>
      <c r="AE15" s="639">
        <f>SUM(AE13:AE14)</f>
        <v>0</v>
      </c>
      <c r="AF15" s="353">
        <f>SUM(AF13:AF14)</f>
        <v>0</v>
      </c>
      <c r="AG15" s="1223"/>
      <c r="AH15" s="647">
        <f t="shared" si="1"/>
        <v>0</v>
      </c>
      <c r="AI15" s="639">
        <f>SUM(AI13:AI14)</f>
        <v>0</v>
      </c>
      <c r="AJ15" s="353">
        <f>SUM(AJ13:AJ14)</f>
        <v>0</v>
      </c>
      <c r="AK15" s="1223"/>
      <c r="AL15" s="647">
        <f t="shared" si="2"/>
        <v>0</v>
      </c>
      <c r="AM15" s="892" t="s">
        <v>951</v>
      </c>
      <c r="AN15" s="547">
        <f>SUM(AN13:AN14)</f>
        <v>0</v>
      </c>
      <c r="AO15" s="353">
        <f>SUM(AO13:AO14)</f>
        <v>0</v>
      </c>
      <c r="AP15" s="1223"/>
      <c r="AQ15" s="647">
        <f t="shared" si="3"/>
        <v>0</v>
      </c>
      <c r="AR15" s="639">
        <f>SUM(AR13:AR14)</f>
        <v>0</v>
      </c>
      <c r="AS15" s="353">
        <f>SUM(AS13:AS14)</f>
        <v>0</v>
      </c>
      <c r="AT15" s="1223"/>
      <c r="AU15" s="651">
        <f t="shared" si="4"/>
        <v>0</v>
      </c>
      <c r="AV15" s="639">
        <f>SUM(AV13:AV14)</f>
        <v>828024</v>
      </c>
      <c r="AW15" s="547">
        <f>SUM(AW13:AW14)</f>
        <v>857150</v>
      </c>
      <c r="AX15" s="547">
        <f>SUM(AX13:AX14)</f>
        <v>859106</v>
      </c>
      <c r="AY15" s="648">
        <f t="shared" si="5"/>
        <v>1956</v>
      </c>
      <c r="AZ15" s="149"/>
    </row>
    <row r="16" spans="1:52" ht="14.4" thickBot="1" x14ac:dyDescent="0.3">
      <c r="A16" s="902" t="s">
        <v>695</v>
      </c>
      <c r="B16" s="903">
        <v>47295</v>
      </c>
      <c r="C16" s="904">
        <v>82596</v>
      </c>
      <c r="D16" s="904">
        <f>'5.tábla (2)'!D34</f>
        <v>81379</v>
      </c>
      <c r="E16" s="905">
        <f t="shared" si="6"/>
        <v>-1217</v>
      </c>
      <c r="F16" s="903">
        <v>11035</v>
      </c>
      <c r="G16" s="904">
        <v>26104</v>
      </c>
      <c r="H16" s="904">
        <f>'5.tábla (2)'!D44</f>
        <v>23804</v>
      </c>
      <c r="I16" s="905">
        <f t="shared" si="7"/>
        <v>-2300</v>
      </c>
      <c r="J16" s="903">
        <v>552790</v>
      </c>
      <c r="K16" s="906">
        <v>918089</v>
      </c>
      <c r="L16" s="906">
        <f>'5.tábla (2)'!D53</f>
        <v>920922</v>
      </c>
      <c r="M16" s="907">
        <f t="shared" si="8"/>
        <v>2833</v>
      </c>
      <c r="N16" s="903">
        <v>29250</v>
      </c>
      <c r="O16" s="906">
        <v>30254</v>
      </c>
      <c r="P16" s="906">
        <f>'5.tábla (2)'!D90</f>
        <v>30254</v>
      </c>
      <c r="Q16" s="908">
        <f t="shared" si="11"/>
        <v>0</v>
      </c>
      <c r="R16" s="909"/>
      <c r="S16" s="910"/>
      <c r="T16" s="910"/>
      <c r="U16" s="911"/>
      <c r="V16" s="902" t="s">
        <v>695</v>
      </c>
      <c r="W16" s="912">
        <v>899741</v>
      </c>
      <c r="X16" s="904">
        <v>977991</v>
      </c>
      <c r="Y16" s="904">
        <f>'5.tábla (2)'!D100</f>
        <v>966923</v>
      </c>
      <c r="Z16" s="908">
        <f t="shared" si="9"/>
        <v>-11068</v>
      </c>
      <c r="AA16" s="903">
        <v>1146034</v>
      </c>
      <c r="AB16" s="906">
        <v>1812767</v>
      </c>
      <c r="AC16" s="906">
        <f>'7. sz. tábla 1'!D109</f>
        <v>1809868</v>
      </c>
      <c r="AD16" s="908">
        <f t="shared" si="10"/>
        <v>-2899</v>
      </c>
      <c r="AE16" s="903">
        <v>93225</v>
      </c>
      <c r="AF16" s="906">
        <v>91016</v>
      </c>
      <c r="AG16" s="906">
        <f>'6.sz.tábla  (3)'!D140</f>
        <v>91016</v>
      </c>
      <c r="AH16" s="908">
        <f t="shared" si="1"/>
        <v>0</v>
      </c>
      <c r="AI16" s="903">
        <v>459290</v>
      </c>
      <c r="AJ16" s="906">
        <v>607522</v>
      </c>
      <c r="AK16" s="906">
        <f>'7. sz. tábla 1'!D176</f>
        <v>607522</v>
      </c>
      <c r="AL16" s="908">
        <f t="shared" si="2"/>
        <v>0</v>
      </c>
      <c r="AM16" s="902" t="s">
        <v>695</v>
      </c>
      <c r="AN16" s="912">
        <v>220545</v>
      </c>
      <c r="AO16" s="913">
        <v>2355926</v>
      </c>
      <c r="AP16" s="913">
        <f>'7. sz. tábla 1'!D182</f>
        <v>2355183</v>
      </c>
      <c r="AQ16" s="908">
        <f t="shared" si="3"/>
        <v>-743</v>
      </c>
      <c r="AR16" s="903">
        <v>120755</v>
      </c>
      <c r="AS16" s="914">
        <v>29355</v>
      </c>
      <c r="AT16" s="906">
        <f>'1.sz.tábla   (2)'!D28</f>
        <v>93159</v>
      </c>
      <c r="AU16" s="907">
        <f t="shared" si="4"/>
        <v>63804</v>
      </c>
      <c r="AV16" s="915">
        <f>SUM(AE16,AI16,AN16,AA16,W16,N16,J16,F16,B16,AR16)</f>
        <v>3579960</v>
      </c>
      <c r="AW16" s="916">
        <f>SUM(AF16,AJ16,AO16,AB16,X16,O16,K16,G16,C16,AS16)</f>
        <v>6931620</v>
      </c>
      <c r="AX16" s="916">
        <f>SUM(AG16,AK16,AP16,AC16,Y16,P16,L16,H16,D16,AT16)</f>
        <v>6980030</v>
      </c>
      <c r="AY16" s="917">
        <f>AX16-AW16</f>
        <v>48410</v>
      </c>
      <c r="AZ16" s="149"/>
    </row>
    <row r="17" spans="1:52" s="110" customFormat="1" ht="14.4" thickBot="1" x14ac:dyDescent="0.3">
      <c r="A17" s="918" t="s">
        <v>952</v>
      </c>
      <c r="B17" s="1224">
        <f>SUM(B15:B16)</f>
        <v>432808</v>
      </c>
      <c r="C17" s="919">
        <f>SUM(C15:C16)</f>
        <v>486725</v>
      </c>
      <c r="D17" s="919">
        <f>SUM(D15:D16)</f>
        <v>485245</v>
      </c>
      <c r="E17" s="921">
        <f t="shared" si="6"/>
        <v>-1480</v>
      </c>
      <c r="F17" s="919">
        <f>SUM(F15:F16)</f>
        <v>118326</v>
      </c>
      <c r="G17" s="920">
        <f>SUM(G15:G16)</f>
        <v>140027</v>
      </c>
      <c r="H17" s="920">
        <f>SUM(H15:H16)</f>
        <v>137491</v>
      </c>
      <c r="I17" s="921">
        <f t="shared" si="7"/>
        <v>-2536</v>
      </c>
      <c r="J17" s="919">
        <f>SUM(J15:J16)</f>
        <v>875875</v>
      </c>
      <c r="K17" s="920">
        <f>SUM(K15:K16)</f>
        <v>1242049</v>
      </c>
      <c r="L17" s="920">
        <f>SUM(L15:L16)</f>
        <v>1237324</v>
      </c>
      <c r="M17" s="922">
        <f t="shared" si="8"/>
        <v>-4725</v>
      </c>
      <c r="N17" s="919">
        <f>SUM(N15:N16)</f>
        <v>31666</v>
      </c>
      <c r="O17" s="920">
        <f>SUM(O15:O16)</f>
        <v>32693</v>
      </c>
      <c r="P17" s="920">
        <f>SUM(P15:P16)</f>
        <v>32693</v>
      </c>
      <c r="Q17" s="921">
        <f t="shared" si="11"/>
        <v>0</v>
      </c>
      <c r="R17" s="923" t="e">
        <f>SUM(R15:R16)</f>
        <v>#REF!</v>
      </c>
      <c r="S17" s="924" t="e">
        <f>SUM(S15:S16)</f>
        <v>#REF!</v>
      </c>
      <c r="T17" s="924" t="e">
        <f>SUM(T15:T16)</f>
        <v>#REF!</v>
      </c>
      <c r="U17" s="925" t="e">
        <f>SUM(U15:U16)</f>
        <v>#REF!</v>
      </c>
      <c r="V17" s="918" t="s">
        <v>952</v>
      </c>
      <c r="W17" s="926">
        <f>SUM(W15:W16)</f>
        <v>899741</v>
      </c>
      <c r="X17" s="920">
        <f>SUM(X15:X16)</f>
        <v>979002</v>
      </c>
      <c r="Y17" s="920">
        <f>SUM(Y15:Y16)</f>
        <v>978752</v>
      </c>
      <c r="Z17" s="921">
        <f t="shared" si="9"/>
        <v>-250</v>
      </c>
      <c r="AA17" s="919">
        <f>SUM(AA15:AA16)</f>
        <v>1155753</v>
      </c>
      <c r="AB17" s="920">
        <f>SUM(AB15:AB16)</f>
        <v>1824455</v>
      </c>
      <c r="AC17" s="920">
        <f>SUM(AC15:AC16)</f>
        <v>1820751</v>
      </c>
      <c r="AD17" s="921">
        <f t="shared" si="10"/>
        <v>-3704</v>
      </c>
      <c r="AE17" s="919">
        <f>SUM(AE15:AE16)</f>
        <v>93225</v>
      </c>
      <c r="AF17" s="920">
        <f>SUM(AF15:AF16)</f>
        <v>91016</v>
      </c>
      <c r="AG17" s="920">
        <f>SUM(AG15:AG16)</f>
        <v>91016</v>
      </c>
      <c r="AH17" s="921">
        <f t="shared" si="1"/>
        <v>0</v>
      </c>
      <c r="AI17" s="919">
        <f>SUM(AI15:AI16)</f>
        <v>459290</v>
      </c>
      <c r="AJ17" s="920">
        <f>SUM(AJ15:AJ16)</f>
        <v>607522</v>
      </c>
      <c r="AK17" s="1222">
        <f>SUM(AK15:AK16)</f>
        <v>607522</v>
      </c>
      <c r="AL17" s="921">
        <f t="shared" si="2"/>
        <v>0</v>
      </c>
      <c r="AM17" s="918" t="s">
        <v>952</v>
      </c>
      <c r="AN17" s="926">
        <f>SUM(AN15:AN16)</f>
        <v>220545</v>
      </c>
      <c r="AO17" s="1222">
        <f>SUM(AO15:AO16)</f>
        <v>2355926</v>
      </c>
      <c r="AP17" s="1222">
        <f>SUM(AP15:AP16)</f>
        <v>2355183</v>
      </c>
      <c r="AQ17" s="921">
        <f t="shared" si="3"/>
        <v>-743</v>
      </c>
      <c r="AR17" s="919">
        <f>SUM(AR15:AR16)</f>
        <v>120755</v>
      </c>
      <c r="AS17" s="920">
        <f>SUM(AS15:AS16)</f>
        <v>29355</v>
      </c>
      <c r="AT17" s="920">
        <f>SUM(AT15:AT16)</f>
        <v>93159</v>
      </c>
      <c r="AU17" s="922">
        <f t="shared" si="4"/>
        <v>63804</v>
      </c>
      <c r="AV17" s="919">
        <f>SUM(AV15:AV16)</f>
        <v>4407984</v>
      </c>
      <c r="AW17" s="926">
        <f>SUM(AW15:AW16)</f>
        <v>7788770</v>
      </c>
      <c r="AX17" s="926">
        <f>SUM(AX15:AX16)</f>
        <v>7839136</v>
      </c>
      <c r="AY17" s="927">
        <f t="shared" si="5"/>
        <v>50366</v>
      </c>
      <c r="AZ17" s="149"/>
    </row>
  </sheetData>
  <sheetProtection selectLockedCells="1" selectUnlockedCells="1"/>
  <mergeCells count="14">
    <mergeCell ref="AV1:AY1"/>
    <mergeCell ref="AE1:AH1"/>
    <mergeCell ref="AI1:AL1"/>
    <mergeCell ref="AN1:AQ1"/>
    <mergeCell ref="AR1:AU1"/>
    <mergeCell ref="A1:A2"/>
    <mergeCell ref="AA1:AD1"/>
    <mergeCell ref="W1:Z1"/>
    <mergeCell ref="AM1:AM2"/>
    <mergeCell ref="V1:V2"/>
    <mergeCell ref="B1:E1"/>
    <mergeCell ref="F1:I1"/>
    <mergeCell ref="J1:M1"/>
    <mergeCell ref="N1:Q1"/>
  </mergeCells>
  <phoneticPr fontId="28" type="noConversion"/>
  <printOptions horizontalCentered="1"/>
  <pageMargins left="0.7" right="0.7" top="0.75" bottom="0.75" header="0.3" footer="0.3"/>
  <pageSetup paperSize="9" scale="54" firstPageNumber="0" orientation="landscape" r:id="rId1"/>
  <headerFooter alignWithMargins="0">
    <oddHeader>&amp;C&amp;"Arial,Félkövér"&amp;12INTÉZMÉNYEK KIADÁSAI 2016. ÉV
4. melléklet
az önkormányzat 2016. évi költségvetéséről szóló 8/2016. (II.26.) önkormányzati rendelet
módosításáról szóló 7/2017.(II.24.) önkormányzati rendelethez&amp;R
&amp;P. oldal
ezer forint</oddHeader>
  </headerFooter>
  <colBreaks count="1" manualBreakCount="1">
    <brk id="17" max="1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78"/>
  <sheetViews>
    <sheetView view="pageLayout" zoomScaleNormal="80" zoomScaleSheetLayoutView="85" workbookViewId="0">
      <selection activeCell="F76" sqref="E76:G76"/>
    </sheetView>
  </sheetViews>
  <sheetFormatPr defaultColWidth="9.109375" defaultRowHeight="13.8" x14ac:dyDescent="0.25"/>
  <cols>
    <col min="1" max="1" width="22.33203125" style="99" customWidth="1"/>
    <col min="2" max="2" width="28.33203125" style="587" customWidth="1"/>
    <col min="3" max="6" width="12.44140625" style="14" customWidth="1"/>
    <col min="7" max="16384" width="9.109375" style="99"/>
  </cols>
  <sheetData>
    <row r="1" spans="1:6" x14ac:dyDescent="0.25">
      <c r="A1" s="585"/>
      <c r="B1" s="586"/>
      <c r="C1" s="432"/>
      <c r="D1" s="432"/>
      <c r="E1" s="432"/>
      <c r="F1" s="432"/>
    </row>
    <row r="2" spans="1:6" ht="15" customHeight="1" x14ac:dyDescent="0.25">
      <c r="A2" s="1659" t="s">
        <v>799</v>
      </c>
      <c r="B2" s="1659"/>
      <c r="C2" s="1659"/>
      <c r="D2" s="1659"/>
      <c r="E2" s="1659"/>
      <c r="F2" s="1659"/>
    </row>
    <row r="3" spans="1:6" ht="12.75" customHeight="1" thickBot="1" x14ac:dyDescent="0.3">
      <c r="A3" s="1658"/>
      <c r="B3" s="1658"/>
      <c r="C3" s="1658"/>
      <c r="D3" s="433"/>
      <c r="E3" s="433"/>
      <c r="F3" s="433"/>
    </row>
    <row r="4" spans="1:6" ht="51.75" customHeight="1" thickBot="1" x14ac:dyDescent="0.3">
      <c r="A4" s="930" t="s">
        <v>966</v>
      </c>
      <c r="B4" s="931" t="s">
        <v>891</v>
      </c>
      <c r="C4" s="817" t="s">
        <v>659</v>
      </c>
      <c r="D4" s="347" t="s">
        <v>52</v>
      </c>
      <c r="E4" s="347" t="s">
        <v>800</v>
      </c>
      <c r="F4" s="346" t="s">
        <v>660</v>
      </c>
    </row>
    <row r="5" spans="1:6" s="6" customFormat="1" x14ac:dyDescent="0.25">
      <c r="A5" s="932" t="s">
        <v>967</v>
      </c>
      <c r="B5" s="943"/>
      <c r="C5" s="969">
        <f>SUM(C6:C13)</f>
        <v>1000</v>
      </c>
      <c r="D5" s="929">
        <f>SUM(D6:D13)</f>
        <v>1016</v>
      </c>
      <c r="E5" s="929">
        <f>SUM(E6:E13)</f>
        <v>1016</v>
      </c>
      <c r="F5" s="1069">
        <f>E5-D5</f>
        <v>0</v>
      </c>
    </row>
    <row r="6" spans="1:6" s="6" customFormat="1" x14ac:dyDescent="0.25">
      <c r="A6" s="933"/>
      <c r="B6" s="944" t="s">
        <v>592</v>
      </c>
      <c r="C6" s="970">
        <v>184</v>
      </c>
      <c r="D6" s="806">
        <v>143</v>
      </c>
      <c r="E6" s="806">
        <v>143</v>
      </c>
      <c r="F6" s="434">
        <f>E6-D6</f>
        <v>0</v>
      </c>
    </row>
    <row r="7" spans="1:6" s="6" customFormat="1" x14ac:dyDescent="0.25">
      <c r="A7" s="933"/>
      <c r="B7" s="944" t="s">
        <v>593</v>
      </c>
      <c r="C7" s="970">
        <v>160</v>
      </c>
      <c r="D7" s="806">
        <v>120</v>
      </c>
      <c r="E7" s="806">
        <v>120</v>
      </c>
      <c r="F7" s="434">
        <f t="shared" ref="F7:F70" si="0">E7-D7</f>
        <v>0</v>
      </c>
    </row>
    <row r="8" spans="1:6" x14ac:dyDescent="0.25">
      <c r="A8" s="934"/>
      <c r="B8" s="945" t="s">
        <v>340</v>
      </c>
      <c r="C8" s="970">
        <v>57</v>
      </c>
      <c r="D8" s="807">
        <v>37</v>
      </c>
      <c r="E8" s="807">
        <v>37</v>
      </c>
      <c r="F8" s="434">
        <f t="shared" si="0"/>
        <v>0</v>
      </c>
    </row>
    <row r="9" spans="1:6" s="6" customFormat="1" x14ac:dyDescent="0.25">
      <c r="A9" s="934"/>
      <c r="B9" s="945" t="s">
        <v>341</v>
      </c>
      <c r="C9" s="970"/>
      <c r="D9" s="807"/>
      <c r="E9" s="807"/>
      <c r="F9" s="434">
        <f t="shared" si="0"/>
        <v>0</v>
      </c>
    </row>
    <row r="10" spans="1:6" s="6" customFormat="1" x14ac:dyDescent="0.25">
      <c r="A10" s="934"/>
      <c r="B10" s="945" t="s">
        <v>342</v>
      </c>
      <c r="C10" s="970"/>
      <c r="D10" s="807"/>
      <c r="E10" s="807"/>
      <c r="F10" s="434">
        <f t="shared" si="0"/>
        <v>0</v>
      </c>
    </row>
    <row r="11" spans="1:6" s="6" customFormat="1" x14ac:dyDescent="0.25">
      <c r="A11" s="934"/>
      <c r="B11" s="945" t="s">
        <v>343</v>
      </c>
      <c r="C11" s="970">
        <v>312</v>
      </c>
      <c r="D11" s="807">
        <v>704</v>
      </c>
      <c r="E11" s="807">
        <v>704</v>
      </c>
      <c r="F11" s="434">
        <f t="shared" si="0"/>
        <v>0</v>
      </c>
    </row>
    <row r="12" spans="1:6" s="6" customFormat="1" x14ac:dyDescent="0.25">
      <c r="A12" s="934"/>
      <c r="B12" s="945" t="s">
        <v>344</v>
      </c>
      <c r="C12" s="970"/>
      <c r="D12" s="807"/>
      <c r="E12" s="807"/>
      <c r="F12" s="434">
        <f t="shared" si="0"/>
        <v>0</v>
      </c>
    </row>
    <row r="13" spans="1:6" s="6" customFormat="1" x14ac:dyDescent="0.25">
      <c r="A13" s="934"/>
      <c r="B13" s="945" t="s">
        <v>391</v>
      </c>
      <c r="C13" s="970">
        <v>287</v>
      </c>
      <c r="D13" s="807">
        <v>12</v>
      </c>
      <c r="E13" s="807">
        <v>12</v>
      </c>
      <c r="F13" s="434">
        <f t="shared" si="0"/>
        <v>0</v>
      </c>
    </row>
    <row r="14" spans="1:6" s="6" customFormat="1" ht="7.5" customHeight="1" x14ac:dyDescent="0.25">
      <c r="A14" s="934"/>
      <c r="B14" s="945"/>
      <c r="C14" s="970"/>
      <c r="D14" s="807"/>
      <c r="E14" s="807"/>
      <c r="F14" s="434"/>
    </row>
    <row r="15" spans="1:6" s="6" customFormat="1" x14ac:dyDescent="0.25">
      <c r="A15" s="935" t="s">
        <v>968</v>
      </c>
      <c r="B15" s="946"/>
      <c r="C15" s="971">
        <f>SUM(C16:C22)</f>
        <v>927</v>
      </c>
      <c r="D15" s="375">
        <f>SUM(D16:D22)</f>
        <v>798</v>
      </c>
      <c r="E15" s="375">
        <f>SUM(E16:E22)</f>
        <v>603</v>
      </c>
      <c r="F15" s="584">
        <f t="shared" si="0"/>
        <v>-195</v>
      </c>
    </row>
    <row r="16" spans="1:6" s="6" customFormat="1" x14ac:dyDescent="0.25">
      <c r="A16" s="935"/>
      <c r="B16" s="945" t="s">
        <v>594</v>
      </c>
      <c r="C16" s="970">
        <v>100</v>
      </c>
      <c r="D16" s="806">
        <v>95</v>
      </c>
      <c r="E16" s="806">
        <v>95</v>
      </c>
      <c r="F16" s="434">
        <f t="shared" si="0"/>
        <v>0</v>
      </c>
    </row>
    <row r="17" spans="1:6" s="6" customFormat="1" x14ac:dyDescent="0.25">
      <c r="A17" s="935"/>
      <c r="B17" s="945" t="s">
        <v>349</v>
      </c>
      <c r="C17" s="970">
        <v>80</v>
      </c>
      <c r="D17" s="806">
        <v>60</v>
      </c>
      <c r="E17" s="806">
        <v>60</v>
      </c>
      <c r="F17" s="434">
        <f t="shared" si="0"/>
        <v>0</v>
      </c>
    </row>
    <row r="18" spans="1:6" x14ac:dyDescent="0.25">
      <c r="A18" s="935"/>
      <c r="B18" s="945" t="s">
        <v>345</v>
      </c>
      <c r="C18" s="970">
        <v>620</v>
      </c>
      <c r="D18" s="807">
        <v>491</v>
      </c>
      <c r="E18" s="807">
        <v>448</v>
      </c>
      <c r="F18" s="434">
        <f t="shared" si="0"/>
        <v>-43</v>
      </c>
    </row>
    <row r="19" spans="1:6" x14ac:dyDescent="0.25">
      <c r="A19" s="935"/>
      <c r="B19" s="945" t="s">
        <v>346</v>
      </c>
      <c r="C19" s="970"/>
      <c r="D19" s="807"/>
      <c r="E19" s="807"/>
      <c r="F19" s="434">
        <f t="shared" si="0"/>
        <v>0</v>
      </c>
    </row>
    <row r="20" spans="1:6" x14ac:dyDescent="0.25">
      <c r="A20" s="935"/>
      <c r="B20" s="945" t="s">
        <v>347</v>
      </c>
      <c r="C20" s="970"/>
      <c r="D20" s="807"/>
      <c r="E20" s="807"/>
      <c r="F20" s="434">
        <f t="shared" si="0"/>
        <v>0</v>
      </c>
    </row>
    <row r="21" spans="1:6" x14ac:dyDescent="0.25">
      <c r="A21" s="935"/>
      <c r="B21" s="945" t="s">
        <v>348</v>
      </c>
      <c r="C21" s="970"/>
      <c r="D21" s="807"/>
      <c r="E21" s="807"/>
      <c r="F21" s="434">
        <f t="shared" si="0"/>
        <v>0</v>
      </c>
    </row>
    <row r="22" spans="1:6" x14ac:dyDescent="0.25">
      <c r="A22" s="935"/>
      <c r="B22" s="945" t="s">
        <v>391</v>
      </c>
      <c r="C22" s="970">
        <v>127</v>
      </c>
      <c r="D22" s="807">
        <v>152</v>
      </c>
      <c r="E22" s="807">
        <v>0</v>
      </c>
      <c r="F22" s="434">
        <f t="shared" si="0"/>
        <v>-152</v>
      </c>
    </row>
    <row r="23" spans="1:6" ht="6" customHeight="1" x14ac:dyDescent="0.25">
      <c r="A23" s="935"/>
      <c r="B23" s="945"/>
      <c r="C23" s="970"/>
      <c r="D23" s="807"/>
      <c r="E23" s="807"/>
      <c r="F23" s="434"/>
    </row>
    <row r="24" spans="1:6" s="6" customFormat="1" x14ac:dyDescent="0.25">
      <c r="A24" s="935" t="s">
        <v>969</v>
      </c>
      <c r="B24" s="946"/>
      <c r="C24" s="971">
        <f>SUM(C25:C29)</f>
        <v>144</v>
      </c>
      <c r="D24" s="375">
        <f>SUM(D25:D29)</f>
        <v>144</v>
      </c>
      <c r="E24" s="375">
        <f>SUM(E25:E29)</f>
        <v>143</v>
      </c>
      <c r="F24" s="584">
        <f t="shared" si="0"/>
        <v>-1</v>
      </c>
    </row>
    <row r="25" spans="1:6" x14ac:dyDescent="0.25">
      <c r="A25" s="934"/>
      <c r="B25" s="945" t="s">
        <v>765</v>
      </c>
      <c r="C25" s="970"/>
      <c r="D25" s="807">
        <v>110</v>
      </c>
      <c r="E25" s="807">
        <v>110</v>
      </c>
      <c r="F25" s="434">
        <f t="shared" si="0"/>
        <v>0</v>
      </c>
    </row>
    <row r="26" spans="1:6" x14ac:dyDescent="0.25">
      <c r="A26" s="934"/>
      <c r="B26" s="945" t="s">
        <v>350</v>
      </c>
      <c r="C26" s="970"/>
      <c r="D26" s="807"/>
      <c r="E26" s="807"/>
      <c r="F26" s="434">
        <f t="shared" si="0"/>
        <v>0</v>
      </c>
    </row>
    <row r="27" spans="1:6" x14ac:dyDescent="0.25">
      <c r="A27" s="934"/>
      <c r="B27" s="945" t="s">
        <v>351</v>
      </c>
      <c r="C27" s="970">
        <v>60</v>
      </c>
      <c r="D27" s="807">
        <v>0</v>
      </c>
      <c r="E27" s="807">
        <v>0</v>
      </c>
      <c r="F27" s="434">
        <f t="shared" si="0"/>
        <v>0</v>
      </c>
    </row>
    <row r="28" spans="1:6" x14ac:dyDescent="0.25">
      <c r="A28" s="934"/>
      <c r="B28" s="945" t="s">
        <v>392</v>
      </c>
      <c r="C28" s="970"/>
      <c r="D28" s="808"/>
      <c r="E28" s="808"/>
      <c r="F28" s="434">
        <f t="shared" si="0"/>
        <v>0</v>
      </c>
    </row>
    <row r="29" spans="1:6" x14ac:dyDescent="0.25">
      <c r="A29" s="934"/>
      <c r="B29" s="945" t="s">
        <v>391</v>
      </c>
      <c r="C29" s="970">
        <v>84</v>
      </c>
      <c r="D29" s="808">
        <v>34</v>
      </c>
      <c r="E29" s="808">
        <v>33</v>
      </c>
      <c r="F29" s="434">
        <f t="shared" si="0"/>
        <v>-1</v>
      </c>
    </row>
    <row r="30" spans="1:6" ht="4.5" customHeight="1" x14ac:dyDescent="0.25">
      <c r="A30" s="934"/>
      <c r="B30" s="945"/>
      <c r="C30" s="970"/>
      <c r="D30" s="808"/>
      <c r="E30" s="808"/>
      <c r="F30" s="434"/>
    </row>
    <row r="31" spans="1:6" s="6" customFormat="1" x14ac:dyDescent="0.25">
      <c r="A31" s="936" t="s">
        <v>970</v>
      </c>
      <c r="B31" s="947"/>
      <c r="C31" s="972">
        <f>SUM(C32:C39)</f>
        <v>927</v>
      </c>
      <c r="D31" s="95">
        <f>SUM(D32:D39)</f>
        <v>927</v>
      </c>
      <c r="E31" s="95">
        <f>SUM(E32:E39)</f>
        <v>461</v>
      </c>
      <c r="F31" s="584">
        <f t="shared" si="0"/>
        <v>-466</v>
      </c>
    </row>
    <row r="32" spans="1:6" x14ac:dyDescent="0.25">
      <c r="A32" s="936"/>
      <c r="B32" s="948" t="s">
        <v>595</v>
      </c>
      <c r="C32" s="973">
        <v>240</v>
      </c>
      <c r="D32" s="809">
        <v>0</v>
      </c>
      <c r="E32" s="809">
        <v>0</v>
      </c>
      <c r="F32" s="434">
        <f t="shared" si="0"/>
        <v>0</v>
      </c>
    </row>
    <row r="33" spans="1:7" x14ac:dyDescent="0.25">
      <c r="A33" s="936"/>
      <c r="B33" s="948" t="s">
        <v>594</v>
      </c>
      <c r="C33" s="973">
        <v>104</v>
      </c>
      <c r="D33" s="809">
        <v>70</v>
      </c>
      <c r="E33" s="809">
        <v>70</v>
      </c>
      <c r="F33" s="434">
        <f t="shared" si="0"/>
        <v>0</v>
      </c>
    </row>
    <row r="34" spans="1:7" x14ac:dyDescent="0.25">
      <c r="A34" s="936"/>
      <c r="B34" s="948" t="s">
        <v>345</v>
      </c>
      <c r="C34" s="973">
        <v>75</v>
      </c>
      <c r="D34" s="809">
        <v>26</v>
      </c>
      <c r="E34" s="809">
        <v>26</v>
      </c>
      <c r="F34" s="434">
        <f t="shared" si="0"/>
        <v>0</v>
      </c>
    </row>
    <row r="35" spans="1:7" x14ac:dyDescent="0.25">
      <c r="A35" s="937"/>
      <c r="B35" s="941" t="s">
        <v>360</v>
      </c>
      <c r="C35" s="970">
        <v>215</v>
      </c>
      <c r="D35" s="809">
        <v>284</v>
      </c>
      <c r="E35" s="809">
        <v>284</v>
      </c>
      <c r="F35" s="434">
        <f t="shared" si="0"/>
        <v>0</v>
      </c>
    </row>
    <row r="36" spans="1:7" x14ac:dyDescent="0.25">
      <c r="A36" s="937"/>
      <c r="B36" s="941" t="s">
        <v>766</v>
      </c>
      <c r="C36" s="970"/>
      <c r="D36" s="807">
        <v>40</v>
      </c>
      <c r="E36" s="807">
        <v>40</v>
      </c>
      <c r="F36" s="434">
        <f t="shared" si="0"/>
        <v>0</v>
      </c>
    </row>
    <row r="37" spans="1:7" x14ac:dyDescent="0.25">
      <c r="A37" s="937"/>
      <c r="B37" s="941" t="s">
        <v>352</v>
      </c>
      <c r="C37" s="970"/>
      <c r="D37" s="807"/>
      <c r="E37" s="807"/>
      <c r="F37" s="434">
        <f t="shared" si="0"/>
        <v>0</v>
      </c>
    </row>
    <row r="38" spans="1:7" s="6" customFormat="1" x14ac:dyDescent="0.25">
      <c r="A38" s="937"/>
      <c r="B38" s="941" t="s">
        <v>353</v>
      </c>
      <c r="C38" s="970"/>
      <c r="D38" s="807"/>
      <c r="E38" s="807"/>
      <c r="F38" s="434">
        <f t="shared" si="0"/>
        <v>0</v>
      </c>
    </row>
    <row r="39" spans="1:7" s="6" customFormat="1" x14ac:dyDescent="0.25">
      <c r="A39" s="937"/>
      <c r="B39" s="941" t="s">
        <v>391</v>
      </c>
      <c r="C39" s="970">
        <v>293</v>
      </c>
      <c r="D39" s="807">
        <v>507</v>
      </c>
      <c r="E39" s="807">
        <v>41</v>
      </c>
      <c r="F39" s="434">
        <f t="shared" si="0"/>
        <v>-466</v>
      </c>
    </row>
    <row r="40" spans="1:7" s="6" customFormat="1" ht="6" customHeight="1" x14ac:dyDescent="0.25">
      <c r="A40" s="937"/>
      <c r="B40" s="941"/>
      <c r="C40" s="970"/>
      <c r="D40" s="807"/>
      <c r="E40" s="807"/>
      <c r="F40" s="434"/>
    </row>
    <row r="41" spans="1:7" s="6" customFormat="1" x14ac:dyDescent="0.25">
      <c r="A41" s="938" t="s">
        <v>971</v>
      </c>
      <c r="B41" s="949"/>
      <c r="C41" s="972">
        <f>SUM(C42:C43)</f>
        <v>150</v>
      </c>
      <c r="D41" s="95">
        <f>SUM(D42:D43)</f>
        <v>134</v>
      </c>
      <c r="E41" s="95">
        <f>SUM(E42:E43)</f>
        <v>0</v>
      </c>
      <c r="F41" s="584">
        <f t="shared" si="0"/>
        <v>-134</v>
      </c>
    </row>
    <row r="42" spans="1:7" s="6" customFormat="1" x14ac:dyDescent="0.25">
      <c r="A42" s="939"/>
      <c r="B42" s="941" t="s">
        <v>391</v>
      </c>
      <c r="C42" s="970">
        <v>150</v>
      </c>
      <c r="D42" s="807">
        <v>134</v>
      </c>
      <c r="E42" s="807">
        <v>0</v>
      </c>
      <c r="F42" s="434">
        <f t="shared" si="0"/>
        <v>-134</v>
      </c>
      <c r="G42" s="7"/>
    </row>
    <row r="43" spans="1:7" x14ac:dyDescent="0.25">
      <c r="A43" s="939"/>
      <c r="B43" s="941" t="s">
        <v>354</v>
      </c>
      <c r="C43" s="970"/>
      <c r="D43" s="807"/>
      <c r="E43" s="807"/>
      <c r="F43" s="434">
        <f t="shared" si="0"/>
        <v>0</v>
      </c>
    </row>
    <row r="44" spans="1:7" ht="5.25" customHeight="1" x14ac:dyDescent="0.25">
      <c r="A44" s="939"/>
      <c r="B44" s="941"/>
      <c r="C44" s="970"/>
      <c r="D44" s="807"/>
      <c r="E44" s="807"/>
      <c r="F44" s="434"/>
    </row>
    <row r="45" spans="1:7" s="6" customFormat="1" ht="15.75" customHeight="1" x14ac:dyDescent="0.25">
      <c r="A45" s="936" t="s">
        <v>972</v>
      </c>
      <c r="B45" s="949"/>
      <c r="C45" s="971">
        <f>SUM(C46:C50)</f>
        <v>300</v>
      </c>
      <c r="D45" s="375">
        <f>SUM(D46:D50)</f>
        <v>300</v>
      </c>
      <c r="E45" s="375">
        <f>SUM(E46:E50)</f>
        <v>291</v>
      </c>
      <c r="F45" s="584">
        <f t="shared" si="0"/>
        <v>-9</v>
      </c>
    </row>
    <row r="46" spans="1:7" x14ac:dyDescent="0.25">
      <c r="A46" s="936"/>
      <c r="B46" s="941" t="s">
        <v>594</v>
      </c>
      <c r="C46" s="970">
        <v>95</v>
      </c>
      <c r="D46" s="806">
        <v>78</v>
      </c>
      <c r="E46" s="806">
        <v>78</v>
      </c>
      <c r="F46" s="434">
        <f t="shared" si="0"/>
        <v>0</v>
      </c>
    </row>
    <row r="47" spans="1:7" x14ac:dyDescent="0.25">
      <c r="A47" s="936"/>
      <c r="B47" s="941" t="s">
        <v>359</v>
      </c>
      <c r="C47" s="970">
        <v>25</v>
      </c>
      <c r="D47" s="806">
        <v>19</v>
      </c>
      <c r="E47" s="806">
        <v>19</v>
      </c>
      <c r="F47" s="434">
        <f t="shared" si="0"/>
        <v>0</v>
      </c>
    </row>
    <row r="48" spans="1:7" s="6" customFormat="1" x14ac:dyDescent="0.25">
      <c r="A48" s="937"/>
      <c r="B48" s="941" t="s">
        <v>355</v>
      </c>
      <c r="C48" s="970">
        <v>168</v>
      </c>
      <c r="D48" s="807">
        <v>187</v>
      </c>
      <c r="E48" s="807">
        <v>187</v>
      </c>
      <c r="F48" s="434">
        <f t="shared" si="0"/>
        <v>0</v>
      </c>
    </row>
    <row r="49" spans="1:6" s="6" customFormat="1" x14ac:dyDescent="0.25">
      <c r="A49" s="937"/>
      <c r="B49" s="941" t="s">
        <v>356</v>
      </c>
      <c r="C49" s="970"/>
      <c r="D49" s="807"/>
      <c r="E49" s="807"/>
      <c r="F49" s="434">
        <f t="shared" si="0"/>
        <v>0</v>
      </c>
    </row>
    <row r="50" spans="1:6" s="6" customFormat="1" x14ac:dyDescent="0.25">
      <c r="A50" s="937"/>
      <c r="B50" s="941" t="s">
        <v>391</v>
      </c>
      <c r="C50" s="970">
        <v>12</v>
      </c>
      <c r="D50" s="808">
        <v>16</v>
      </c>
      <c r="E50" s="808">
        <v>7</v>
      </c>
      <c r="F50" s="434">
        <f t="shared" si="0"/>
        <v>-9</v>
      </c>
    </row>
    <row r="51" spans="1:6" s="6" customFormat="1" x14ac:dyDescent="0.25">
      <c r="A51" s="937"/>
      <c r="B51" s="941"/>
      <c r="C51" s="970"/>
      <c r="D51" s="808"/>
      <c r="E51" s="808"/>
      <c r="F51" s="434">
        <f t="shared" si="0"/>
        <v>0</v>
      </c>
    </row>
    <row r="52" spans="1:6" s="6" customFormat="1" ht="26.4" x14ac:dyDescent="0.25">
      <c r="A52" s="940" t="s">
        <v>973</v>
      </c>
      <c r="B52" s="949"/>
      <c r="C52" s="974">
        <f>C45+C41+C31+C24+C15+C5</f>
        <v>3448</v>
      </c>
      <c r="D52" s="370">
        <f>D45+D41+D31+D24+D15+D5</f>
        <v>3319</v>
      </c>
      <c r="E52" s="370">
        <f>E45+E41+E31+E24+E15+E5</f>
        <v>2514</v>
      </c>
      <c r="F52" s="584">
        <f t="shared" si="0"/>
        <v>-805</v>
      </c>
    </row>
    <row r="53" spans="1:6" s="6" customFormat="1" ht="6" customHeight="1" x14ac:dyDescent="0.25">
      <c r="A53" s="940"/>
      <c r="B53" s="941"/>
      <c r="C53" s="970"/>
      <c r="D53" s="809"/>
      <c r="E53" s="809"/>
      <c r="F53" s="434"/>
    </row>
    <row r="54" spans="1:6" s="6" customFormat="1" x14ac:dyDescent="0.25">
      <c r="A54" s="938" t="s">
        <v>974</v>
      </c>
      <c r="B54" s="949"/>
      <c r="C54" s="971">
        <f>SUM(C55:C61)</f>
        <v>2971</v>
      </c>
      <c r="D54" s="375">
        <f>SUM(D55:D61)</f>
        <v>4167</v>
      </c>
      <c r="E54" s="1226">
        <f>E55+E56+E57+E58+E59+E60+E61</f>
        <v>4167</v>
      </c>
      <c r="F54" s="584">
        <f t="shared" si="0"/>
        <v>0</v>
      </c>
    </row>
    <row r="55" spans="1:6" x14ac:dyDescent="0.25">
      <c r="A55" s="939"/>
      <c r="B55" s="941" t="s">
        <v>357</v>
      </c>
      <c r="C55" s="970">
        <v>2544</v>
      </c>
      <c r="D55" s="807">
        <v>3209</v>
      </c>
      <c r="E55" s="807">
        <v>3209</v>
      </c>
      <c r="F55" s="434">
        <f>E55-D55</f>
        <v>0</v>
      </c>
    </row>
    <row r="56" spans="1:6" x14ac:dyDescent="0.25">
      <c r="A56" s="939"/>
      <c r="B56" s="941" t="s">
        <v>358</v>
      </c>
      <c r="C56" s="970">
        <v>162</v>
      </c>
      <c r="D56" s="807">
        <v>510</v>
      </c>
      <c r="E56" s="807">
        <v>510</v>
      </c>
      <c r="F56" s="434">
        <f t="shared" si="0"/>
        <v>0</v>
      </c>
    </row>
    <row r="57" spans="1:6" x14ac:dyDescent="0.25">
      <c r="A57" s="939"/>
      <c r="B57" s="941" t="s">
        <v>596</v>
      </c>
      <c r="C57" s="970">
        <v>98</v>
      </c>
      <c r="D57" s="807">
        <v>98</v>
      </c>
      <c r="E57" s="807">
        <v>98</v>
      </c>
      <c r="F57" s="434">
        <f t="shared" si="0"/>
        <v>0</v>
      </c>
    </row>
    <row r="58" spans="1:6" x14ac:dyDescent="0.25">
      <c r="A58" s="939"/>
      <c r="B58" s="941" t="s">
        <v>411</v>
      </c>
      <c r="C58" s="970">
        <v>0</v>
      </c>
      <c r="D58" s="807">
        <v>0</v>
      </c>
      <c r="E58" s="807"/>
      <c r="F58" s="434">
        <f t="shared" si="0"/>
        <v>0</v>
      </c>
    </row>
    <row r="59" spans="1:6" x14ac:dyDescent="0.25">
      <c r="A59" s="939"/>
      <c r="B59" s="941" t="s">
        <v>345</v>
      </c>
      <c r="C59" s="970"/>
      <c r="D59" s="807"/>
      <c r="E59" s="807"/>
      <c r="F59" s="434">
        <f t="shared" si="0"/>
        <v>0</v>
      </c>
    </row>
    <row r="60" spans="1:6" x14ac:dyDescent="0.25">
      <c r="A60" s="939"/>
      <c r="B60" s="941" t="s">
        <v>360</v>
      </c>
      <c r="C60" s="970"/>
      <c r="D60" s="807"/>
      <c r="E60" s="807"/>
      <c r="F60" s="434">
        <f t="shared" si="0"/>
        <v>0</v>
      </c>
    </row>
    <row r="61" spans="1:6" x14ac:dyDescent="0.25">
      <c r="A61" s="939"/>
      <c r="B61" s="941" t="s">
        <v>135</v>
      </c>
      <c r="C61" s="970">
        <v>167</v>
      </c>
      <c r="D61" s="807">
        <v>350</v>
      </c>
      <c r="E61" s="807">
        <v>350</v>
      </c>
      <c r="F61" s="434">
        <f t="shared" si="0"/>
        <v>0</v>
      </c>
    </row>
    <row r="62" spans="1:6" ht="5.25" customHeight="1" x14ac:dyDescent="0.25">
      <c r="A62" s="939"/>
      <c r="B62" s="941"/>
      <c r="C62" s="970"/>
      <c r="D62" s="807"/>
      <c r="E62" s="807"/>
      <c r="F62" s="434"/>
    </row>
    <row r="63" spans="1:6" s="6" customFormat="1" x14ac:dyDescent="0.25">
      <c r="A63" s="936" t="s">
        <v>975</v>
      </c>
      <c r="B63" s="949"/>
      <c r="C63" s="972">
        <f>SUM(C64:C68)</f>
        <v>200</v>
      </c>
      <c r="D63" s="95">
        <f>SUM(D64:D68)</f>
        <v>400</v>
      </c>
      <c r="E63" s="1227">
        <f>E64+E65+E66+E67+E68</f>
        <v>400</v>
      </c>
      <c r="F63" s="584">
        <f t="shared" si="0"/>
        <v>0</v>
      </c>
    </row>
    <row r="64" spans="1:6" x14ac:dyDescent="0.25">
      <c r="A64" s="934"/>
      <c r="B64" s="945" t="s">
        <v>388</v>
      </c>
      <c r="C64" s="970"/>
      <c r="D64" s="96"/>
      <c r="E64" s="807"/>
      <c r="F64" s="434">
        <f t="shared" si="0"/>
        <v>0</v>
      </c>
    </row>
    <row r="65" spans="1:6" x14ac:dyDescent="0.25">
      <c r="A65" s="935"/>
      <c r="B65" s="948" t="s">
        <v>361</v>
      </c>
      <c r="C65" s="970"/>
      <c r="D65" s="96"/>
      <c r="E65" s="807"/>
      <c r="F65" s="434">
        <f t="shared" si="0"/>
        <v>0</v>
      </c>
    </row>
    <row r="66" spans="1:6" x14ac:dyDescent="0.25">
      <c r="A66" s="936"/>
      <c r="B66" s="950" t="s">
        <v>136</v>
      </c>
      <c r="C66" s="970">
        <v>100</v>
      </c>
      <c r="D66" s="96">
        <v>100</v>
      </c>
      <c r="E66" s="807">
        <v>100</v>
      </c>
      <c r="F66" s="434">
        <f t="shared" si="0"/>
        <v>0</v>
      </c>
    </row>
    <row r="67" spans="1:6" x14ac:dyDescent="0.25">
      <c r="A67" s="937"/>
      <c r="B67" s="934" t="s">
        <v>135</v>
      </c>
      <c r="C67" s="970">
        <v>100</v>
      </c>
      <c r="D67" s="96">
        <v>300</v>
      </c>
      <c r="E67" s="807">
        <v>300</v>
      </c>
      <c r="F67" s="434">
        <f t="shared" si="0"/>
        <v>0</v>
      </c>
    </row>
    <row r="68" spans="1:6" x14ac:dyDescent="0.25">
      <c r="A68" s="937"/>
      <c r="B68" s="934" t="s">
        <v>389</v>
      </c>
      <c r="C68" s="970"/>
      <c r="D68" s="96">
        <v>0</v>
      </c>
      <c r="E68" s="807"/>
      <c r="F68" s="434">
        <f t="shared" si="0"/>
        <v>0</v>
      </c>
    </row>
    <row r="69" spans="1:6" ht="5.25" customHeight="1" x14ac:dyDescent="0.25">
      <c r="A69" s="937"/>
      <c r="B69" s="934"/>
      <c r="C69" s="970"/>
      <c r="D69" s="807"/>
      <c r="E69" s="807"/>
      <c r="F69" s="434"/>
    </row>
    <row r="70" spans="1:6" s="6" customFormat="1" x14ac:dyDescent="0.25">
      <c r="A70" s="938" t="s">
        <v>976</v>
      </c>
      <c r="B70" s="946"/>
      <c r="C70" s="972">
        <f>SUM(C71:C73)</f>
        <v>400</v>
      </c>
      <c r="D70" s="95">
        <f>SUM(D71:D73)</f>
        <v>920</v>
      </c>
      <c r="E70" s="1227">
        <f>E71+E72+E73</f>
        <v>920</v>
      </c>
      <c r="F70" s="584">
        <f t="shared" si="0"/>
        <v>0</v>
      </c>
    </row>
    <row r="71" spans="1:6" x14ac:dyDescent="0.25">
      <c r="A71" s="938"/>
      <c r="B71" s="951" t="s">
        <v>390</v>
      </c>
      <c r="C71" s="970"/>
      <c r="D71" s="807">
        <v>135</v>
      </c>
      <c r="E71" s="807">
        <v>135</v>
      </c>
      <c r="F71" s="434">
        <f t="shared" ref="F71:F77" si="1">E71-D71</f>
        <v>0</v>
      </c>
    </row>
    <row r="72" spans="1:6" x14ac:dyDescent="0.25">
      <c r="A72" s="938"/>
      <c r="B72" s="941" t="s">
        <v>977</v>
      </c>
      <c r="C72" s="970"/>
      <c r="D72" s="807"/>
      <c r="E72" s="807"/>
      <c r="F72" s="434">
        <f t="shared" si="1"/>
        <v>0</v>
      </c>
    </row>
    <row r="73" spans="1:6" x14ac:dyDescent="0.25">
      <c r="A73" s="938"/>
      <c r="B73" s="941" t="s">
        <v>135</v>
      </c>
      <c r="C73" s="970">
        <v>400</v>
      </c>
      <c r="D73" s="807">
        <v>785</v>
      </c>
      <c r="E73" s="807">
        <v>785</v>
      </c>
      <c r="F73" s="434">
        <f t="shared" si="1"/>
        <v>0</v>
      </c>
    </row>
    <row r="74" spans="1:6" s="6" customFormat="1" ht="37.5" customHeight="1" x14ac:dyDescent="0.25">
      <c r="A74" s="940" t="s">
        <v>718</v>
      </c>
      <c r="B74" s="949"/>
      <c r="C74" s="972">
        <f>SUM(C75:C76)</f>
        <v>2700</v>
      </c>
      <c r="D74" s="95">
        <f>SUM(D75:D76)</f>
        <v>2882</v>
      </c>
      <c r="E74" s="1227">
        <f>E75+E76</f>
        <v>2882</v>
      </c>
      <c r="F74" s="584">
        <f t="shared" si="1"/>
        <v>0</v>
      </c>
    </row>
    <row r="75" spans="1:6" x14ac:dyDescent="0.25">
      <c r="A75" s="941"/>
      <c r="B75" s="941" t="s">
        <v>339</v>
      </c>
      <c r="C75" s="970">
        <v>2000</v>
      </c>
      <c r="D75" s="807">
        <v>2006</v>
      </c>
      <c r="E75" s="807">
        <v>2210</v>
      </c>
      <c r="F75" s="434">
        <f>E75-D75</f>
        <v>204</v>
      </c>
    </row>
    <row r="76" spans="1:6" x14ac:dyDescent="0.25">
      <c r="A76" s="938"/>
      <c r="B76" s="941" t="s">
        <v>135</v>
      </c>
      <c r="C76" s="970">
        <v>700</v>
      </c>
      <c r="D76" s="807">
        <v>876</v>
      </c>
      <c r="E76" s="807">
        <v>672</v>
      </c>
      <c r="F76" s="434">
        <f t="shared" si="1"/>
        <v>-204</v>
      </c>
    </row>
    <row r="77" spans="1:6" s="6" customFormat="1" ht="14.4" thickBot="1" x14ac:dyDescent="0.3">
      <c r="A77" s="942" t="s">
        <v>394</v>
      </c>
      <c r="B77" s="952"/>
      <c r="C77" s="975">
        <f>SUM(C5+C15+C24+C31+C41+C45+C54+C63+C70+C74)</f>
        <v>9719</v>
      </c>
      <c r="D77" s="436">
        <f>SUM(D5+D15+D24+D31+D41+D45+D54+D63+D70+D74)</f>
        <v>11688</v>
      </c>
      <c r="E77" s="1228">
        <f>E74+E70+E63+E54+E52</f>
        <v>10883</v>
      </c>
      <c r="F77" s="968">
        <f t="shared" si="1"/>
        <v>-805</v>
      </c>
    </row>
    <row r="78" spans="1:6" x14ac:dyDescent="0.25">
      <c r="D78" s="99"/>
      <c r="E78" s="99"/>
      <c r="F78" s="99"/>
    </row>
  </sheetData>
  <sheetProtection selectLockedCells="1" selectUnlockedCells="1"/>
  <mergeCells count="2">
    <mergeCell ref="A3:C3"/>
    <mergeCell ref="A2:F2"/>
  </mergeCells>
  <phoneticPr fontId="28" type="noConversion"/>
  <pageMargins left="1.2" right="0.25" top="0.75" bottom="0.75" header="0.3" footer="0.3"/>
  <pageSetup paperSize="9" scale="68" firstPageNumber="0" fitToWidth="0" fitToHeight="0" orientation="portrait" r:id="rId1"/>
  <headerFooter alignWithMargins="0">
    <oddHeader>&amp;C&amp;"Arial,Félkövér"
4/a. melléklet
az önkormányzat 2016. évi költségvetéséről szóló 8/2016. (II.26.) önkormányzati rendelet
módosításáról szóló 7/2017.(II.24.) önkormányzati rendelethez&amp;R
ezer forint
&amp;P. oldal</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K116"/>
  <sheetViews>
    <sheetView view="pageLayout" topLeftCell="B1" zoomScaleNormal="75" zoomScaleSheetLayoutView="80" workbookViewId="0">
      <selection activeCell="L128" sqref="K127:L128"/>
    </sheetView>
  </sheetViews>
  <sheetFormatPr defaultColWidth="9.109375" defaultRowHeight="13.2" x14ac:dyDescent="0.25"/>
  <cols>
    <col min="1" max="1" width="44.44140625" style="93" customWidth="1"/>
    <col min="2" max="5" width="15.6640625" style="93" customWidth="1"/>
    <col min="6" max="6" width="11.6640625" style="93" customWidth="1"/>
    <col min="7" max="7" width="9.109375" style="93"/>
    <col min="8" max="8" width="10.6640625" style="93" customWidth="1"/>
    <col min="9" max="16384" width="9.109375" style="93"/>
  </cols>
  <sheetData>
    <row r="4" spans="1:5" ht="13.8" thickBot="1" x14ac:dyDescent="0.3"/>
    <row r="5" spans="1:5" ht="51.75" customHeight="1" thickBot="1" x14ac:dyDescent="0.3">
      <c r="A5" s="357" t="s">
        <v>307</v>
      </c>
      <c r="B5" s="843" t="s">
        <v>659</v>
      </c>
      <c r="C5" s="347" t="s">
        <v>52</v>
      </c>
      <c r="D5" s="347" t="s">
        <v>800</v>
      </c>
      <c r="E5" s="346" t="s">
        <v>660</v>
      </c>
    </row>
    <row r="6" spans="1:5" s="8" customFormat="1" ht="30.75" customHeight="1" x14ac:dyDescent="0.3">
      <c r="A6" s="384" t="s">
        <v>979</v>
      </c>
      <c r="B6" s="815"/>
      <c r="C6" s="816"/>
      <c r="D6" s="1229"/>
      <c r="E6" s="981">
        <f>D6-C6</f>
        <v>0</v>
      </c>
    </row>
    <row r="7" spans="1:5" s="8" customFormat="1" ht="18.899999999999999" customHeight="1" x14ac:dyDescent="0.3">
      <c r="A7" s="225" t="s">
        <v>980</v>
      </c>
      <c r="B7" s="362">
        <v>218950</v>
      </c>
      <c r="C7" s="371">
        <v>222753</v>
      </c>
      <c r="D7" s="1230">
        <v>222753</v>
      </c>
      <c r="E7" s="981">
        <f>D7-C7</f>
        <v>0</v>
      </c>
    </row>
    <row r="8" spans="1:5" s="8" customFormat="1" ht="18.899999999999999" customHeight="1" x14ac:dyDescent="0.3">
      <c r="A8" s="225" t="s">
        <v>981</v>
      </c>
      <c r="B8" s="362">
        <v>63277</v>
      </c>
      <c r="C8" s="371">
        <v>64917</v>
      </c>
      <c r="D8" s="1230">
        <v>64917</v>
      </c>
      <c r="E8" s="981">
        <f>D8-C8</f>
        <v>0</v>
      </c>
    </row>
    <row r="9" spans="1:5" s="8" customFormat="1" ht="18.899999999999999" customHeight="1" x14ac:dyDescent="0.3">
      <c r="A9" s="225" t="s">
        <v>982</v>
      </c>
      <c r="B9" s="362">
        <f>SUM(B10:B14)</f>
        <v>79212</v>
      </c>
      <c r="C9" s="371">
        <f>SUM(C10:C14)</f>
        <v>79211</v>
      </c>
      <c r="D9" s="371">
        <f>SUM(D10:D14)</f>
        <v>79211</v>
      </c>
      <c r="E9" s="981">
        <f>D9-C9</f>
        <v>0</v>
      </c>
    </row>
    <row r="10" spans="1:5" ht="18.899999999999999" customHeight="1" x14ac:dyDescent="0.25">
      <c r="A10" s="226" t="s">
        <v>983</v>
      </c>
      <c r="B10" s="363">
        <v>63100</v>
      </c>
      <c r="C10" s="372">
        <v>62867</v>
      </c>
      <c r="D10" s="1231">
        <v>62867</v>
      </c>
      <c r="E10" s="983">
        <f>D10-C10</f>
        <v>0</v>
      </c>
    </row>
    <row r="11" spans="1:5" ht="18.899999999999999" customHeight="1" x14ac:dyDescent="0.25">
      <c r="A11" s="226" t="s">
        <v>984</v>
      </c>
      <c r="B11" s="363">
        <v>1950</v>
      </c>
      <c r="C11" s="372">
        <v>1927</v>
      </c>
      <c r="D11" s="1231">
        <v>1927</v>
      </c>
      <c r="E11" s="983">
        <f t="shared" ref="E11:E31" si="0">D11-C11</f>
        <v>0</v>
      </c>
    </row>
    <row r="12" spans="1:5" ht="18.899999999999999" customHeight="1" x14ac:dyDescent="0.25">
      <c r="A12" s="228" t="s">
        <v>862</v>
      </c>
      <c r="B12" s="363">
        <v>150</v>
      </c>
      <c r="C12" s="372">
        <v>405</v>
      </c>
      <c r="D12" s="1231">
        <v>405</v>
      </c>
      <c r="E12" s="983">
        <f t="shared" si="0"/>
        <v>0</v>
      </c>
    </row>
    <row r="13" spans="1:5" ht="18.899999999999999" customHeight="1" x14ac:dyDescent="0.25">
      <c r="A13" s="228" t="s">
        <v>863</v>
      </c>
      <c r="B13" s="363">
        <v>10000</v>
      </c>
      <c r="C13" s="372">
        <v>10000</v>
      </c>
      <c r="D13" s="1231">
        <v>10000</v>
      </c>
      <c r="E13" s="983">
        <f t="shared" si="0"/>
        <v>0</v>
      </c>
    </row>
    <row r="14" spans="1:5" ht="18.899999999999999" customHeight="1" x14ac:dyDescent="0.25">
      <c r="A14" s="228" t="s">
        <v>864</v>
      </c>
      <c r="B14" s="363">
        <v>4012</v>
      </c>
      <c r="C14" s="372">
        <v>4012</v>
      </c>
      <c r="D14" s="1231">
        <v>4012</v>
      </c>
      <c r="E14" s="983">
        <f t="shared" si="0"/>
        <v>0</v>
      </c>
    </row>
    <row r="15" spans="1:5" s="8" customFormat="1" ht="31.2" x14ac:dyDescent="0.3">
      <c r="A15" s="225" t="s">
        <v>985</v>
      </c>
      <c r="B15" s="362">
        <f>B16+B17+B19+B18+B20</f>
        <v>2050</v>
      </c>
      <c r="C15" s="371">
        <f>C16+C17+C19+C18+C20</f>
        <v>2050</v>
      </c>
      <c r="D15" s="371">
        <f>D16+D17+D19+D18+D20</f>
        <v>2050</v>
      </c>
      <c r="E15" s="982">
        <f t="shared" si="0"/>
        <v>0</v>
      </c>
    </row>
    <row r="16" spans="1:5" ht="29.25" customHeight="1" x14ac:dyDescent="0.25">
      <c r="A16" s="228" t="s">
        <v>986</v>
      </c>
      <c r="B16" s="363">
        <v>2050</v>
      </c>
      <c r="C16" s="372">
        <v>2050</v>
      </c>
      <c r="D16" s="1231">
        <v>2050</v>
      </c>
      <c r="E16" s="983">
        <f t="shared" si="0"/>
        <v>0</v>
      </c>
    </row>
    <row r="17" spans="1:11" ht="30" customHeight="1" x14ac:dyDescent="0.25">
      <c r="A17" s="228" t="s">
        <v>987</v>
      </c>
      <c r="B17" s="363"/>
      <c r="C17" s="372"/>
      <c r="D17" s="1231"/>
      <c r="E17" s="983">
        <f t="shared" si="0"/>
        <v>0</v>
      </c>
    </row>
    <row r="18" spans="1:11" ht="18.899999999999999" customHeight="1" x14ac:dyDescent="0.25">
      <c r="A18" s="228" t="s">
        <v>988</v>
      </c>
      <c r="B18" s="363"/>
      <c r="C18" s="372"/>
      <c r="D18" s="1231"/>
      <c r="E18" s="983">
        <f t="shared" si="0"/>
        <v>0</v>
      </c>
    </row>
    <row r="19" spans="1:11" ht="18.899999999999999" customHeight="1" x14ac:dyDescent="0.25">
      <c r="A19" s="228" t="s">
        <v>989</v>
      </c>
      <c r="B19" s="363"/>
      <c r="C19" s="372"/>
      <c r="D19" s="1231"/>
      <c r="E19" s="983">
        <f t="shared" si="0"/>
        <v>0</v>
      </c>
    </row>
    <row r="20" spans="1:11" ht="18.899999999999999" customHeight="1" x14ac:dyDescent="0.25">
      <c r="A20" s="228" t="s">
        <v>309</v>
      </c>
      <c r="B20" s="363"/>
      <c r="C20" s="372"/>
      <c r="D20" s="1231"/>
      <c r="E20" s="983">
        <f t="shared" si="0"/>
        <v>0</v>
      </c>
    </row>
    <row r="21" spans="1:11" s="8" customFormat="1" ht="31.2" x14ac:dyDescent="0.3">
      <c r="A21" s="225" t="s">
        <v>990</v>
      </c>
      <c r="B21" s="364">
        <f>SUM(B22:B25)</f>
        <v>366</v>
      </c>
      <c r="C21" s="371">
        <f>SUM(C22:C25)</f>
        <v>389</v>
      </c>
      <c r="D21" s="371">
        <f>SUM(D22:D25)</f>
        <v>389</v>
      </c>
      <c r="E21" s="982">
        <f t="shared" si="0"/>
        <v>0</v>
      </c>
      <c r="F21" s="9"/>
      <c r="H21" s="168"/>
      <c r="I21" s="169"/>
      <c r="J21" s="169"/>
      <c r="K21" s="169"/>
    </row>
    <row r="22" spans="1:11" s="8" customFormat="1" ht="30" x14ac:dyDescent="0.3">
      <c r="A22" s="228" t="s">
        <v>986</v>
      </c>
      <c r="B22" s="363">
        <v>366</v>
      </c>
      <c r="C22" s="372">
        <v>389</v>
      </c>
      <c r="D22" s="1231">
        <v>389</v>
      </c>
      <c r="E22" s="983">
        <f t="shared" si="0"/>
        <v>0</v>
      </c>
      <c r="H22" s="168"/>
      <c r="I22" s="169"/>
      <c r="J22" s="169"/>
      <c r="K22" s="169"/>
    </row>
    <row r="23" spans="1:11" s="8" customFormat="1" ht="29.25" customHeight="1" x14ac:dyDescent="0.3">
      <c r="A23" s="228" t="s">
        <v>321</v>
      </c>
      <c r="B23" s="363"/>
      <c r="C23" s="372"/>
      <c r="D23" s="1231"/>
      <c r="E23" s="983">
        <f t="shared" si="0"/>
        <v>0</v>
      </c>
      <c r="H23" s="168"/>
      <c r="I23" s="169"/>
      <c r="J23" s="169"/>
      <c r="K23" s="169"/>
    </row>
    <row r="24" spans="1:11" s="8" customFormat="1" ht="15.6" x14ac:dyDescent="0.3">
      <c r="A24" s="228" t="s">
        <v>988</v>
      </c>
      <c r="B24" s="363"/>
      <c r="C24" s="372"/>
      <c r="D24" s="1231"/>
      <c r="E24" s="983">
        <f t="shared" si="0"/>
        <v>0</v>
      </c>
      <c r="H24" s="168"/>
      <c r="I24" s="169"/>
      <c r="J24" s="169"/>
      <c r="K24" s="169"/>
    </row>
    <row r="25" spans="1:11" s="8" customFormat="1" ht="16.5" customHeight="1" x14ac:dyDescent="0.3">
      <c r="A25" s="228" t="s">
        <v>989</v>
      </c>
      <c r="B25" s="363"/>
      <c r="C25" s="372"/>
      <c r="D25" s="1231"/>
      <c r="E25" s="983">
        <f t="shared" si="0"/>
        <v>0</v>
      </c>
      <c r="H25" s="168"/>
      <c r="I25" s="169"/>
      <c r="J25" s="169"/>
      <c r="K25" s="169"/>
    </row>
    <row r="26" spans="1:11" s="8" customFormat="1" ht="15.6" x14ac:dyDescent="0.3">
      <c r="A26" s="225" t="s">
        <v>991</v>
      </c>
      <c r="B26" s="364"/>
      <c r="C26" s="371">
        <v>1011</v>
      </c>
      <c r="D26" s="1230">
        <v>1036</v>
      </c>
      <c r="E26" s="982">
        <f t="shared" si="0"/>
        <v>25</v>
      </c>
      <c r="H26" s="168"/>
      <c r="I26" s="169"/>
      <c r="J26" s="169"/>
      <c r="K26" s="169"/>
    </row>
    <row r="27" spans="1:11" s="8" customFormat="1" ht="15.6" x14ac:dyDescent="0.3">
      <c r="A27" s="225" t="s">
        <v>671</v>
      </c>
      <c r="B27" s="364">
        <f>B26+B21+B15+B9+B8+B7</f>
        <v>363855</v>
      </c>
      <c r="C27" s="371">
        <f>C26+C21+C15+C9+C8+C7</f>
        <v>370331</v>
      </c>
      <c r="D27" s="371">
        <f>D26+D21+D15+D9+D8+D7</f>
        <v>370356</v>
      </c>
      <c r="E27" s="982">
        <f t="shared" si="0"/>
        <v>25</v>
      </c>
      <c r="H27" s="168"/>
      <c r="I27" s="169"/>
      <c r="J27" s="169"/>
      <c r="K27" s="169"/>
    </row>
    <row r="28" spans="1:11" s="8" customFormat="1" ht="18.899999999999999" customHeight="1" x14ac:dyDescent="0.3">
      <c r="A28" s="225" t="s">
        <v>992</v>
      </c>
      <c r="B28" s="652">
        <f>SUM(B29:B30)</f>
        <v>2700</v>
      </c>
      <c r="C28" s="814">
        <f>SUM(C29:C30)</f>
        <v>2882</v>
      </c>
      <c r="D28" s="814">
        <f>SUM(D29:D30)</f>
        <v>2882</v>
      </c>
      <c r="E28" s="982">
        <f t="shared" si="0"/>
        <v>0</v>
      </c>
      <c r="F28" s="9"/>
      <c r="H28" s="170"/>
      <c r="I28" s="171"/>
      <c r="J28" s="171"/>
      <c r="K28" s="171"/>
    </row>
    <row r="29" spans="1:11" ht="30" x14ac:dyDescent="0.3">
      <c r="A29" s="229" t="s">
        <v>137</v>
      </c>
      <c r="B29" s="363">
        <v>2000</v>
      </c>
      <c r="C29" s="372">
        <v>2006</v>
      </c>
      <c r="D29" s="1231">
        <f>'4a. sz. tábla  (3)'!E75</f>
        <v>2210</v>
      </c>
      <c r="E29" s="983">
        <f t="shared" si="0"/>
        <v>204</v>
      </c>
      <c r="H29" s="170"/>
      <c r="I29" s="171"/>
      <c r="J29" s="171"/>
      <c r="K29" s="171"/>
    </row>
    <row r="30" spans="1:11" ht="18.899999999999999" customHeight="1" x14ac:dyDescent="0.3">
      <c r="A30" s="229" t="s">
        <v>865</v>
      </c>
      <c r="B30" s="363">
        <v>700</v>
      </c>
      <c r="C30" s="372">
        <v>876</v>
      </c>
      <c r="D30" s="1231">
        <f>'4a. sz. tábla  (3)'!E76</f>
        <v>672</v>
      </c>
      <c r="E30" s="983">
        <f t="shared" si="0"/>
        <v>-204</v>
      </c>
      <c r="H30" s="170"/>
      <c r="I30" s="171"/>
      <c r="J30" s="171"/>
      <c r="K30" s="171"/>
    </row>
    <row r="31" spans="1:11" s="8" customFormat="1" ht="30" customHeight="1" thickBot="1" x14ac:dyDescent="0.35">
      <c r="A31" s="230" t="s">
        <v>993</v>
      </c>
      <c r="B31" s="365">
        <f>B28+B27</f>
        <v>366555</v>
      </c>
      <c r="C31" s="374">
        <f>C28+C27</f>
        <v>373213</v>
      </c>
      <c r="D31" s="374">
        <f>D28+D27</f>
        <v>373238</v>
      </c>
      <c r="E31" s="1290">
        <f t="shared" si="0"/>
        <v>25</v>
      </c>
      <c r="F31" s="9"/>
      <c r="H31" s="170"/>
      <c r="I31" s="171"/>
      <c r="J31" s="171"/>
      <c r="K31" s="171"/>
    </row>
    <row r="32" spans="1:11" ht="58.5" customHeight="1" thickBot="1" x14ac:dyDescent="0.3">
      <c r="A32" s="357" t="s">
        <v>307</v>
      </c>
      <c r="B32" s="843" t="s">
        <v>659</v>
      </c>
      <c r="C32" s="347" t="s">
        <v>52</v>
      </c>
      <c r="D32" s="347" t="s">
        <v>800</v>
      </c>
      <c r="E32" s="346" t="s">
        <v>660</v>
      </c>
      <c r="H32" s="172"/>
      <c r="I32" s="172"/>
      <c r="J32" s="172"/>
      <c r="K32" s="173"/>
    </row>
    <row r="33" spans="1:11" s="8" customFormat="1" ht="18.899999999999999" customHeight="1" x14ac:dyDescent="0.3">
      <c r="A33" s="384" t="s">
        <v>994</v>
      </c>
      <c r="B33" s="820"/>
      <c r="C33" s="821"/>
      <c r="D33" s="821"/>
      <c r="E33" s="822"/>
      <c r="H33" s="170"/>
      <c r="I33" s="171"/>
      <c r="J33" s="171"/>
      <c r="K33" s="171"/>
    </row>
    <row r="34" spans="1:11" s="8" customFormat="1" ht="18.899999999999999" customHeight="1" x14ac:dyDescent="0.3">
      <c r="A34" s="231" t="s">
        <v>995</v>
      </c>
      <c r="B34" s="167">
        <f>SUM(B35:B42)</f>
        <v>47295</v>
      </c>
      <c r="C34" s="167">
        <f>SUM(C35:C43)</f>
        <v>82596</v>
      </c>
      <c r="D34" s="167">
        <f>SUM(D35:D43)</f>
        <v>81379</v>
      </c>
      <c r="E34" s="167">
        <f>D34-C34</f>
        <v>-1217</v>
      </c>
      <c r="F34" s="9"/>
      <c r="H34" s="170"/>
      <c r="I34" s="171"/>
      <c r="J34" s="171"/>
      <c r="K34" s="171"/>
    </row>
    <row r="35" spans="1:11" ht="18.899999999999999" customHeight="1" x14ac:dyDescent="0.25">
      <c r="A35" s="232" t="s">
        <v>996</v>
      </c>
      <c r="B35" s="108">
        <v>23057</v>
      </c>
      <c r="C35" s="363">
        <v>23163</v>
      </c>
      <c r="D35" s="363">
        <v>23163</v>
      </c>
      <c r="E35" s="227">
        <f>D35-C35</f>
        <v>0</v>
      </c>
      <c r="H35" s="174"/>
      <c r="I35" s="173"/>
      <c r="J35" s="173"/>
      <c r="K35" s="173"/>
    </row>
    <row r="36" spans="1:11" ht="18.899999999999999" customHeight="1" x14ac:dyDescent="0.25">
      <c r="A36" s="233" t="s">
        <v>1001</v>
      </c>
      <c r="B36" s="108">
        <v>4433</v>
      </c>
      <c r="C36" s="363">
        <v>19686</v>
      </c>
      <c r="D36" s="363">
        <v>19659</v>
      </c>
      <c r="E36" s="227">
        <f t="shared" ref="E36:E77" si="1">D36-C36</f>
        <v>-27</v>
      </c>
      <c r="H36" s="174"/>
      <c r="I36" s="173"/>
      <c r="J36" s="173"/>
      <c r="K36" s="173"/>
    </row>
    <row r="37" spans="1:11" ht="18.899999999999999" customHeight="1" x14ac:dyDescent="0.25">
      <c r="A37" s="233" t="s">
        <v>866</v>
      </c>
      <c r="B37" s="108">
        <v>0</v>
      </c>
      <c r="C37" s="363">
        <v>623</v>
      </c>
      <c r="D37" s="363">
        <v>650</v>
      </c>
      <c r="E37" s="227">
        <f t="shared" si="1"/>
        <v>27</v>
      </c>
      <c r="H37" s="174"/>
      <c r="I37" s="173"/>
      <c r="J37" s="173"/>
      <c r="K37" s="173"/>
    </row>
    <row r="38" spans="1:11" ht="18.899999999999999" customHeight="1" x14ac:dyDescent="0.25">
      <c r="A38" s="232" t="s">
        <v>998</v>
      </c>
      <c r="B38" s="108">
        <v>9098</v>
      </c>
      <c r="C38" s="363">
        <v>9299</v>
      </c>
      <c r="D38" s="363">
        <v>9299</v>
      </c>
      <c r="E38" s="227">
        <f t="shared" si="1"/>
        <v>0</v>
      </c>
      <c r="H38" s="174"/>
      <c r="I38" s="173"/>
      <c r="J38" s="173"/>
      <c r="K38" s="173"/>
    </row>
    <row r="39" spans="1:11" ht="18.899999999999999" customHeight="1" x14ac:dyDescent="0.25">
      <c r="A39" s="232" t="s">
        <v>999</v>
      </c>
      <c r="B39" s="108">
        <v>1557</v>
      </c>
      <c r="C39" s="363">
        <v>3307</v>
      </c>
      <c r="D39" s="363">
        <v>3307</v>
      </c>
      <c r="E39" s="227">
        <f t="shared" si="1"/>
        <v>0</v>
      </c>
      <c r="H39" s="174"/>
      <c r="I39" s="173"/>
      <c r="J39" s="173"/>
      <c r="K39" s="173"/>
    </row>
    <row r="40" spans="1:11" ht="18.899999999999999" customHeight="1" x14ac:dyDescent="0.25">
      <c r="A40" s="232" t="s">
        <v>997</v>
      </c>
      <c r="B40" s="108">
        <v>1150</v>
      </c>
      <c r="C40" s="363">
        <v>990</v>
      </c>
      <c r="D40" s="363">
        <v>990</v>
      </c>
      <c r="E40" s="227">
        <f t="shared" si="1"/>
        <v>0</v>
      </c>
      <c r="H40" s="174"/>
      <c r="I40" s="173"/>
      <c r="J40" s="173"/>
      <c r="K40" s="173"/>
    </row>
    <row r="41" spans="1:11" ht="18.899999999999999" customHeight="1" x14ac:dyDescent="0.25">
      <c r="A41" s="232" t="s">
        <v>1000</v>
      </c>
      <c r="B41" s="108">
        <v>5600</v>
      </c>
      <c r="C41" s="363">
        <v>5600</v>
      </c>
      <c r="D41" s="363">
        <v>5600</v>
      </c>
      <c r="E41" s="227">
        <f t="shared" si="1"/>
        <v>0</v>
      </c>
      <c r="H41" s="174"/>
      <c r="I41" s="173"/>
      <c r="J41" s="173"/>
      <c r="K41" s="173"/>
    </row>
    <row r="42" spans="1:11" ht="19.5" customHeight="1" x14ac:dyDescent="0.25">
      <c r="A42" s="232" t="s">
        <v>395</v>
      </c>
      <c r="B42" s="108">
        <v>2400</v>
      </c>
      <c r="C42" s="363">
        <v>19428</v>
      </c>
      <c r="D42" s="363">
        <v>18211</v>
      </c>
      <c r="E42" s="227">
        <f t="shared" si="1"/>
        <v>-1217</v>
      </c>
      <c r="H42" s="174"/>
      <c r="I42" s="173"/>
      <c r="J42" s="173"/>
      <c r="K42" s="173"/>
    </row>
    <row r="43" spans="1:11" ht="19.5" customHeight="1" x14ac:dyDescent="0.25">
      <c r="A43" s="232" t="s">
        <v>18</v>
      </c>
      <c r="B43" s="108"/>
      <c r="C43" s="363">
        <v>500</v>
      </c>
      <c r="D43" s="363">
        <v>500</v>
      </c>
      <c r="E43" s="227">
        <f t="shared" si="1"/>
        <v>0</v>
      </c>
      <c r="H43" s="174"/>
      <c r="I43" s="173"/>
      <c r="J43" s="173"/>
      <c r="K43" s="173"/>
    </row>
    <row r="44" spans="1:11" s="11" customFormat="1" ht="31.2" x14ac:dyDescent="0.3">
      <c r="A44" s="231" t="s">
        <v>1002</v>
      </c>
      <c r="B44" s="166">
        <f>SUM(B45:B51)</f>
        <v>11035</v>
      </c>
      <c r="C44" s="166">
        <f>SUM(C45:C52)</f>
        <v>26104</v>
      </c>
      <c r="D44" s="166">
        <f>SUM(D45:D52)</f>
        <v>23804</v>
      </c>
      <c r="E44" s="1234">
        <f t="shared" si="1"/>
        <v>-2300</v>
      </c>
      <c r="F44" s="10"/>
      <c r="H44" s="170"/>
      <c r="I44" s="171"/>
      <c r="J44" s="171"/>
      <c r="K44" s="171"/>
    </row>
    <row r="45" spans="1:11" ht="18.899999999999999" customHeight="1" x14ac:dyDescent="0.25">
      <c r="A45" s="232" t="s">
        <v>996</v>
      </c>
      <c r="B45" s="108">
        <v>6248</v>
      </c>
      <c r="C45" s="363">
        <v>6277</v>
      </c>
      <c r="D45" s="363">
        <v>6302</v>
      </c>
      <c r="E45" s="227">
        <f t="shared" si="1"/>
        <v>25</v>
      </c>
      <c r="H45" s="174"/>
      <c r="I45" s="173"/>
      <c r="J45" s="173"/>
      <c r="K45" s="173"/>
    </row>
    <row r="46" spans="1:11" ht="18.899999999999999" customHeight="1" x14ac:dyDescent="0.25">
      <c r="A46" s="233" t="s">
        <v>1001</v>
      </c>
      <c r="B46" s="108">
        <v>598</v>
      </c>
      <c r="C46" s="363">
        <v>2701</v>
      </c>
      <c r="D46" s="363">
        <v>2681</v>
      </c>
      <c r="E46" s="227">
        <f t="shared" si="1"/>
        <v>-20</v>
      </c>
      <c r="H46" s="174"/>
      <c r="I46" s="173"/>
      <c r="J46" s="173"/>
      <c r="K46" s="173"/>
    </row>
    <row r="47" spans="1:11" ht="18.899999999999999" customHeight="1" x14ac:dyDescent="0.25">
      <c r="A47" s="234" t="s">
        <v>397</v>
      </c>
      <c r="B47" s="108">
        <v>0</v>
      </c>
      <c r="C47" s="363">
        <v>168</v>
      </c>
      <c r="D47" s="363">
        <v>188</v>
      </c>
      <c r="E47" s="227">
        <f t="shared" si="1"/>
        <v>20</v>
      </c>
      <c r="H47" s="174"/>
      <c r="I47" s="173"/>
      <c r="J47" s="173"/>
      <c r="K47" s="173"/>
    </row>
    <row r="48" spans="1:11" ht="18.899999999999999" customHeight="1" x14ac:dyDescent="0.25">
      <c r="A48" s="232" t="s">
        <v>332</v>
      </c>
      <c r="B48" s="108">
        <v>2258</v>
      </c>
      <c r="C48" s="363">
        <v>2310</v>
      </c>
      <c r="D48" s="363">
        <v>2285</v>
      </c>
      <c r="E48" s="227">
        <f t="shared" si="1"/>
        <v>-25</v>
      </c>
      <c r="H48" s="174"/>
      <c r="I48" s="173"/>
      <c r="J48" s="173"/>
      <c r="K48" s="173"/>
    </row>
    <row r="49" spans="1:11" ht="18.899999999999999" customHeight="1" x14ac:dyDescent="0.25">
      <c r="A49" s="232" t="s">
        <v>999</v>
      </c>
      <c r="B49" s="108">
        <v>420</v>
      </c>
      <c r="C49" s="363">
        <v>893</v>
      </c>
      <c r="D49" s="363">
        <v>893</v>
      </c>
      <c r="E49" s="227">
        <f t="shared" si="1"/>
        <v>0</v>
      </c>
      <c r="H49" s="174"/>
      <c r="I49" s="173"/>
      <c r="J49" s="173"/>
      <c r="K49" s="173"/>
    </row>
    <row r="50" spans="1:11" ht="18.899999999999999" customHeight="1" x14ac:dyDescent="0.25">
      <c r="A50" s="232" t="s">
        <v>997</v>
      </c>
      <c r="B50" s="108">
        <v>311</v>
      </c>
      <c r="C50" s="363">
        <v>311</v>
      </c>
      <c r="D50" s="1232">
        <v>311</v>
      </c>
      <c r="E50" s="227">
        <f t="shared" si="1"/>
        <v>0</v>
      </c>
      <c r="H50" s="174"/>
      <c r="I50" s="173"/>
      <c r="J50" s="173"/>
      <c r="K50" s="173"/>
    </row>
    <row r="51" spans="1:11" ht="28.5" customHeight="1" x14ac:dyDescent="0.25">
      <c r="A51" s="719" t="s">
        <v>396</v>
      </c>
      <c r="B51" s="720">
        <v>1200</v>
      </c>
      <c r="C51" s="810">
        <v>13194</v>
      </c>
      <c r="D51" s="372">
        <v>10894</v>
      </c>
      <c r="E51" s="818">
        <f t="shared" si="1"/>
        <v>-2300</v>
      </c>
      <c r="H51" s="174"/>
      <c r="I51" s="173"/>
      <c r="J51" s="173"/>
      <c r="K51" s="173"/>
    </row>
    <row r="52" spans="1:11" ht="28.5" customHeight="1" x14ac:dyDescent="0.25">
      <c r="A52" s="232" t="s">
        <v>18</v>
      </c>
      <c r="B52" s="976"/>
      <c r="C52" s="1235">
        <v>250</v>
      </c>
      <c r="D52" s="372">
        <v>250</v>
      </c>
      <c r="E52" s="818">
        <f t="shared" si="1"/>
        <v>0</v>
      </c>
      <c r="H52" s="174"/>
      <c r="I52" s="173"/>
      <c r="J52" s="173"/>
      <c r="K52" s="173"/>
    </row>
    <row r="53" spans="1:11" s="8" customFormat="1" ht="18.899999999999999" customHeight="1" x14ac:dyDescent="0.3">
      <c r="A53" s="717" t="s">
        <v>982</v>
      </c>
      <c r="B53" s="718">
        <f>SUM(B54:B88)</f>
        <v>552790</v>
      </c>
      <c r="C53" s="1233">
        <f>SUM(C54:C88)</f>
        <v>918089</v>
      </c>
      <c r="D53" s="1233">
        <f>SUM(D54:D88)</f>
        <v>920922</v>
      </c>
      <c r="E53" s="1314">
        <f t="shared" si="1"/>
        <v>2833</v>
      </c>
      <c r="G53" s="9"/>
      <c r="H53" s="170"/>
      <c r="I53" s="171"/>
      <c r="J53" s="171"/>
      <c r="K53" s="171"/>
    </row>
    <row r="54" spans="1:11" ht="18.899999999999999" customHeight="1" x14ac:dyDescent="0.25">
      <c r="A54" s="228" t="s">
        <v>1003</v>
      </c>
      <c r="B54" s="108">
        <v>4000</v>
      </c>
      <c r="C54" s="363">
        <v>4279</v>
      </c>
      <c r="D54" s="1237">
        <v>4279</v>
      </c>
      <c r="E54" s="227">
        <f t="shared" si="1"/>
        <v>0</v>
      </c>
      <c r="H54" s="174"/>
      <c r="I54" s="173"/>
      <c r="J54" s="173"/>
      <c r="K54" s="173"/>
    </row>
    <row r="55" spans="1:11" ht="18.899999999999999" customHeight="1" x14ac:dyDescent="0.25">
      <c r="A55" s="228" t="s">
        <v>1004</v>
      </c>
      <c r="B55" s="108">
        <v>310046</v>
      </c>
      <c r="C55" s="363">
        <v>353186</v>
      </c>
      <c r="D55" s="363">
        <v>352502</v>
      </c>
      <c r="E55" s="227">
        <f t="shared" si="1"/>
        <v>-684</v>
      </c>
      <c r="H55" s="174"/>
      <c r="I55" s="173"/>
      <c r="J55" s="173"/>
      <c r="K55" s="173"/>
    </row>
    <row r="56" spans="1:11" ht="18.899999999999999" customHeight="1" x14ac:dyDescent="0.25">
      <c r="A56" s="228" t="s">
        <v>1005</v>
      </c>
      <c r="B56" s="108">
        <f>76900-3500</f>
        <v>73400</v>
      </c>
      <c r="C56" s="363">
        <v>66971</v>
      </c>
      <c r="D56" s="363">
        <v>70488</v>
      </c>
      <c r="E56" s="227">
        <f t="shared" si="1"/>
        <v>3517</v>
      </c>
      <c r="H56" s="174"/>
      <c r="I56" s="173"/>
      <c r="J56" s="173"/>
      <c r="K56" s="173"/>
    </row>
    <row r="57" spans="1:11" ht="18.899999999999999" customHeight="1" x14ac:dyDescent="0.25">
      <c r="A57" s="228" t="s">
        <v>1006</v>
      </c>
      <c r="B57" s="108">
        <v>1750</v>
      </c>
      <c r="C57" s="363">
        <v>1384</v>
      </c>
      <c r="D57" s="363">
        <v>1384</v>
      </c>
      <c r="E57" s="227">
        <f t="shared" si="1"/>
        <v>0</v>
      </c>
      <c r="H57" s="174"/>
      <c r="I57" s="173"/>
      <c r="J57" s="173"/>
      <c r="K57" s="173"/>
    </row>
    <row r="58" spans="1:11" ht="18.899999999999999" customHeight="1" x14ac:dyDescent="0.3">
      <c r="A58" s="228" t="s">
        <v>1007</v>
      </c>
      <c r="B58" s="108">
        <f>11610-1500</f>
        <v>10110</v>
      </c>
      <c r="C58" s="363">
        <v>7361</v>
      </c>
      <c r="D58" s="363">
        <v>7361</v>
      </c>
      <c r="E58" s="227">
        <f t="shared" si="1"/>
        <v>0</v>
      </c>
      <c r="H58" s="170"/>
      <c r="I58" s="171"/>
      <c r="J58" s="171"/>
      <c r="K58" s="171"/>
    </row>
    <row r="59" spans="1:11" ht="18.899999999999999" customHeight="1" x14ac:dyDescent="0.25">
      <c r="A59" s="228" t="s">
        <v>1008</v>
      </c>
      <c r="B59" s="108">
        <v>3940</v>
      </c>
      <c r="C59" s="363">
        <v>3190</v>
      </c>
      <c r="D59" s="363">
        <v>3190</v>
      </c>
      <c r="E59" s="227">
        <f t="shared" si="1"/>
        <v>0</v>
      </c>
      <c r="H59" s="170"/>
      <c r="I59" s="173"/>
      <c r="J59" s="173"/>
      <c r="K59" s="173"/>
    </row>
    <row r="60" spans="1:11" ht="18.899999999999999" customHeight="1" x14ac:dyDescent="0.25">
      <c r="A60" s="228" t="s">
        <v>1009</v>
      </c>
      <c r="B60" s="108">
        <v>800</v>
      </c>
      <c r="C60" s="363">
        <v>800</v>
      </c>
      <c r="D60" s="363">
        <v>800</v>
      </c>
      <c r="E60" s="227">
        <f t="shared" si="1"/>
        <v>0</v>
      </c>
      <c r="H60" s="174"/>
      <c r="I60" s="173"/>
      <c r="J60" s="173"/>
      <c r="K60" s="173"/>
    </row>
    <row r="61" spans="1:11" ht="18.899999999999999" customHeight="1" x14ac:dyDescent="0.25">
      <c r="A61" s="228" t="s">
        <v>1010</v>
      </c>
      <c r="B61" s="108">
        <v>11000</v>
      </c>
      <c r="C61" s="363">
        <v>10356</v>
      </c>
      <c r="D61" s="363">
        <v>10356</v>
      </c>
      <c r="E61" s="227">
        <f t="shared" si="1"/>
        <v>0</v>
      </c>
      <c r="H61" s="174"/>
      <c r="I61" s="173"/>
      <c r="J61" s="173"/>
      <c r="K61" s="173"/>
    </row>
    <row r="62" spans="1:11" ht="18.899999999999999" customHeight="1" x14ac:dyDescent="0.25">
      <c r="A62" s="228" t="s">
        <v>1011</v>
      </c>
      <c r="B62" s="108">
        <f>30353+2000</f>
        <v>32353</v>
      </c>
      <c r="C62" s="363">
        <v>47619</v>
      </c>
      <c r="D62" s="363">
        <v>47619</v>
      </c>
      <c r="E62" s="227">
        <f t="shared" si="1"/>
        <v>0</v>
      </c>
      <c r="H62" s="174"/>
      <c r="I62" s="173"/>
      <c r="J62" s="173"/>
      <c r="K62" s="173"/>
    </row>
    <row r="63" spans="1:11" ht="18.899999999999999" customHeight="1" x14ac:dyDescent="0.25">
      <c r="A63" s="228" t="s">
        <v>1012</v>
      </c>
      <c r="B63" s="108">
        <v>45598</v>
      </c>
      <c r="C63" s="363">
        <v>231265</v>
      </c>
      <c r="D63" s="363">
        <v>231265</v>
      </c>
      <c r="E63" s="227">
        <f t="shared" si="1"/>
        <v>0</v>
      </c>
      <c r="H63" s="174"/>
      <c r="I63" s="173"/>
      <c r="J63" s="173"/>
      <c r="K63" s="173"/>
    </row>
    <row r="64" spans="1:11" ht="18.899999999999999" customHeight="1" x14ac:dyDescent="0.3">
      <c r="A64" s="228" t="s">
        <v>1013</v>
      </c>
      <c r="B64" s="108">
        <v>1200</v>
      </c>
      <c r="C64" s="363">
        <v>1517</v>
      </c>
      <c r="D64" s="363">
        <v>1517</v>
      </c>
      <c r="E64" s="227">
        <f t="shared" si="1"/>
        <v>0</v>
      </c>
      <c r="H64" s="170"/>
      <c r="I64" s="171"/>
      <c r="J64" s="169"/>
      <c r="K64" s="171"/>
    </row>
    <row r="65" spans="1:11" ht="18.899999999999999" customHeight="1" x14ac:dyDescent="0.25">
      <c r="A65" s="228" t="s">
        <v>1014</v>
      </c>
      <c r="B65" s="108">
        <v>780</v>
      </c>
      <c r="C65" s="363">
        <v>1096</v>
      </c>
      <c r="D65" s="363">
        <v>1096</v>
      </c>
      <c r="E65" s="227">
        <f t="shared" si="1"/>
        <v>0</v>
      </c>
      <c r="H65" s="174"/>
      <c r="I65" s="173"/>
      <c r="J65" s="173"/>
      <c r="K65" s="173"/>
    </row>
    <row r="66" spans="1:11" ht="31.5" customHeight="1" x14ac:dyDescent="0.25">
      <c r="A66" s="228" t="s">
        <v>672</v>
      </c>
      <c r="B66" s="108">
        <v>17000</v>
      </c>
      <c r="C66" s="363">
        <v>22634</v>
      </c>
      <c r="D66" s="363">
        <v>24304</v>
      </c>
      <c r="E66" s="227">
        <f t="shared" si="1"/>
        <v>1670</v>
      </c>
      <c r="H66" s="174"/>
      <c r="I66" s="173"/>
      <c r="J66" s="173"/>
      <c r="K66" s="173"/>
    </row>
    <row r="67" spans="1:11" ht="15" x14ac:dyDescent="0.25">
      <c r="A67" s="228" t="s">
        <v>1015</v>
      </c>
      <c r="B67" s="108">
        <v>20603</v>
      </c>
      <c r="C67" s="811">
        <v>20603</v>
      </c>
      <c r="D67" s="811">
        <v>18933</v>
      </c>
      <c r="E67" s="227">
        <f t="shared" si="1"/>
        <v>-1670</v>
      </c>
      <c r="H67" s="174"/>
      <c r="I67" s="173"/>
      <c r="J67" s="173"/>
      <c r="K67" s="173"/>
    </row>
    <row r="68" spans="1:11" ht="30" x14ac:dyDescent="0.25">
      <c r="A68" s="228" t="s">
        <v>1016</v>
      </c>
      <c r="B68" s="108">
        <v>6524</v>
      </c>
      <c r="C68" s="811">
        <v>6524</v>
      </c>
      <c r="D68" s="811">
        <v>6525</v>
      </c>
      <c r="E68" s="227">
        <f t="shared" si="1"/>
        <v>1</v>
      </c>
      <c r="F68" s="162"/>
      <c r="H68" s="174"/>
      <c r="I68" s="173"/>
      <c r="J68" s="173"/>
      <c r="K68" s="173"/>
    </row>
    <row r="69" spans="1:11" ht="41.4" x14ac:dyDescent="0.25">
      <c r="A69" s="723" t="s">
        <v>25</v>
      </c>
      <c r="B69" s="177"/>
      <c r="C69" s="812">
        <v>1397</v>
      </c>
      <c r="D69" s="812">
        <v>1397</v>
      </c>
      <c r="E69" s="227">
        <f t="shared" si="1"/>
        <v>0</v>
      </c>
      <c r="F69" s="162"/>
      <c r="H69" s="174"/>
      <c r="I69" s="173"/>
      <c r="J69" s="173"/>
      <c r="K69" s="173"/>
    </row>
    <row r="70" spans="1:11" ht="27.6" x14ac:dyDescent="0.25">
      <c r="A70" s="723" t="s">
        <v>24</v>
      </c>
      <c r="B70" s="177"/>
      <c r="C70" s="812">
        <v>635</v>
      </c>
      <c r="D70" s="812">
        <v>635</v>
      </c>
      <c r="E70" s="227">
        <f t="shared" si="1"/>
        <v>0</v>
      </c>
      <c r="F70" s="162"/>
      <c r="H70" s="174"/>
      <c r="I70" s="173"/>
      <c r="J70" s="173"/>
      <c r="K70" s="173"/>
    </row>
    <row r="71" spans="1:11" ht="27.6" x14ac:dyDescent="0.25">
      <c r="A71" s="723" t="s">
        <v>23</v>
      </c>
      <c r="B71" s="177"/>
      <c r="C71" s="812">
        <v>7239</v>
      </c>
      <c r="D71" s="812">
        <v>7239</v>
      </c>
      <c r="E71" s="227">
        <f t="shared" si="1"/>
        <v>0</v>
      </c>
      <c r="F71" s="162"/>
      <c r="H71" s="174"/>
      <c r="I71" s="173"/>
      <c r="J71" s="173"/>
      <c r="K71" s="173"/>
    </row>
    <row r="72" spans="1:11" ht="27.6" x14ac:dyDescent="0.25">
      <c r="A72" s="723" t="s">
        <v>22</v>
      </c>
      <c r="B72" s="177"/>
      <c r="C72" s="812">
        <v>4572</v>
      </c>
      <c r="D72" s="812">
        <v>4572</v>
      </c>
      <c r="E72" s="227">
        <f t="shared" si="1"/>
        <v>0</v>
      </c>
      <c r="F72" s="162"/>
      <c r="H72" s="174"/>
      <c r="I72" s="173"/>
      <c r="J72" s="173"/>
      <c r="K72" s="173"/>
    </row>
    <row r="73" spans="1:11" ht="27.6" x14ac:dyDescent="0.25">
      <c r="A73" s="723" t="s">
        <v>21</v>
      </c>
      <c r="B73" s="177"/>
      <c r="C73" s="812">
        <v>2032</v>
      </c>
      <c r="D73" s="812">
        <v>2032</v>
      </c>
      <c r="E73" s="227">
        <f t="shared" si="1"/>
        <v>0</v>
      </c>
      <c r="F73" s="162"/>
      <c r="H73" s="174"/>
      <c r="I73" s="173"/>
      <c r="J73" s="173"/>
      <c r="K73" s="173"/>
    </row>
    <row r="74" spans="1:11" ht="27.6" x14ac:dyDescent="0.25">
      <c r="A74" s="723" t="s">
        <v>26</v>
      </c>
      <c r="B74" s="177"/>
      <c r="C74" s="812">
        <v>635</v>
      </c>
      <c r="D74" s="812">
        <v>635</v>
      </c>
      <c r="E74" s="227">
        <f t="shared" si="1"/>
        <v>0</v>
      </c>
      <c r="F74" s="162"/>
      <c r="H74" s="174"/>
      <c r="I74" s="173"/>
      <c r="J74" s="173"/>
      <c r="K74" s="173"/>
    </row>
    <row r="75" spans="1:11" ht="27.6" x14ac:dyDescent="0.25">
      <c r="A75" s="723" t="s">
        <v>20</v>
      </c>
      <c r="B75" s="177"/>
      <c r="C75" s="812">
        <v>1270</v>
      </c>
      <c r="D75" s="812">
        <v>1270</v>
      </c>
      <c r="E75" s="227">
        <f t="shared" si="1"/>
        <v>0</v>
      </c>
      <c r="F75" s="162"/>
      <c r="H75" s="174"/>
      <c r="I75" s="173"/>
      <c r="J75" s="173"/>
      <c r="K75" s="173"/>
    </row>
    <row r="76" spans="1:11" ht="69" x14ac:dyDescent="0.25">
      <c r="A76" s="723" t="s">
        <v>19</v>
      </c>
      <c r="B76" s="177"/>
      <c r="C76" s="812">
        <v>2286</v>
      </c>
      <c r="D76" s="812">
        <v>2286</v>
      </c>
      <c r="E76" s="227">
        <f t="shared" si="1"/>
        <v>0</v>
      </c>
      <c r="F76" s="162"/>
      <c r="H76" s="174"/>
      <c r="I76" s="173"/>
      <c r="J76" s="173"/>
      <c r="K76" s="173"/>
    </row>
    <row r="77" spans="1:11" ht="28.2" thickBot="1" x14ac:dyDescent="0.3">
      <c r="A77" s="980" t="s">
        <v>27</v>
      </c>
      <c r="B77" s="653"/>
      <c r="C77" s="813">
        <v>3175</v>
      </c>
      <c r="D77" s="813">
        <v>3175</v>
      </c>
      <c r="E77" s="227">
        <f t="shared" si="1"/>
        <v>0</v>
      </c>
      <c r="F77" s="162"/>
      <c r="H77" s="174"/>
      <c r="I77" s="173"/>
      <c r="J77" s="173"/>
      <c r="K77" s="173"/>
    </row>
    <row r="78" spans="1:11" ht="42" thickBot="1" x14ac:dyDescent="0.3">
      <c r="A78" s="357" t="s">
        <v>307</v>
      </c>
      <c r="B78" s="843" t="s">
        <v>659</v>
      </c>
      <c r="C78" s="347" t="s">
        <v>52</v>
      </c>
      <c r="D78" s="347" t="s">
        <v>800</v>
      </c>
      <c r="E78" s="346" t="s">
        <v>660</v>
      </c>
      <c r="F78" s="162"/>
      <c r="H78" s="174"/>
      <c r="I78" s="173"/>
      <c r="J78" s="173"/>
      <c r="K78" s="173"/>
    </row>
    <row r="79" spans="1:11" ht="45" x14ac:dyDescent="0.25">
      <c r="A79" s="229" t="s">
        <v>28</v>
      </c>
      <c r="B79" s="177"/>
      <c r="C79" s="812">
        <v>19495</v>
      </c>
      <c r="D79" s="812">
        <v>19495</v>
      </c>
      <c r="E79" s="227">
        <f>D79-C79</f>
        <v>0</v>
      </c>
      <c r="F79" s="162"/>
      <c r="H79" s="174"/>
      <c r="I79" s="173"/>
      <c r="J79" s="173"/>
      <c r="K79" s="173"/>
    </row>
    <row r="80" spans="1:11" ht="45" x14ac:dyDescent="0.25">
      <c r="A80" s="229" t="s">
        <v>29</v>
      </c>
      <c r="B80" s="177"/>
      <c r="C80" s="812">
        <v>20000</v>
      </c>
      <c r="D80" s="812">
        <v>20000</v>
      </c>
      <c r="E80" s="227">
        <f t="shared" ref="E80:E88" si="2">D80-C80</f>
        <v>0</v>
      </c>
      <c r="F80" s="162"/>
      <c r="H80" s="174"/>
      <c r="I80" s="173"/>
      <c r="J80" s="173"/>
      <c r="K80" s="173"/>
    </row>
    <row r="81" spans="1:11" ht="55.2" x14ac:dyDescent="0.25">
      <c r="A81" s="723" t="s">
        <v>425</v>
      </c>
      <c r="B81" s="177"/>
      <c r="C81" s="812">
        <v>1270</v>
      </c>
      <c r="D81" s="812">
        <v>1270</v>
      </c>
      <c r="E81" s="227">
        <f t="shared" si="2"/>
        <v>0</v>
      </c>
      <c r="F81" s="162"/>
      <c r="H81" s="174"/>
      <c r="I81" s="173"/>
      <c r="J81" s="173"/>
      <c r="K81" s="173"/>
    </row>
    <row r="82" spans="1:11" ht="15" x14ac:dyDescent="0.25">
      <c r="A82" s="1292" t="s">
        <v>1026</v>
      </c>
      <c r="B82" s="177"/>
      <c r="C82" s="812"/>
      <c r="D82" s="812">
        <v>850</v>
      </c>
      <c r="E82" s="227">
        <f t="shared" si="2"/>
        <v>850</v>
      </c>
      <c r="F82" s="162"/>
      <c r="H82" s="174"/>
      <c r="I82" s="173"/>
      <c r="J82" s="173"/>
      <c r="K82" s="173"/>
    </row>
    <row r="83" spans="1:11" ht="27.6" x14ac:dyDescent="0.25">
      <c r="A83" s="1292" t="s">
        <v>1027</v>
      </c>
      <c r="B83" s="177"/>
      <c r="C83" s="812"/>
      <c r="D83" s="812">
        <v>3493</v>
      </c>
      <c r="E83" s="227">
        <f t="shared" si="2"/>
        <v>3493</v>
      </c>
      <c r="F83" s="162"/>
      <c r="H83" s="174"/>
      <c r="I83" s="173"/>
      <c r="J83" s="173"/>
      <c r="K83" s="173"/>
    </row>
    <row r="84" spans="1:11" ht="15" x14ac:dyDescent="0.25">
      <c r="A84" s="1172" t="s">
        <v>782</v>
      </c>
      <c r="B84" s="177"/>
      <c r="C84" s="812">
        <v>3810</v>
      </c>
      <c r="D84" s="812">
        <v>3810</v>
      </c>
      <c r="E84" s="227">
        <f t="shared" si="2"/>
        <v>0</v>
      </c>
      <c r="F84" s="162"/>
      <c r="H84" s="174"/>
      <c r="I84" s="173"/>
      <c r="J84" s="173"/>
      <c r="K84" s="173"/>
    </row>
    <row r="85" spans="1:11" ht="15" x14ac:dyDescent="0.25">
      <c r="A85" s="1165" t="s">
        <v>783</v>
      </c>
      <c r="B85" s="177"/>
      <c r="C85" s="812">
        <v>35675</v>
      </c>
      <c r="D85" s="812">
        <v>35675</v>
      </c>
      <c r="E85" s="227">
        <f t="shared" si="2"/>
        <v>0</v>
      </c>
      <c r="F85" s="162"/>
      <c r="H85" s="174"/>
      <c r="I85" s="173"/>
      <c r="J85" s="173"/>
      <c r="K85" s="173"/>
    </row>
    <row r="86" spans="1:11" ht="15.6" x14ac:dyDescent="0.3">
      <c r="A86" s="228" t="s">
        <v>398</v>
      </c>
      <c r="B86" s="108">
        <v>7620</v>
      </c>
      <c r="C86" s="363">
        <v>7620</v>
      </c>
      <c r="D86" s="363">
        <v>7620</v>
      </c>
      <c r="E86" s="227">
        <f t="shared" si="2"/>
        <v>0</v>
      </c>
      <c r="H86" s="170"/>
      <c r="I86" s="171"/>
      <c r="J86" s="169"/>
      <c r="K86" s="171"/>
    </row>
    <row r="87" spans="1:11" ht="30" x14ac:dyDescent="0.25">
      <c r="A87" s="229" t="s">
        <v>441</v>
      </c>
      <c r="B87" s="177"/>
      <c r="C87" s="812">
        <v>20105</v>
      </c>
      <c r="D87" s="812">
        <v>20105</v>
      </c>
      <c r="E87" s="1238">
        <f t="shared" si="2"/>
        <v>0</v>
      </c>
      <c r="F87" s="162"/>
      <c r="H87" s="174"/>
      <c r="I87" s="173"/>
      <c r="J87" s="173"/>
      <c r="K87" s="173"/>
    </row>
    <row r="88" spans="1:11" ht="30.6" thickBot="1" x14ac:dyDescent="0.3">
      <c r="A88" s="383" t="s">
        <v>123</v>
      </c>
      <c r="B88" s="653">
        <v>6066</v>
      </c>
      <c r="C88" s="813">
        <v>8088</v>
      </c>
      <c r="D88" s="813">
        <v>3744</v>
      </c>
      <c r="E88" s="1239">
        <f t="shared" si="2"/>
        <v>-4344</v>
      </c>
      <c r="H88" s="174"/>
      <c r="I88" s="173"/>
      <c r="J88" s="173"/>
      <c r="K88" s="173"/>
    </row>
    <row r="89" spans="1:11" ht="15.6" thickBot="1" x14ac:dyDescent="0.3">
      <c r="A89" s="383"/>
      <c r="B89" s="977"/>
      <c r="C89" s="978"/>
      <c r="D89" s="978"/>
      <c r="E89" s="979"/>
      <c r="H89" s="174"/>
      <c r="I89" s="173"/>
      <c r="J89" s="173"/>
      <c r="K89" s="173"/>
    </row>
    <row r="90" spans="1:11" s="8" customFormat="1" ht="29.25" customHeight="1" x14ac:dyDescent="0.3">
      <c r="A90" s="384" t="s">
        <v>1017</v>
      </c>
      <c r="B90" s="373">
        <f>SUM(B91:B99)</f>
        <v>29250</v>
      </c>
      <c r="C90" s="373">
        <f>SUM(C91:C99)</f>
        <v>30254</v>
      </c>
      <c r="D90" s="373">
        <f>SUM(D91:D99)</f>
        <v>30254</v>
      </c>
      <c r="E90" s="373">
        <f>D90-C90</f>
        <v>0</v>
      </c>
      <c r="F90" s="169"/>
      <c r="G90" s="169"/>
      <c r="H90" s="170"/>
      <c r="I90" s="171"/>
      <c r="J90" s="171"/>
      <c r="K90" s="171"/>
    </row>
    <row r="91" spans="1:11" ht="18.899999999999999" customHeight="1" x14ac:dyDescent="0.25">
      <c r="A91" s="228" t="s">
        <v>1018</v>
      </c>
      <c r="B91" s="654"/>
      <c r="C91" s="372">
        <v>431</v>
      </c>
      <c r="D91" s="372">
        <v>431</v>
      </c>
      <c r="E91" s="818">
        <f>D91-C91</f>
        <v>0</v>
      </c>
      <c r="H91" s="174"/>
      <c r="I91" s="173"/>
      <c r="J91" s="173"/>
      <c r="K91" s="173"/>
    </row>
    <row r="92" spans="1:11" ht="30" customHeight="1" x14ac:dyDescent="0.25">
      <c r="A92" s="228" t="s">
        <v>1019</v>
      </c>
      <c r="B92" s="654">
        <v>18000</v>
      </c>
      <c r="C92" s="372">
        <f>17073-140</f>
        <v>16933</v>
      </c>
      <c r="D92" s="372">
        <v>16933</v>
      </c>
      <c r="E92" s="818">
        <f t="shared" ref="E92:E115" si="3">D92-C92</f>
        <v>0</v>
      </c>
      <c r="H92" s="174"/>
      <c r="I92" s="173"/>
      <c r="J92" s="173"/>
      <c r="K92" s="173"/>
    </row>
    <row r="93" spans="1:11" ht="18.899999999999999" customHeight="1" x14ac:dyDescent="0.25">
      <c r="A93" s="228" t="s">
        <v>1020</v>
      </c>
      <c r="B93" s="654">
        <v>3000</v>
      </c>
      <c r="C93" s="372">
        <v>3500</v>
      </c>
      <c r="D93" s="372">
        <v>3500</v>
      </c>
      <c r="E93" s="818">
        <f t="shared" si="3"/>
        <v>0</v>
      </c>
      <c r="H93" s="174"/>
      <c r="I93" s="173"/>
      <c r="J93" s="173"/>
      <c r="K93" s="173"/>
    </row>
    <row r="94" spans="1:11" ht="18.899999999999999" customHeight="1" x14ac:dyDescent="0.3">
      <c r="A94" s="228" t="s">
        <v>322</v>
      </c>
      <c r="B94" s="654">
        <v>2500</v>
      </c>
      <c r="C94" s="372">
        <v>2000</v>
      </c>
      <c r="D94" s="372">
        <v>2000</v>
      </c>
      <c r="E94" s="818">
        <f t="shared" si="3"/>
        <v>0</v>
      </c>
      <c r="H94" s="168"/>
      <c r="I94" s="171"/>
      <c r="J94" s="171"/>
      <c r="K94" s="171"/>
    </row>
    <row r="95" spans="1:11" ht="18.899999999999999" customHeight="1" x14ac:dyDescent="0.25">
      <c r="A95" s="228" t="s">
        <v>1021</v>
      </c>
      <c r="B95" s="654">
        <v>700</v>
      </c>
      <c r="C95" s="372">
        <v>490</v>
      </c>
      <c r="D95" s="372">
        <v>490</v>
      </c>
      <c r="E95" s="818">
        <f t="shared" si="3"/>
        <v>0</v>
      </c>
      <c r="H95" s="176"/>
      <c r="I95" s="173"/>
      <c r="J95" s="173"/>
      <c r="K95" s="173"/>
    </row>
    <row r="96" spans="1:11" ht="18.899999999999999" customHeight="1" x14ac:dyDescent="0.25">
      <c r="A96" s="228" t="s">
        <v>1022</v>
      </c>
      <c r="B96" s="654">
        <v>150</v>
      </c>
      <c r="C96" s="372">
        <v>742</v>
      </c>
      <c r="D96" s="372">
        <v>742</v>
      </c>
      <c r="E96" s="818">
        <f t="shared" si="3"/>
        <v>0</v>
      </c>
      <c r="H96" s="176"/>
      <c r="I96" s="173"/>
      <c r="J96" s="173"/>
      <c r="K96" s="173"/>
    </row>
    <row r="97" spans="1:11" ht="15" x14ac:dyDescent="0.25">
      <c r="A97" s="578" t="s">
        <v>30</v>
      </c>
      <c r="B97" s="655">
        <v>1000</v>
      </c>
      <c r="C97" s="372">
        <v>1998</v>
      </c>
      <c r="D97" s="372">
        <v>1998</v>
      </c>
      <c r="E97" s="818">
        <f t="shared" si="3"/>
        <v>0</v>
      </c>
      <c r="H97" s="176"/>
      <c r="I97" s="173"/>
      <c r="J97" s="173"/>
      <c r="K97" s="173"/>
    </row>
    <row r="98" spans="1:11" ht="18.899999999999999" customHeight="1" x14ac:dyDescent="0.25">
      <c r="A98" s="228" t="s">
        <v>323</v>
      </c>
      <c r="B98" s="654">
        <v>1500</v>
      </c>
      <c r="C98" s="372">
        <v>1960</v>
      </c>
      <c r="D98" s="372">
        <v>1960</v>
      </c>
      <c r="E98" s="818">
        <f t="shared" si="3"/>
        <v>0</v>
      </c>
      <c r="H98" s="176"/>
      <c r="I98" s="173"/>
      <c r="J98" s="173"/>
      <c r="K98" s="173"/>
    </row>
    <row r="99" spans="1:11" ht="18.899999999999999" customHeight="1" x14ac:dyDescent="0.25">
      <c r="A99" s="228" t="s">
        <v>324</v>
      </c>
      <c r="B99" s="654">
        <v>2400</v>
      </c>
      <c r="C99" s="372">
        <v>2200</v>
      </c>
      <c r="D99" s="372">
        <v>2200</v>
      </c>
      <c r="E99" s="818">
        <f t="shared" si="3"/>
        <v>0</v>
      </c>
      <c r="H99" s="176"/>
      <c r="I99" s="173"/>
      <c r="J99" s="173"/>
      <c r="K99" s="173"/>
    </row>
    <row r="100" spans="1:11" s="8" customFormat="1" ht="28.5" customHeight="1" x14ac:dyDescent="0.3">
      <c r="A100" s="224" t="s">
        <v>991</v>
      </c>
      <c r="B100" s="371">
        <f>B101+B102+B103+B104+B105+B106+B107+B113+B114</f>
        <v>899741</v>
      </c>
      <c r="C100" s="371">
        <f>C101+C102+C103+C104+C105+C106+C107+C113+C114</f>
        <v>977991</v>
      </c>
      <c r="D100" s="371">
        <f>D101+D102+D103+D104+D105+D106+D107+D113+D114</f>
        <v>966923</v>
      </c>
      <c r="E100" s="1236">
        <f t="shared" si="3"/>
        <v>-11068</v>
      </c>
      <c r="H100" s="168"/>
      <c r="I100" s="437"/>
      <c r="J100" s="437"/>
      <c r="K100" s="437"/>
    </row>
    <row r="101" spans="1:11" ht="28.5" customHeight="1" x14ac:dyDescent="0.25">
      <c r="A101" s="236" t="s">
        <v>1023</v>
      </c>
      <c r="B101" s="654">
        <v>5</v>
      </c>
      <c r="C101" s="372">
        <v>35</v>
      </c>
      <c r="D101" s="372">
        <v>35</v>
      </c>
      <c r="E101" s="818">
        <f t="shared" si="3"/>
        <v>0</v>
      </c>
      <c r="H101" s="168"/>
      <c r="I101" s="158"/>
      <c r="J101" s="158"/>
      <c r="K101" s="158"/>
    </row>
    <row r="102" spans="1:11" ht="45" x14ac:dyDescent="0.3">
      <c r="A102" s="236" t="s">
        <v>1024</v>
      </c>
      <c r="B102" s="654"/>
      <c r="C102" s="371"/>
      <c r="D102" s="371"/>
      <c r="E102" s="818">
        <f t="shared" si="3"/>
        <v>0</v>
      </c>
      <c r="H102" s="168"/>
      <c r="I102" s="158"/>
      <c r="J102" s="158"/>
      <c r="K102" s="158"/>
    </row>
    <row r="103" spans="1:11" ht="48.75" customHeight="1" x14ac:dyDescent="0.3">
      <c r="A103" s="236" t="s">
        <v>1025</v>
      </c>
      <c r="B103" s="654"/>
      <c r="C103" s="371"/>
      <c r="D103" s="371"/>
      <c r="E103" s="818">
        <f t="shared" si="3"/>
        <v>0</v>
      </c>
      <c r="H103" s="168"/>
      <c r="I103" s="158"/>
      <c r="J103" s="158"/>
      <c r="K103" s="158"/>
    </row>
    <row r="104" spans="1:11" ht="48.75" customHeight="1" x14ac:dyDescent="0.3">
      <c r="A104" s="236" t="s">
        <v>0</v>
      </c>
      <c r="B104" s="654"/>
      <c r="C104" s="371"/>
      <c r="D104" s="371"/>
      <c r="E104" s="818">
        <f t="shared" si="3"/>
        <v>0</v>
      </c>
      <c r="H104" s="168"/>
      <c r="I104" s="158"/>
      <c r="J104" s="158"/>
      <c r="K104" s="158"/>
    </row>
    <row r="105" spans="1:11" ht="30" x14ac:dyDescent="0.25">
      <c r="A105" s="237" t="s">
        <v>1</v>
      </c>
      <c r="B105" s="654">
        <v>479336</v>
      </c>
      <c r="C105" s="372">
        <v>473748</v>
      </c>
      <c r="D105" s="372">
        <f>'5b. sz. tábla  (2)'!D4</f>
        <v>473748</v>
      </c>
      <c r="E105" s="818">
        <f t="shared" si="3"/>
        <v>0</v>
      </c>
      <c r="H105" s="174"/>
      <c r="I105" s="173"/>
      <c r="J105" s="173"/>
      <c r="K105" s="173"/>
    </row>
    <row r="106" spans="1:11" ht="45" x14ac:dyDescent="0.25">
      <c r="A106" s="236" t="s">
        <v>2</v>
      </c>
      <c r="B106" s="654"/>
      <c r="C106" s="372"/>
      <c r="D106" s="372"/>
      <c r="E106" s="818">
        <f t="shared" si="3"/>
        <v>0</v>
      </c>
      <c r="H106" s="174"/>
      <c r="I106" s="173"/>
      <c r="J106" s="173"/>
      <c r="K106" s="173"/>
    </row>
    <row r="107" spans="1:11" ht="48.75" customHeight="1" x14ac:dyDescent="0.25">
      <c r="A107" s="236" t="s">
        <v>673</v>
      </c>
      <c r="B107" s="372">
        <f>SUM(B108:B112)</f>
        <v>12068</v>
      </c>
      <c r="C107" s="372">
        <f>SUM(C108:C112)</f>
        <v>17668</v>
      </c>
      <c r="D107" s="372">
        <f>SUM(D108:D112)</f>
        <v>6600</v>
      </c>
      <c r="E107" s="818">
        <f t="shared" si="3"/>
        <v>-11068</v>
      </c>
      <c r="F107" s="162"/>
      <c r="H107" s="174"/>
      <c r="I107" s="173"/>
      <c r="J107" s="173"/>
      <c r="K107" s="173"/>
    </row>
    <row r="108" spans="1:11" ht="30" x14ac:dyDescent="0.25">
      <c r="A108" s="236" t="s">
        <v>599</v>
      </c>
      <c r="B108" s="654">
        <v>1368</v>
      </c>
      <c r="C108" s="372">
        <v>1368</v>
      </c>
      <c r="D108" s="372">
        <v>0</v>
      </c>
      <c r="E108" s="818">
        <f t="shared" si="3"/>
        <v>-1368</v>
      </c>
      <c r="H108" s="174"/>
      <c r="I108" s="173"/>
      <c r="J108" s="173"/>
      <c r="K108" s="173"/>
    </row>
    <row r="109" spans="1:11" ht="30" x14ac:dyDescent="0.25">
      <c r="A109" s="236" t="s">
        <v>600</v>
      </c>
      <c r="B109" s="654">
        <v>10700</v>
      </c>
      <c r="C109" s="372">
        <v>10700</v>
      </c>
      <c r="D109" s="372">
        <v>0</v>
      </c>
      <c r="E109" s="818">
        <f t="shared" si="3"/>
        <v>-10700</v>
      </c>
      <c r="H109" s="174"/>
      <c r="I109" s="173"/>
      <c r="J109" s="173"/>
      <c r="K109" s="173"/>
    </row>
    <row r="110" spans="1:11" ht="30" x14ac:dyDescent="0.25">
      <c r="A110" s="236" t="s">
        <v>795</v>
      </c>
      <c r="B110" s="654"/>
      <c r="C110" s="372">
        <v>600</v>
      </c>
      <c r="D110" s="372">
        <v>600</v>
      </c>
      <c r="E110" s="818">
        <f t="shared" si="3"/>
        <v>0</v>
      </c>
      <c r="H110" s="174"/>
      <c r="I110" s="173"/>
      <c r="J110" s="173"/>
      <c r="K110" s="173"/>
    </row>
    <row r="111" spans="1:11" ht="15" x14ac:dyDescent="0.25">
      <c r="A111" s="236" t="s">
        <v>784</v>
      </c>
      <c r="B111" s="654"/>
      <c r="C111" s="372">
        <v>5000</v>
      </c>
      <c r="D111" s="372">
        <v>5000</v>
      </c>
      <c r="E111" s="818">
        <f t="shared" si="3"/>
        <v>0</v>
      </c>
      <c r="H111" s="174"/>
      <c r="I111" s="173"/>
      <c r="J111" s="173"/>
      <c r="K111" s="173"/>
    </row>
    <row r="112" spans="1:11" ht="30" x14ac:dyDescent="0.25">
      <c r="A112" s="236" t="s">
        <v>1029</v>
      </c>
      <c r="B112" s="654"/>
      <c r="C112" s="372"/>
      <c r="D112" s="372">
        <v>1000</v>
      </c>
      <c r="E112" s="818">
        <f t="shared" si="3"/>
        <v>1000</v>
      </c>
      <c r="H112" s="174"/>
      <c r="I112" s="173"/>
      <c r="J112" s="173"/>
      <c r="K112" s="173"/>
    </row>
    <row r="113" spans="1:11" ht="30" x14ac:dyDescent="0.25">
      <c r="A113" s="237" t="s">
        <v>3</v>
      </c>
      <c r="B113" s="654">
        <v>408332</v>
      </c>
      <c r="C113" s="372">
        <v>486540</v>
      </c>
      <c r="D113" s="372">
        <f>'5b. sz. tábla  (2)'!D12</f>
        <v>486540</v>
      </c>
      <c r="E113" s="818">
        <f t="shared" si="3"/>
        <v>0</v>
      </c>
      <c r="H113" s="174"/>
      <c r="I113" s="173"/>
      <c r="J113" s="173"/>
      <c r="K113" s="173"/>
    </row>
    <row r="114" spans="1:11" ht="15" x14ac:dyDescent="0.25">
      <c r="A114" s="236"/>
      <c r="B114" s="654"/>
      <c r="C114" s="819"/>
      <c r="D114" s="819"/>
      <c r="E114" s="1240">
        <f t="shared" si="3"/>
        <v>0</v>
      </c>
      <c r="H114" s="174"/>
      <c r="I114" s="173"/>
      <c r="J114" s="173"/>
      <c r="K114" s="173"/>
    </row>
    <row r="115" spans="1:11" s="8" customFormat="1" ht="31.8" thickBot="1" x14ac:dyDescent="0.35">
      <c r="A115" s="230" t="s">
        <v>4</v>
      </c>
      <c r="B115" s="374">
        <f>B100+B90+B53+B44+B34</f>
        <v>1540111</v>
      </c>
      <c r="C115" s="374">
        <f>C100+C90+C53+C44+C34</f>
        <v>2035034</v>
      </c>
      <c r="D115" s="374">
        <f>D100+D90+D53+D44+D34</f>
        <v>2023282</v>
      </c>
      <c r="E115" s="1241">
        <f t="shared" si="3"/>
        <v>-11752</v>
      </c>
      <c r="F115" s="9"/>
      <c r="H115" s="170"/>
      <c r="I115" s="171"/>
      <c r="J115" s="171"/>
      <c r="K115" s="171"/>
    </row>
    <row r="116" spans="1:11" x14ac:dyDescent="0.25">
      <c r="E116" s="162"/>
    </row>
  </sheetData>
  <sheetProtection selectLockedCells="1" selectUnlockedCells="1"/>
  <phoneticPr fontId="28" type="noConversion"/>
  <pageMargins left="0.74791666666666667" right="0.74791666666666667" top="0.98402777777777772" bottom="0.98402777777777772" header="0.51180555555555551" footer="0.51180555555555551"/>
  <pageSetup paperSize="9" scale="63" firstPageNumber="0" orientation="portrait" r:id="rId1"/>
  <headerFooter alignWithMargins="0">
    <oddHeader>&amp;C&amp;"Arial,Félkövér"MŰKÖDÉSI KIADÁSOK 2016. ÉV
5. melléklet
az önkormányzat 2016. évi költségvetéséről szóló 8/2016. (II.26.) önkormányzati rendelet
módosításáról szóló 7/2017.(II.24.) önkormányzati rendelethez&amp;R
&amp;P. oldal
ezer forint</oddHeader>
  </headerFooter>
  <rowBreaks count="2" manualBreakCount="2">
    <brk id="31" max="4" man="1"/>
    <brk id="77"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97"/>
  <sheetViews>
    <sheetView view="pageLayout" zoomScaleNormal="100" zoomScaleSheetLayoutView="80" workbookViewId="0">
      <selection activeCell="C12" sqref="C12:D12"/>
    </sheetView>
  </sheetViews>
  <sheetFormatPr defaultColWidth="9.109375" defaultRowHeight="15.75" customHeight="1" x14ac:dyDescent="0.25"/>
  <cols>
    <col min="1" max="1" width="56.6640625" style="180" customWidth="1"/>
    <col min="2" max="7" width="13.6640625" style="178" customWidth="1"/>
    <col min="8" max="8" width="10.33203125" style="178" customWidth="1"/>
    <col min="9" max="9" width="16.88671875" style="178" customWidth="1"/>
    <col min="10" max="10" width="15.6640625" style="178" customWidth="1"/>
    <col min="11" max="11" width="11.44140625" style="178" customWidth="1"/>
    <col min="12" max="12" width="11" style="178" customWidth="1"/>
    <col min="13" max="13" width="13.6640625" style="178" customWidth="1"/>
    <col min="14" max="14" width="16.33203125" style="178" customWidth="1"/>
    <col min="15" max="15" width="14.33203125" style="178" customWidth="1"/>
    <col min="16" max="16" width="13" style="178" customWidth="1"/>
    <col min="17" max="17" width="14.109375" style="178" customWidth="1"/>
    <col min="18" max="18" width="13.5546875" style="178" customWidth="1"/>
    <col min="19" max="16384" width="9.109375" style="178"/>
  </cols>
  <sheetData>
    <row r="2" spans="1:6" ht="15.75" customHeight="1" thickBot="1" x14ac:dyDescent="0.3"/>
    <row r="3" spans="1:6" s="12" customFormat="1" ht="63.75" customHeight="1" thickBot="1" x14ac:dyDescent="0.3">
      <c r="A3" s="1246" t="s">
        <v>307</v>
      </c>
      <c r="B3" s="347" t="s">
        <v>659</v>
      </c>
      <c r="C3" s="347" t="s">
        <v>52</v>
      </c>
      <c r="D3" s="347" t="s">
        <v>800</v>
      </c>
      <c r="E3" s="346" t="s">
        <v>660</v>
      </c>
    </row>
    <row r="4" spans="1:6" s="12" customFormat="1" ht="18" customHeight="1" x14ac:dyDescent="0.25">
      <c r="A4" s="1243" t="s">
        <v>175</v>
      </c>
      <c r="B4" s="1244">
        <f>SUM(B5:B11)</f>
        <v>479336</v>
      </c>
      <c r="C4" s="1244">
        <f>SUM(C5:C11)</f>
        <v>473748</v>
      </c>
      <c r="D4" s="1244">
        <f>SUM(D5:D11)</f>
        <v>473748</v>
      </c>
      <c r="E4" s="1245">
        <f>D4-C4</f>
        <v>0</v>
      </c>
      <c r="F4" s="13"/>
    </row>
    <row r="5" spans="1:6" s="12" customFormat="1" ht="18" customHeight="1" x14ac:dyDescent="0.25">
      <c r="A5" s="1176" t="s">
        <v>5</v>
      </c>
      <c r="B5" s="722">
        <v>1763</v>
      </c>
      <c r="C5" s="306">
        <v>1763</v>
      </c>
      <c r="D5" s="1242">
        <v>1763</v>
      </c>
      <c r="E5" s="987">
        <f>D5-C5</f>
        <v>0</v>
      </c>
    </row>
    <row r="6" spans="1:6" s="12" customFormat="1" ht="17.25" customHeight="1" x14ac:dyDescent="0.25">
      <c r="A6" s="1177" t="s">
        <v>6</v>
      </c>
      <c r="B6" s="722">
        <v>145</v>
      </c>
      <c r="C6" s="306">
        <v>1525</v>
      </c>
      <c r="D6" s="1242">
        <v>1525</v>
      </c>
      <c r="E6" s="987">
        <f t="shared" ref="E6:E51" si="0">D6-C6</f>
        <v>0</v>
      </c>
    </row>
    <row r="7" spans="1:6" s="12" customFormat="1" ht="15.75" customHeight="1" x14ac:dyDescent="0.25">
      <c r="A7" s="222" t="s">
        <v>674</v>
      </c>
      <c r="B7" s="722">
        <v>1350</v>
      </c>
      <c r="C7" s="306">
        <v>1350</v>
      </c>
      <c r="D7" s="1242">
        <v>1350</v>
      </c>
      <c r="E7" s="987">
        <f t="shared" si="0"/>
        <v>0</v>
      </c>
    </row>
    <row r="8" spans="1:6" s="12" customFormat="1" ht="18" customHeight="1" x14ac:dyDescent="0.25">
      <c r="A8" s="254" t="s">
        <v>7</v>
      </c>
      <c r="B8" s="722">
        <v>112220</v>
      </c>
      <c r="C8" s="306">
        <v>105371</v>
      </c>
      <c r="D8" s="1242">
        <v>105371</v>
      </c>
      <c r="E8" s="987">
        <f t="shared" si="0"/>
        <v>0</v>
      </c>
    </row>
    <row r="9" spans="1:6" s="12" customFormat="1" ht="18" customHeight="1" x14ac:dyDescent="0.25">
      <c r="A9" s="254" t="s">
        <v>57</v>
      </c>
      <c r="B9" s="722">
        <v>363858</v>
      </c>
      <c r="C9" s="306">
        <v>363321</v>
      </c>
      <c r="D9" s="1242">
        <v>363321</v>
      </c>
      <c r="E9" s="987">
        <f t="shared" si="0"/>
        <v>0</v>
      </c>
    </row>
    <row r="10" spans="1:6" s="12" customFormat="1" ht="18" customHeight="1" x14ac:dyDescent="0.25">
      <c r="A10" s="1178" t="s">
        <v>412</v>
      </c>
      <c r="B10" s="722"/>
      <c r="C10" s="306">
        <v>12</v>
      </c>
      <c r="D10" s="1242">
        <v>12</v>
      </c>
      <c r="E10" s="987">
        <f t="shared" si="0"/>
        <v>0</v>
      </c>
    </row>
    <row r="11" spans="1:6" s="12" customFormat="1" ht="18" customHeight="1" x14ac:dyDescent="0.25">
      <c r="A11" s="1178" t="s">
        <v>786</v>
      </c>
      <c r="B11" s="722"/>
      <c r="C11" s="306">
        <v>406</v>
      </c>
      <c r="D11" s="1242">
        <v>406</v>
      </c>
      <c r="E11" s="987">
        <f t="shared" si="0"/>
        <v>0</v>
      </c>
    </row>
    <row r="12" spans="1:6" s="12" customFormat="1" ht="17.25" customHeight="1" x14ac:dyDescent="0.25">
      <c r="A12" s="1174" t="s">
        <v>176</v>
      </c>
      <c r="B12" s="1173">
        <f>SUM(B13:B89)</f>
        <v>408332</v>
      </c>
      <c r="C12" s="1173">
        <f>SUM(C13:C95)</f>
        <v>486540</v>
      </c>
      <c r="D12" s="1173">
        <f>SUM(D13:D95)</f>
        <v>486540</v>
      </c>
      <c r="E12" s="1175">
        <f t="shared" si="0"/>
        <v>0</v>
      </c>
      <c r="F12" s="13"/>
    </row>
    <row r="13" spans="1:6" ht="16.5" customHeight="1" x14ac:dyDescent="0.25">
      <c r="A13" s="1177" t="s">
        <v>58</v>
      </c>
      <c r="B13" s="722">
        <v>9000</v>
      </c>
      <c r="C13" s="306">
        <v>9000</v>
      </c>
      <c r="D13" s="306">
        <v>9000</v>
      </c>
      <c r="E13" s="987">
        <f t="shared" si="0"/>
        <v>0</v>
      </c>
    </row>
    <row r="14" spans="1:6" ht="16.5" customHeight="1" x14ac:dyDescent="0.25">
      <c r="A14" s="1177" t="s">
        <v>59</v>
      </c>
      <c r="B14" s="722">
        <f>1500+400</f>
        <v>1900</v>
      </c>
      <c r="C14" s="306">
        <v>1900</v>
      </c>
      <c r="D14" s="306">
        <v>1900</v>
      </c>
      <c r="E14" s="987">
        <f t="shared" si="0"/>
        <v>0</v>
      </c>
    </row>
    <row r="15" spans="1:6" ht="16.5" customHeight="1" x14ac:dyDescent="0.25">
      <c r="A15" s="1177" t="s">
        <v>60</v>
      </c>
      <c r="B15" s="722">
        <v>1000</v>
      </c>
      <c r="C15" s="306">
        <v>1000</v>
      </c>
      <c r="D15" s="306">
        <v>1000</v>
      </c>
      <c r="E15" s="987">
        <f t="shared" si="0"/>
        <v>0</v>
      </c>
    </row>
    <row r="16" spans="1:6" ht="16.5" customHeight="1" x14ac:dyDescent="0.25">
      <c r="A16" s="1179" t="s">
        <v>387</v>
      </c>
      <c r="B16" s="722">
        <f>27838+7500</f>
        <v>35338</v>
      </c>
      <c r="C16" s="306">
        <v>37110</v>
      </c>
      <c r="D16" s="306">
        <v>37110</v>
      </c>
      <c r="E16" s="987">
        <f t="shared" si="0"/>
        <v>0</v>
      </c>
    </row>
    <row r="17" spans="1:5" ht="16.5" customHeight="1" x14ac:dyDescent="0.25">
      <c r="A17" s="1177" t="s">
        <v>61</v>
      </c>
      <c r="B17" s="722">
        <f>500+274</f>
        <v>774</v>
      </c>
      <c r="C17" s="306">
        <v>1528</v>
      </c>
      <c r="D17" s="306">
        <v>1528</v>
      </c>
      <c r="E17" s="987">
        <f t="shared" si="0"/>
        <v>0</v>
      </c>
    </row>
    <row r="18" spans="1:5" ht="16.5" customHeight="1" x14ac:dyDescent="0.25">
      <c r="A18" s="1176" t="s">
        <v>62</v>
      </c>
      <c r="B18" s="722">
        <v>2500</v>
      </c>
      <c r="C18" s="306">
        <v>2500</v>
      </c>
      <c r="D18" s="306">
        <v>2500</v>
      </c>
      <c r="E18" s="987">
        <f t="shared" si="0"/>
        <v>0</v>
      </c>
    </row>
    <row r="19" spans="1:5" ht="16.5" customHeight="1" x14ac:dyDescent="0.25">
      <c r="A19" s="1177" t="s">
        <v>63</v>
      </c>
      <c r="B19" s="722">
        <v>200</v>
      </c>
      <c r="C19" s="306">
        <v>200</v>
      </c>
      <c r="D19" s="306">
        <v>200</v>
      </c>
      <c r="E19" s="987">
        <f t="shared" si="0"/>
        <v>0</v>
      </c>
    </row>
    <row r="20" spans="1:5" ht="16.5" customHeight="1" x14ac:dyDescent="0.25">
      <c r="A20" s="1177" t="s">
        <v>64</v>
      </c>
      <c r="B20" s="722">
        <v>200</v>
      </c>
      <c r="C20" s="306">
        <v>200</v>
      </c>
      <c r="D20" s="306">
        <v>200</v>
      </c>
      <c r="E20" s="987">
        <f t="shared" si="0"/>
        <v>0</v>
      </c>
    </row>
    <row r="21" spans="1:5" ht="16.5" customHeight="1" x14ac:dyDescent="0.25">
      <c r="A21" s="1177" t="s">
        <v>65</v>
      </c>
      <c r="B21" s="722">
        <v>200</v>
      </c>
      <c r="C21" s="306">
        <v>200</v>
      </c>
      <c r="D21" s="306">
        <v>200</v>
      </c>
      <c r="E21" s="987">
        <f t="shared" si="0"/>
        <v>0</v>
      </c>
    </row>
    <row r="22" spans="1:5" ht="16.5" customHeight="1" x14ac:dyDescent="0.25">
      <c r="A22" s="1177" t="s">
        <v>66</v>
      </c>
      <c r="B22" s="722">
        <v>200</v>
      </c>
      <c r="C22" s="306">
        <v>0</v>
      </c>
      <c r="D22" s="306">
        <v>0</v>
      </c>
      <c r="E22" s="987">
        <f t="shared" si="0"/>
        <v>0</v>
      </c>
    </row>
    <row r="23" spans="1:5" ht="16.5" customHeight="1" x14ac:dyDescent="0.25">
      <c r="A23" s="1177" t="s">
        <v>67</v>
      </c>
      <c r="B23" s="722">
        <v>2000</v>
      </c>
      <c r="C23" s="306">
        <v>2000</v>
      </c>
      <c r="D23" s="306">
        <v>2000</v>
      </c>
      <c r="E23" s="987">
        <f t="shared" si="0"/>
        <v>0</v>
      </c>
    </row>
    <row r="24" spans="1:5" ht="16.5" customHeight="1" x14ac:dyDescent="0.25">
      <c r="A24" s="1177" t="s">
        <v>68</v>
      </c>
      <c r="B24" s="722">
        <v>2100</v>
      </c>
      <c r="C24" s="306">
        <v>2100</v>
      </c>
      <c r="D24" s="306">
        <v>2100</v>
      </c>
      <c r="E24" s="987">
        <f t="shared" si="0"/>
        <v>0</v>
      </c>
    </row>
    <row r="25" spans="1:5" ht="16.5" customHeight="1" x14ac:dyDescent="0.25">
      <c r="A25" s="1177" t="s">
        <v>69</v>
      </c>
      <c r="B25" s="722">
        <f>49600+530+6000</f>
        <v>56130</v>
      </c>
      <c r="C25" s="306">
        <v>56130</v>
      </c>
      <c r="D25" s="306">
        <v>56130</v>
      </c>
      <c r="E25" s="987">
        <f t="shared" si="0"/>
        <v>0</v>
      </c>
    </row>
    <row r="26" spans="1:5" ht="16.5" customHeight="1" x14ac:dyDescent="0.25">
      <c r="A26" s="1177" t="s">
        <v>70</v>
      </c>
      <c r="B26" s="722">
        <v>600</v>
      </c>
      <c r="C26" s="306">
        <v>600</v>
      </c>
      <c r="D26" s="306">
        <v>600</v>
      </c>
      <c r="E26" s="987">
        <f t="shared" si="0"/>
        <v>0</v>
      </c>
    </row>
    <row r="27" spans="1:5" ht="15" customHeight="1" x14ac:dyDescent="0.25">
      <c r="A27" s="1177" t="s">
        <v>71</v>
      </c>
      <c r="B27" s="722">
        <v>484</v>
      </c>
      <c r="C27" s="306">
        <v>484</v>
      </c>
      <c r="D27" s="306">
        <v>484</v>
      </c>
      <c r="E27" s="987">
        <f t="shared" si="0"/>
        <v>0</v>
      </c>
    </row>
    <row r="28" spans="1:5" ht="15" customHeight="1" x14ac:dyDescent="0.25">
      <c r="A28" s="1177" t="s">
        <v>72</v>
      </c>
      <c r="B28" s="722">
        <v>326</v>
      </c>
      <c r="C28" s="306">
        <v>326</v>
      </c>
      <c r="D28" s="306">
        <v>326</v>
      </c>
      <c r="E28" s="987">
        <f t="shared" si="0"/>
        <v>0</v>
      </c>
    </row>
    <row r="29" spans="1:5" ht="15" customHeight="1" x14ac:dyDescent="0.25">
      <c r="A29" s="1177" t="s">
        <v>73</v>
      </c>
      <c r="B29" s="722">
        <f>246+100</f>
        <v>346</v>
      </c>
      <c r="C29" s="306">
        <v>246</v>
      </c>
      <c r="D29" s="306">
        <v>246</v>
      </c>
      <c r="E29" s="987">
        <f t="shared" si="0"/>
        <v>0</v>
      </c>
    </row>
    <row r="30" spans="1:5" ht="15" customHeight="1" x14ac:dyDescent="0.25">
      <c r="A30" s="1177" t="s">
        <v>74</v>
      </c>
      <c r="B30" s="722">
        <f>844+844</f>
        <v>1688</v>
      </c>
      <c r="C30" s="306">
        <v>1688</v>
      </c>
      <c r="D30" s="306">
        <v>1688</v>
      </c>
      <c r="E30" s="987">
        <f t="shared" si="0"/>
        <v>0</v>
      </c>
    </row>
    <row r="31" spans="1:5" ht="16.5" customHeight="1" x14ac:dyDescent="0.25">
      <c r="A31" s="1177" t="s">
        <v>75</v>
      </c>
      <c r="B31" s="722">
        <f>4000+450</f>
        <v>4450</v>
      </c>
      <c r="C31" s="306">
        <v>4450</v>
      </c>
      <c r="D31" s="306">
        <v>4450</v>
      </c>
      <c r="E31" s="987">
        <f t="shared" si="0"/>
        <v>0</v>
      </c>
    </row>
    <row r="32" spans="1:5" ht="16.5" customHeight="1" x14ac:dyDescent="0.25">
      <c r="A32" s="1177" t="s">
        <v>76</v>
      </c>
      <c r="B32" s="722">
        <v>400</v>
      </c>
      <c r="C32" s="306">
        <v>400</v>
      </c>
      <c r="D32" s="306">
        <v>400</v>
      </c>
      <c r="E32" s="987">
        <f t="shared" si="0"/>
        <v>0</v>
      </c>
    </row>
    <row r="33" spans="1:5" ht="16.5" customHeight="1" x14ac:dyDescent="0.25">
      <c r="A33" s="1177" t="s">
        <v>77</v>
      </c>
      <c r="B33" s="722">
        <v>200</v>
      </c>
      <c r="C33" s="306">
        <v>195</v>
      </c>
      <c r="D33" s="306">
        <v>195</v>
      </c>
      <c r="E33" s="987">
        <f t="shared" si="0"/>
        <v>0</v>
      </c>
    </row>
    <row r="34" spans="1:5" ht="16.5" customHeight="1" x14ac:dyDescent="0.25">
      <c r="A34" s="1177" t="s">
        <v>78</v>
      </c>
      <c r="B34" s="722">
        <v>1000</v>
      </c>
      <c r="C34" s="306">
        <v>875</v>
      </c>
      <c r="D34" s="306">
        <v>875</v>
      </c>
      <c r="E34" s="987">
        <f t="shared" si="0"/>
        <v>0</v>
      </c>
    </row>
    <row r="35" spans="1:5" ht="16.5" customHeight="1" x14ac:dyDescent="0.25">
      <c r="A35" s="1177" t="s">
        <v>79</v>
      </c>
      <c r="B35" s="722">
        <f>800+58</f>
        <v>858</v>
      </c>
      <c r="C35" s="306">
        <v>858</v>
      </c>
      <c r="D35" s="306">
        <v>858</v>
      </c>
      <c r="E35" s="987">
        <f t="shared" si="0"/>
        <v>0</v>
      </c>
    </row>
    <row r="36" spans="1:5" ht="16.5" customHeight="1" x14ac:dyDescent="0.25">
      <c r="A36" s="1177" t="s">
        <v>80</v>
      </c>
      <c r="B36" s="722">
        <v>1000</v>
      </c>
      <c r="C36" s="306">
        <v>0</v>
      </c>
      <c r="D36" s="306">
        <v>0</v>
      </c>
      <c r="E36" s="987">
        <f t="shared" si="0"/>
        <v>0</v>
      </c>
    </row>
    <row r="37" spans="1:5" ht="16.5" customHeight="1" x14ac:dyDescent="0.25">
      <c r="A37" s="222" t="s">
        <v>681</v>
      </c>
      <c r="B37" s="722"/>
      <c r="C37" s="306">
        <v>900</v>
      </c>
      <c r="D37" s="306">
        <v>900</v>
      </c>
      <c r="E37" s="987">
        <f t="shared" si="0"/>
        <v>0</v>
      </c>
    </row>
    <row r="38" spans="1:5" ht="16.5" customHeight="1" x14ac:dyDescent="0.25">
      <c r="A38" s="222" t="s">
        <v>139</v>
      </c>
      <c r="B38" s="722">
        <v>597</v>
      </c>
      <c r="C38" s="306">
        <v>1194</v>
      </c>
      <c r="D38" s="306">
        <v>1194</v>
      </c>
      <c r="E38" s="987">
        <f t="shared" si="0"/>
        <v>0</v>
      </c>
    </row>
    <row r="39" spans="1:5" ht="16.5" customHeight="1" x14ac:dyDescent="0.25">
      <c r="A39" s="1177" t="s">
        <v>81</v>
      </c>
      <c r="B39" s="722">
        <v>5200</v>
      </c>
      <c r="C39" s="306">
        <v>5200</v>
      </c>
      <c r="D39" s="306">
        <v>5200</v>
      </c>
      <c r="E39" s="987">
        <f t="shared" si="0"/>
        <v>0</v>
      </c>
    </row>
    <row r="40" spans="1:5" ht="19.5" customHeight="1" x14ac:dyDescent="0.25">
      <c r="A40" s="1177" t="s">
        <v>82</v>
      </c>
      <c r="B40" s="722">
        <v>3500</v>
      </c>
      <c r="C40" s="823">
        <v>3500</v>
      </c>
      <c r="D40" s="823">
        <v>3500</v>
      </c>
      <c r="E40" s="987">
        <f t="shared" si="0"/>
        <v>0</v>
      </c>
    </row>
    <row r="41" spans="1:5" ht="29.25" customHeight="1" x14ac:dyDescent="0.25">
      <c r="A41" s="1177" t="s">
        <v>83</v>
      </c>
      <c r="B41" s="722">
        <v>500</v>
      </c>
      <c r="C41" s="823">
        <v>0</v>
      </c>
      <c r="D41" s="823">
        <v>0</v>
      </c>
      <c r="E41" s="987">
        <f t="shared" si="0"/>
        <v>0</v>
      </c>
    </row>
    <row r="42" spans="1:5" ht="29.25" customHeight="1" x14ac:dyDescent="0.25">
      <c r="A42" s="222" t="s">
        <v>8</v>
      </c>
      <c r="B42" s="722"/>
      <c r="C42" s="823">
        <v>500</v>
      </c>
      <c r="D42" s="823">
        <v>500</v>
      </c>
      <c r="E42" s="987">
        <f t="shared" si="0"/>
        <v>0</v>
      </c>
    </row>
    <row r="43" spans="1:5" ht="16.5" customHeight="1" x14ac:dyDescent="0.25">
      <c r="A43" s="222" t="s">
        <v>601</v>
      </c>
      <c r="B43" s="722">
        <f>19500+808</f>
        <v>20308</v>
      </c>
      <c r="C43" s="306">
        <v>20928</v>
      </c>
      <c r="D43" s="306">
        <v>20928</v>
      </c>
      <c r="E43" s="987">
        <f t="shared" si="0"/>
        <v>0</v>
      </c>
    </row>
    <row r="44" spans="1:5" ht="26.4" x14ac:dyDescent="0.25">
      <c r="A44" s="222" t="s">
        <v>602</v>
      </c>
      <c r="B44" s="722">
        <f>6000+5000</f>
        <v>11000</v>
      </c>
      <c r="C44" s="823">
        <v>0</v>
      </c>
      <c r="D44" s="823">
        <v>0</v>
      </c>
      <c r="E44" s="987">
        <f t="shared" si="0"/>
        <v>0</v>
      </c>
    </row>
    <row r="45" spans="1:5" ht="16.5" customHeight="1" x14ac:dyDescent="0.25">
      <c r="A45" s="1177" t="s">
        <v>84</v>
      </c>
      <c r="B45" s="722">
        <v>800</v>
      </c>
      <c r="C45" s="306">
        <v>800</v>
      </c>
      <c r="D45" s="306">
        <v>800</v>
      </c>
      <c r="E45" s="987">
        <f t="shared" si="0"/>
        <v>0</v>
      </c>
    </row>
    <row r="46" spans="1:5" ht="21" customHeight="1" x14ac:dyDescent="0.25">
      <c r="A46" s="1177" t="s">
        <v>85</v>
      </c>
      <c r="B46" s="722">
        <v>300</v>
      </c>
      <c r="C46" s="306">
        <v>300</v>
      </c>
      <c r="D46" s="306">
        <v>300</v>
      </c>
      <c r="E46" s="987">
        <f t="shared" si="0"/>
        <v>0</v>
      </c>
    </row>
    <row r="47" spans="1:5" ht="16.5" customHeight="1" x14ac:dyDescent="0.25">
      <c r="A47" s="222" t="s">
        <v>466</v>
      </c>
      <c r="B47" s="722">
        <v>350</v>
      </c>
      <c r="C47" s="306">
        <v>350</v>
      </c>
      <c r="D47" s="306">
        <v>350</v>
      </c>
      <c r="E47" s="987">
        <f t="shared" si="0"/>
        <v>0</v>
      </c>
    </row>
    <row r="48" spans="1:5" ht="16.5" customHeight="1" x14ac:dyDescent="0.25">
      <c r="A48" s="1177" t="s">
        <v>86</v>
      </c>
      <c r="B48" s="722">
        <v>400</v>
      </c>
      <c r="C48" s="306">
        <v>400</v>
      </c>
      <c r="D48" s="306">
        <v>400</v>
      </c>
      <c r="E48" s="987">
        <f t="shared" si="0"/>
        <v>0</v>
      </c>
    </row>
    <row r="49" spans="1:5" ht="18.75" customHeight="1" x14ac:dyDescent="0.25">
      <c r="A49" s="222" t="s">
        <v>87</v>
      </c>
      <c r="B49" s="722">
        <f>7269+1361+905</f>
        <v>9535</v>
      </c>
      <c r="C49" s="306">
        <v>17019</v>
      </c>
      <c r="D49" s="306">
        <v>17019</v>
      </c>
      <c r="E49" s="987">
        <f t="shared" si="0"/>
        <v>0</v>
      </c>
    </row>
    <row r="50" spans="1:5" ht="16.5" customHeight="1" x14ac:dyDescent="0.25">
      <c r="A50" s="1177" t="s">
        <v>88</v>
      </c>
      <c r="B50" s="722">
        <v>1200</v>
      </c>
      <c r="C50" s="306">
        <v>1200</v>
      </c>
      <c r="D50" s="306">
        <v>1200</v>
      </c>
      <c r="E50" s="987">
        <f t="shared" si="0"/>
        <v>0</v>
      </c>
    </row>
    <row r="51" spans="1:5" ht="17.25" customHeight="1" thickBot="1" x14ac:dyDescent="0.3">
      <c r="A51" s="1180" t="s">
        <v>89</v>
      </c>
      <c r="B51" s="1181">
        <v>0</v>
      </c>
      <c r="C51" s="1182">
        <v>3413</v>
      </c>
      <c r="D51" s="1182">
        <v>3413</v>
      </c>
      <c r="E51" s="1183">
        <f t="shared" si="0"/>
        <v>0</v>
      </c>
    </row>
    <row r="52" spans="1:5" ht="17.25" customHeight="1" x14ac:dyDescent="0.25">
      <c r="A52" s="313"/>
      <c r="B52" s="314"/>
      <c r="C52" s="314"/>
      <c r="D52" s="314"/>
      <c r="E52" s="314"/>
    </row>
    <row r="53" spans="1:5" ht="17.25" customHeight="1" thickBot="1" x14ac:dyDescent="0.3">
      <c r="A53" s="315"/>
      <c r="B53" s="316"/>
      <c r="C53" s="316"/>
      <c r="D53" s="316"/>
      <c r="E53" s="316"/>
    </row>
    <row r="54" spans="1:5" s="12" customFormat="1" ht="63.75" customHeight="1" thickBot="1" x14ac:dyDescent="0.3">
      <c r="A54" s="1070" t="s">
        <v>307</v>
      </c>
      <c r="B54" s="1071" t="s">
        <v>659</v>
      </c>
      <c r="C54" s="347" t="s">
        <v>52</v>
      </c>
      <c r="D54" s="347" t="s">
        <v>800</v>
      </c>
      <c r="E54" s="346" t="s">
        <v>660</v>
      </c>
    </row>
    <row r="55" spans="1:5" ht="29.25" customHeight="1" x14ac:dyDescent="0.25">
      <c r="A55" s="252" t="s">
        <v>90</v>
      </c>
      <c r="B55" s="657">
        <v>1600</v>
      </c>
      <c r="C55" s="984">
        <v>0</v>
      </c>
      <c r="D55" s="984">
        <v>0</v>
      </c>
      <c r="E55" s="1247">
        <f>D55-C55</f>
        <v>0</v>
      </c>
    </row>
    <row r="56" spans="1:5" ht="19.5" customHeight="1" x14ac:dyDescent="0.25">
      <c r="A56" s="252" t="s">
        <v>91</v>
      </c>
      <c r="B56" s="656">
        <v>250</v>
      </c>
      <c r="C56" s="306">
        <v>0</v>
      </c>
      <c r="D56" s="306">
        <v>0</v>
      </c>
      <c r="E56" s="987">
        <f t="shared" ref="E56:E96" si="1">D56-C56</f>
        <v>0</v>
      </c>
    </row>
    <row r="57" spans="1:5" ht="18" customHeight="1" x14ac:dyDescent="0.25">
      <c r="A57" s="222" t="s">
        <v>325</v>
      </c>
      <c r="B57" s="656">
        <v>6450</v>
      </c>
      <c r="C57" s="306">
        <v>7900</v>
      </c>
      <c r="D57" s="306">
        <v>7900</v>
      </c>
      <c r="E57" s="987">
        <f t="shared" si="1"/>
        <v>0</v>
      </c>
    </row>
    <row r="58" spans="1:5" ht="16.5" customHeight="1" x14ac:dyDescent="0.25">
      <c r="A58" s="252" t="s">
        <v>92</v>
      </c>
      <c r="B58" s="656">
        <f>107192+7014</f>
        <v>114206</v>
      </c>
      <c r="C58" s="306">
        <v>136006</v>
      </c>
      <c r="D58" s="306">
        <v>136006</v>
      </c>
      <c r="E58" s="987">
        <f t="shared" si="1"/>
        <v>0</v>
      </c>
    </row>
    <row r="59" spans="1:5" ht="18" customHeight="1" x14ac:dyDescent="0.25">
      <c r="A59" s="257" t="s">
        <v>93</v>
      </c>
      <c r="B59" s="656">
        <v>700</v>
      </c>
      <c r="C59" s="306">
        <v>700</v>
      </c>
      <c r="D59" s="306">
        <v>700</v>
      </c>
      <c r="E59" s="1248">
        <f t="shared" si="1"/>
        <v>0</v>
      </c>
    </row>
    <row r="60" spans="1:5" ht="22.5" customHeight="1" x14ac:dyDescent="0.25">
      <c r="A60" s="985" t="s">
        <v>31</v>
      </c>
      <c r="B60" s="656"/>
      <c r="C60" s="823">
        <v>200</v>
      </c>
      <c r="D60" s="823">
        <v>200</v>
      </c>
      <c r="E60" s="987">
        <f t="shared" si="1"/>
        <v>0</v>
      </c>
    </row>
    <row r="61" spans="1:5" ht="18" customHeight="1" x14ac:dyDescent="0.25">
      <c r="A61" s="252" t="s">
        <v>94</v>
      </c>
      <c r="B61" s="656">
        <f>800+583</f>
        <v>1383</v>
      </c>
      <c r="C61" s="306">
        <v>1383</v>
      </c>
      <c r="D61" s="306">
        <v>1383</v>
      </c>
      <c r="E61" s="987">
        <f t="shared" si="1"/>
        <v>0</v>
      </c>
    </row>
    <row r="62" spans="1:5" ht="15.75" customHeight="1" x14ac:dyDescent="0.25">
      <c r="A62" s="253" t="s">
        <v>95</v>
      </c>
      <c r="B62" s="656">
        <f>100+100</f>
        <v>200</v>
      </c>
      <c r="C62" s="306">
        <v>200</v>
      </c>
      <c r="D62" s="306">
        <v>200</v>
      </c>
      <c r="E62" s="987">
        <f t="shared" si="1"/>
        <v>0</v>
      </c>
    </row>
    <row r="63" spans="1:5" ht="16.5" customHeight="1" x14ac:dyDescent="0.25">
      <c r="A63" s="258" t="s">
        <v>96</v>
      </c>
      <c r="B63" s="656">
        <v>60</v>
      </c>
      <c r="C63" s="306">
        <v>60</v>
      </c>
      <c r="D63" s="306">
        <v>60</v>
      </c>
      <c r="E63" s="987">
        <f t="shared" si="1"/>
        <v>0</v>
      </c>
    </row>
    <row r="64" spans="1:5" ht="16.5" customHeight="1" x14ac:dyDescent="0.25">
      <c r="A64" s="256" t="s">
        <v>32</v>
      </c>
      <c r="B64" s="656"/>
      <c r="C64" s="306">
        <v>0</v>
      </c>
      <c r="D64" s="306">
        <v>0</v>
      </c>
      <c r="E64" s="987">
        <f t="shared" si="1"/>
        <v>0</v>
      </c>
    </row>
    <row r="65" spans="1:5" ht="16.5" customHeight="1" x14ac:dyDescent="0.25">
      <c r="A65" s="256" t="s">
        <v>33</v>
      </c>
      <c r="B65" s="656"/>
      <c r="C65" s="306">
        <v>800</v>
      </c>
      <c r="D65" s="306">
        <v>800</v>
      </c>
      <c r="E65" s="987">
        <f t="shared" si="1"/>
        <v>0</v>
      </c>
    </row>
    <row r="66" spans="1:5" ht="16.5" customHeight="1" x14ac:dyDescent="0.25">
      <c r="A66" s="256" t="s">
        <v>34</v>
      </c>
      <c r="B66" s="656"/>
      <c r="C66" s="306">
        <v>800</v>
      </c>
      <c r="D66" s="306">
        <v>800</v>
      </c>
      <c r="E66" s="987">
        <f t="shared" si="1"/>
        <v>0</v>
      </c>
    </row>
    <row r="67" spans="1:5" ht="15.75" customHeight="1" x14ac:dyDescent="0.25">
      <c r="A67" s="253" t="s">
        <v>97</v>
      </c>
      <c r="B67" s="656">
        <v>500</v>
      </c>
      <c r="C67" s="306">
        <v>500</v>
      </c>
      <c r="D67" s="306">
        <v>500</v>
      </c>
      <c r="E67" s="987">
        <f t="shared" si="1"/>
        <v>0</v>
      </c>
    </row>
    <row r="68" spans="1:5" ht="15.75" customHeight="1" x14ac:dyDescent="0.25">
      <c r="A68" s="253" t="s">
        <v>98</v>
      </c>
      <c r="B68" s="656">
        <f>21614</f>
        <v>21614</v>
      </c>
      <c r="C68" s="306">
        <v>21614</v>
      </c>
      <c r="D68" s="306">
        <v>21614</v>
      </c>
      <c r="E68" s="987">
        <f t="shared" si="1"/>
        <v>0</v>
      </c>
    </row>
    <row r="69" spans="1:5" ht="15.75" customHeight="1" x14ac:dyDescent="0.25">
      <c r="A69" s="253" t="s">
        <v>99</v>
      </c>
      <c r="B69" s="656">
        <v>13511</v>
      </c>
      <c r="C69" s="306">
        <v>13511</v>
      </c>
      <c r="D69" s="306">
        <v>13511</v>
      </c>
      <c r="E69" s="987">
        <f t="shared" si="1"/>
        <v>0</v>
      </c>
    </row>
    <row r="70" spans="1:5" ht="15.75" customHeight="1" x14ac:dyDescent="0.25">
      <c r="A70" s="253" t="s">
        <v>100</v>
      </c>
      <c r="B70" s="656">
        <v>800</v>
      </c>
      <c r="C70" s="306">
        <v>800</v>
      </c>
      <c r="D70" s="306">
        <v>800</v>
      </c>
      <c r="E70" s="987">
        <f t="shared" si="1"/>
        <v>0</v>
      </c>
    </row>
    <row r="71" spans="1:5" ht="15.75" customHeight="1" x14ac:dyDescent="0.25">
      <c r="A71" s="253" t="s">
        <v>101</v>
      </c>
      <c r="B71" s="656">
        <v>28500</v>
      </c>
      <c r="C71" s="306">
        <v>30100</v>
      </c>
      <c r="D71" s="306">
        <v>30100</v>
      </c>
      <c r="E71" s="987">
        <f t="shared" si="1"/>
        <v>0</v>
      </c>
    </row>
    <row r="72" spans="1:5" ht="15.75" customHeight="1" x14ac:dyDescent="0.25">
      <c r="A72" s="254" t="s">
        <v>102</v>
      </c>
      <c r="B72" s="656">
        <f>300+300</f>
        <v>600</v>
      </c>
      <c r="C72" s="306">
        <v>600</v>
      </c>
      <c r="D72" s="306">
        <v>600</v>
      </c>
      <c r="E72" s="987">
        <f t="shared" si="1"/>
        <v>0</v>
      </c>
    </row>
    <row r="73" spans="1:5" ht="15.75" customHeight="1" x14ac:dyDescent="0.25">
      <c r="A73" s="361" t="s">
        <v>413</v>
      </c>
      <c r="B73" s="656">
        <v>0</v>
      </c>
      <c r="C73" s="306">
        <v>56338</v>
      </c>
      <c r="D73" s="306">
        <v>56338</v>
      </c>
      <c r="E73" s="987">
        <f t="shared" si="1"/>
        <v>0</v>
      </c>
    </row>
    <row r="74" spans="1:5" ht="15.75" customHeight="1" x14ac:dyDescent="0.25">
      <c r="A74" s="361" t="s">
        <v>103</v>
      </c>
      <c r="B74" s="656">
        <v>3835</v>
      </c>
      <c r="C74" s="306">
        <v>3215</v>
      </c>
      <c r="D74" s="306">
        <v>3215</v>
      </c>
      <c r="E74" s="987">
        <f t="shared" si="1"/>
        <v>0</v>
      </c>
    </row>
    <row r="75" spans="1:5" ht="15.75" customHeight="1" x14ac:dyDescent="0.25">
      <c r="A75" s="361" t="s">
        <v>603</v>
      </c>
      <c r="B75" s="656">
        <v>1500</v>
      </c>
      <c r="C75" s="306">
        <v>0</v>
      </c>
      <c r="D75" s="306">
        <v>0</v>
      </c>
      <c r="E75" s="987">
        <f t="shared" si="1"/>
        <v>0</v>
      </c>
    </row>
    <row r="76" spans="1:5" ht="15.75" customHeight="1" x14ac:dyDescent="0.25">
      <c r="A76" s="255" t="s">
        <v>138</v>
      </c>
      <c r="B76" s="656">
        <f>1450+2350</f>
        <v>3800</v>
      </c>
      <c r="C76" s="306">
        <v>2350</v>
      </c>
      <c r="D76" s="306">
        <v>2350</v>
      </c>
      <c r="E76" s="987">
        <f t="shared" si="1"/>
        <v>0</v>
      </c>
    </row>
    <row r="77" spans="1:5" ht="15.75" customHeight="1" x14ac:dyDescent="0.25">
      <c r="A77" s="309" t="s">
        <v>362</v>
      </c>
      <c r="B77" s="656">
        <v>25000</v>
      </c>
      <c r="C77" s="306">
        <v>14550</v>
      </c>
      <c r="D77" s="306">
        <v>14550</v>
      </c>
      <c r="E77" s="987">
        <f t="shared" si="1"/>
        <v>0</v>
      </c>
    </row>
    <row r="78" spans="1:5" ht="15.75" customHeight="1" x14ac:dyDescent="0.25">
      <c r="A78" s="309" t="s">
        <v>35</v>
      </c>
      <c r="B78" s="656"/>
      <c r="C78" s="306">
        <v>100</v>
      </c>
      <c r="D78" s="306">
        <v>100</v>
      </c>
      <c r="E78" s="987">
        <f t="shared" si="1"/>
        <v>0</v>
      </c>
    </row>
    <row r="79" spans="1:5" ht="15.75" customHeight="1" x14ac:dyDescent="0.25">
      <c r="A79" s="309" t="s">
        <v>363</v>
      </c>
      <c r="B79" s="656">
        <f>3500+150</f>
        <v>3650</v>
      </c>
      <c r="C79" s="306">
        <v>3250</v>
      </c>
      <c r="D79" s="306">
        <v>3250</v>
      </c>
      <c r="E79" s="987">
        <f t="shared" si="1"/>
        <v>0</v>
      </c>
    </row>
    <row r="80" spans="1:5" ht="15.75" customHeight="1" x14ac:dyDescent="0.25">
      <c r="A80" s="309" t="s">
        <v>787</v>
      </c>
      <c r="B80" s="656"/>
      <c r="C80" s="306">
        <v>100</v>
      </c>
      <c r="D80" s="306">
        <v>100</v>
      </c>
      <c r="E80" s="987">
        <f t="shared" si="1"/>
        <v>0</v>
      </c>
    </row>
    <row r="81" spans="1:5" ht="15.75" customHeight="1" x14ac:dyDescent="0.25">
      <c r="A81" s="309" t="s">
        <v>414</v>
      </c>
      <c r="B81" s="656"/>
      <c r="C81" s="306">
        <v>200</v>
      </c>
      <c r="D81" s="306">
        <v>200</v>
      </c>
      <c r="E81" s="987">
        <f t="shared" si="1"/>
        <v>0</v>
      </c>
    </row>
    <row r="82" spans="1:5" ht="15.75" customHeight="1" x14ac:dyDescent="0.25">
      <c r="A82" s="309" t="s">
        <v>399</v>
      </c>
      <c r="B82" s="656">
        <v>150</v>
      </c>
      <c r="C82" s="306">
        <v>150</v>
      </c>
      <c r="D82" s="306">
        <v>150</v>
      </c>
      <c r="E82" s="987">
        <f t="shared" si="1"/>
        <v>0</v>
      </c>
    </row>
    <row r="83" spans="1:5" ht="15.75" customHeight="1" x14ac:dyDescent="0.25">
      <c r="A83" s="309" t="s">
        <v>675</v>
      </c>
      <c r="B83" s="656">
        <v>500</v>
      </c>
      <c r="C83" s="306">
        <v>500</v>
      </c>
      <c r="D83" s="306">
        <v>500</v>
      </c>
      <c r="E83" s="987">
        <f t="shared" si="1"/>
        <v>0</v>
      </c>
    </row>
    <row r="84" spans="1:5" ht="15.75" customHeight="1" x14ac:dyDescent="0.25">
      <c r="A84" s="309" t="s">
        <v>463</v>
      </c>
      <c r="B84" s="656">
        <v>2000</v>
      </c>
      <c r="C84" s="306">
        <v>2600</v>
      </c>
      <c r="D84" s="306">
        <v>2600</v>
      </c>
      <c r="E84" s="987">
        <f t="shared" si="1"/>
        <v>0</v>
      </c>
    </row>
    <row r="85" spans="1:5" ht="15.75" customHeight="1" x14ac:dyDescent="0.25">
      <c r="A85" s="309" t="s">
        <v>539</v>
      </c>
      <c r="B85" s="656">
        <v>510</v>
      </c>
      <c r="C85" s="306">
        <v>510</v>
      </c>
      <c r="D85" s="306">
        <v>510</v>
      </c>
      <c r="E85" s="987">
        <f t="shared" si="1"/>
        <v>0</v>
      </c>
    </row>
    <row r="86" spans="1:5" ht="31.2" x14ac:dyDescent="0.25">
      <c r="A86" s="309" t="s">
        <v>581</v>
      </c>
      <c r="B86" s="656">
        <v>100</v>
      </c>
      <c r="C86" s="306">
        <v>100</v>
      </c>
      <c r="D86" s="306">
        <v>100</v>
      </c>
      <c r="E86" s="987">
        <f t="shared" si="1"/>
        <v>0</v>
      </c>
    </row>
    <row r="87" spans="1:5" ht="15.6" x14ac:dyDescent="0.25">
      <c r="A87" s="309" t="s">
        <v>621</v>
      </c>
      <c r="B87" s="656">
        <v>150</v>
      </c>
      <c r="C87" s="306">
        <v>150</v>
      </c>
      <c r="D87" s="306">
        <v>150</v>
      </c>
      <c r="E87" s="987">
        <f t="shared" si="1"/>
        <v>0</v>
      </c>
    </row>
    <row r="88" spans="1:5" ht="15.75" customHeight="1" x14ac:dyDescent="0.25">
      <c r="A88" s="309" t="s">
        <v>464</v>
      </c>
      <c r="B88" s="656">
        <v>32</v>
      </c>
      <c r="C88" s="306">
        <v>32</v>
      </c>
      <c r="D88" s="306">
        <v>32</v>
      </c>
      <c r="E88" s="987">
        <f t="shared" si="1"/>
        <v>0</v>
      </c>
    </row>
    <row r="89" spans="1:5" ht="15.75" customHeight="1" x14ac:dyDescent="0.25">
      <c r="A89" s="309" t="s">
        <v>465</v>
      </c>
      <c r="B89" s="721">
        <v>147</v>
      </c>
      <c r="C89" s="306">
        <v>147</v>
      </c>
      <c r="D89" s="306">
        <v>147</v>
      </c>
      <c r="E89" s="987">
        <f t="shared" si="1"/>
        <v>0</v>
      </c>
    </row>
    <row r="90" spans="1:5" ht="15.75" customHeight="1" x14ac:dyDescent="0.25">
      <c r="A90" s="309" t="s">
        <v>418</v>
      </c>
      <c r="B90" s="722"/>
      <c r="C90" s="306">
        <v>80</v>
      </c>
      <c r="D90" s="306">
        <v>80</v>
      </c>
      <c r="E90" s="987">
        <f t="shared" si="1"/>
        <v>0</v>
      </c>
    </row>
    <row r="91" spans="1:5" ht="15.75" customHeight="1" x14ac:dyDescent="0.25">
      <c r="A91" s="309" t="s">
        <v>415</v>
      </c>
      <c r="B91" s="722"/>
      <c r="C91" s="306">
        <v>1200</v>
      </c>
      <c r="D91" s="306">
        <v>1200</v>
      </c>
      <c r="E91" s="987">
        <f t="shared" si="1"/>
        <v>0</v>
      </c>
    </row>
    <row r="92" spans="1:5" ht="15.75" customHeight="1" x14ac:dyDescent="0.25">
      <c r="A92" s="309" t="s">
        <v>416</v>
      </c>
      <c r="B92" s="722"/>
      <c r="C92" s="306">
        <v>300</v>
      </c>
      <c r="D92" s="306">
        <v>300</v>
      </c>
      <c r="E92" s="987">
        <f t="shared" si="1"/>
        <v>0</v>
      </c>
    </row>
    <row r="93" spans="1:5" ht="15.75" customHeight="1" x14ac:dyDescent="0.25">
      <c r="A93" s="309" t="s">
        <v>417</v>
      </c>
      <c r="B93" s="722"/>
      <c r="C93" s="306">
        <v>300</v>
      </c>
      <c r="D93" s="306">
        <v>300</v>
      </c>
      <c r="E93" s="987">
        <f t="shared" si="1"/>
        <v>0</v>
      </c>
    </row>
    <row r="94" spans="1:5" ht="15.75" customHeight="1" x14ac:dyDescent="0.25">
      <c r="A94" s="309" t="s">
        <v>36</v>
      </c>
      <c r="B94" s="986"/>
      <c r="C94" s="478">
        <v>4000</v>
      </c>
      <c r="D94" s="478">
        <v>4000</v>
      </c>
      <c r="E94" s="987">
        <f t="shared" si="1"/>
        <v>0</v>
      </c>
    </row>
    <row r="95" spans="1:5" ht="15.75" customHeight="1" x14ac:dyDescent="0.25">
      <c r="A95" s="309" t="s">
        <v>788</v>
      </c>
      <c r="B95" s="986"/>
      <c r="C95" s="478">
        <v>1500</v>
      </c>
      <c r="D95" s="478">
        <v>1500</v>
      </c>
      <c r="E95" s="987">
        <f t="shared" si="1"/>
        <v>0</v>
      </c>
    </row>
    <row r="96" spans="1:5" s="438" customFormat="1" ht="20.25" customHeight="1" thickBot="1" x14ac:dyDescent="0.35">
      <c r="A96" s="307" t="s">
        <v>978</v>
      </c>
      <c r="B96" s="308">
        <f>B12+B4</f>
        <v>887668</v>
      </c>
      <c r="C96" s="308">
        <f>C12+C4</f>
        <v>960288</v>
      </c>
      <c r="D96" s="308">
        <f>D12+D4</f>
        <v>960288</v>
      </c>
      <c r="E96" s="1293">
        <f t="shared" si="1"/>
        <v>0</v>
      </c>
    </row>
    <row r="97" spans="1:5" ht="20.25" customHeight="1" x14ac:dyDescent="0.25">
      <c r="A97" s="179"/>
      <c r="B97" s="583"/>
      <c r="E97" s="583"/>
    </row>
  </sheetData>
  <sheetProtection selectLockedCells="1" selectUnlockedCells="1"/>
  <phoneticPr fontId="28" type="noConversion"/>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&amp;C&amp;"Arial,Félkövér"&amp;12TÁMOGATÁSOK 2016. ÉV
5/b. melléklet
az önkormányzat 2016. évi költségvetéséről szóló 8/2016. (II.26.) önkormányzati rendelet
módosításáról szóló 7/2017.(II.24.) önkormányzati rendelethez&amp;R
ezer forint
&amp;P. oldal</oddHeader>
  </headerFooter>
  <rowBreaks count="2" manualBreakCount="2">
    <brk id="51" max="4" man="1"/>
    <brk id="9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F143"/>
  <sheetViews>
    <sheetView view="pageLayout" topLeftCell="B1" zoomScaleNormal="75" zoomScaleSheetLayoutView="100" workbookViewId="0">
      <selection activeCell="K68" sqref="K68"/>
    </sheetView>
  </sheetViews>
  <sheetFormatPr defaultColWidth="9.109375" defaultRowHeight="13.2" x14ac:dyDescent="0.25"/>
  <cols>
    <col min="1" max="1" width="29.6640625" style="99" customWidth="1"/>
    <col min="2" max="5" width="13.5546875" style="99" customWidth="1"/>
    <col min="6" max="7" width="9.109375" style="99"/>
    <col min="8" max="8" width="13" style="99" customWidth="1"/>
    <col min="9" max="9" width="13.88671875" style="99" customWidth="1"/>
    <col min="10" max="10" width="11.44140625" style="99" customWidth="1"/>
    <col min="11" max="11" width="12" style="99" customWidth="1"/>
    <col min="12" max="12" width="12.5546875" style="99" customWidth="1"/>
    <col min="13" max="13" width="13.109375" style="99" customWidth="1"/>
    <col min="14" max="16384" width="9.109375" style="99"/>
  </cols>
  <sheetData>
    <row r="1" spans="1:5" ht="15" customHeight="1" x14ac:dyDescent="0.25">
      <c r="A1" s="1660"/>
      <c r="B1" s="1660"/>
      <c r="C1" s="14"/>
      <c r="D1" s="14"/>
      <c r="E1" s="14"/>
    </row>
    <row r="2" spans="1:5" ht="14.4" thickBot="1" x14ac:dyDescent="0.3">
      <c r="A2" s="484"/>
      <c r="B2" s="14"/>
      <c r="C2" s="14"/>
      <c r="D2" s="14"/>
      <c r="E2" s="14"/>
    </row>
    <row r="3" spans="1:5" ht="48" customHeight="1" thickBot="1" x14ac:dyDescent="0.3">
      <c r="A3" s="496" t="s">
        <v>477</v>
      </c>
      <c r="B3" s="347" t="s">
        <v>659</v>
      </c>
      <c r="C3" s="347" t="s">
        <v>52</v>
      </c>
      <c r="D3" s="347" t="s">
        <v>800</v>
      </c>
      <c r="E3" s="346" t="s">
        <v>660</v>
      </c>
    </row>
    <row r="4" spans="1:5" ht="13.8" x14ac:dyDescent="0.25">
      <c r="A4" s="1193"/>
      <c r="B4" s="435"/>
      <c r="C4" s="435"/>
      <c r="D4" s="809"/>
      <c r="E4" s="1194"/>
    </row>
    <row r="5" spans="1:5" ht="13.8" x14ac:dyDescent="0.25">
      <c r="A5" s="494" t="s">
        <v>478</v>
      </c>
      <c r="B5" s="96"/>
      <c r="C5" s="96"/>
      <c r="D5" s="807"/>
      <c r="E5" s="1188"/>
    </row>
    <row r="6" spans="1:5" ht="27.6" x14ac:dyDescent="0.25">
      <c r="A6" s="494" t="s">
        <v>554</v>
      </c>
      <c r="B6" s="96">
        <v>150</v>
      </c>
      <c r="C6" s="96">
        <v>150</v>
      </c>
      <c r="D6" s="807">
        <v>150</v>
      </c>
      <c r="E6" s="1188">
        <f>D6-C6</f>
        <v>0</v>
      </c>
    </row>
    <row r="7" spans="1:5" s="6" customFormat="1" ht="13.8" x14ac:dyDescent="0.25">
      <c r="A7" s="493" t="s">
        <v>978</v>
      </c>
      <c r="B7" s="95">
        <f>SUM(B6)</f>
        <v>150</v>
      </c>
      <c r="C7" s="95">
        <f>SUM(C6)</f>
        <v>150</v>
      </c>
      <c r="D7" s="95">
        <f>SUM(D6)</f>
        <v>150</v>
      </c>
      <c r="E7" s="1189">
        <f t="shared" ref="E7:E49" si="0">D7-C7</f>
        <v>0</v>
      </c>
    </row>
    <row r="8" spans="1:5" ht="13.8" x14ac:dyDescent="0.25">
      <c r="A8" s="494"/>
      <c r="B8" s="96"/>
      <c r="C8" s="96"/>
      <c r="D8" s="807"/>
      <c r="E8" s="1188">
        <f t="shared" si="0"/>
        <v>0</v>
      </c>
    </row>
    <row r="9" spans="1:5" ht="27.6" x14ac:dyDescent="0.25">
      <c r="A9" s="494" t="s">
        <v>479</v>
      </c>
      <c r="B9" s="96"/>
      <c r="C9" s="96"/>
      <c r="D9" s="807"/>
      <c r="E9" s="1188">
        <f t="shared" si="0"/>
        <v>0</v>
      </c>
    </row>
    <row r="10" spans="1:5" ht="30" customHeight="1" x14ac:dyDescent="0.25">
      <c r="A10" s="494" t="s">
        <v>555</v>
      </c>
      <c r="B10" s="96">
        <v>800</v>
      </c>
      <c r="C10" s="96">
        <v>800</v>
      </c>
      <c r="D10" s="96">
        <v>800</v>
      </c>
      <c r="E10" s="1188">
        <f t="shared" si="0"/>
        <v>0</v>
      </c>
    </row>
    <row r="11" spans="1:5" ht="28.5" customHeight="1" x14ac:dyDescent="0.25">
      <c r="A11" s="494" t="s">
        <v>557</v>
      </c>
      <c r="B11" s="96">
        <v>3000</v>
      </c>
      <c r="C11" s="96">
        <v>3000</v>
      </c>
      <c r="D11" s="96">
        <v>3000</v>
      </c>
      <c r="E11" s="1188">
        <f t="shared" si="0"/>
        <v>0</v>
      </c>
    </row>
    <row r="12" spans="1:5" ht="55.2" x14ac:dyDescent="0.25">
      <c r="A12" s="1190" t="s">
        <v>556</v>
      </c>
      <c r="B12" s="96">
        <v>700</v>
      </c>
      <c r="C12" s="96">
        <v>700</v>
      </c>
      <c r="D12" s="96">
        <v>700</v>
      </c>
      <c r="E12" s="1188">
        <f t="shared" si="0"/>
        <v>0</v>
      </c>
    </row>
    <row r="13" spans="1:5" ht="41.4" x14ac:dyDescent="0.25">
      <c r="A13" s="1190" t="s">
        <v>631</v>
      </c>
      <c r="B13" s="96">
        <v>4500</v>
      </c>
      <c r="C13" s="96">
        <v>4500</v>
      </c>
      <c r="D13" s="96">
        <v>4500</v>
      </c>
      <c r="E13" s="1188">
        <f t="shared" si="0"/>
        <v>0</v>
      </c>
    </row>
    <row r="14" spans="1:5" ht="27.6" x14ac:dyDescent="0.25">
      <c r="A14" s="1190" t="s">
        <v>632</v>
      </c>
      <c r="B14" s="96">
        <v>500</v>
      </c>
      <c r="C14" s="96">
        <v>500</v>
      </c>
      <c r="D14" s="96">
        <v>500</v>
      </c>
      <c r="E14" s="1188">
        <f t="shared" si="0"/>
        <v>0</v>
      </c>
    </row>
    <row r="15" spans="1:5" s="6" customFormat="1" ht="13.8" x14ac:dyDescent="0.25">
      <c r="A15" s="493" t="s">
        <v>978</v>
      </c>
      <c r="B15" s="95">
        <f>SUM(B10:B14)</f>
        <v>9500</v>
      </c>
      <c r="C15" s="95">
        <f>SUM(C10:C14)</f>
        <v>9500</v>
      </c>
      <c r="D15" s="95">
        <f>SUM(D10:D14)</f>
        <v>9500</v>
      </c>
      <c r="E15" s="1189">
        <f t="shared" si="0"/>
        <v>0</v>
      </c>
    </row>
    <row r="16" spans="1:5" ht="13.8" x14ac:dyDescent="0.25">
      <c r="A16" s="494"/>
      <c r="B16" s="96"/>
      <c r="C16" s="96"/>
      <c r="D16" s="807"/>
      <c r="E16" s="1188">
        <f t="shared" si="0"/>
        <v>0</v>
      </c>
    </row>
    <row r="17" spans="1:5" ht="13.8" x14ac:dyDescent="0.25">
      <c r="A17" s="494" t="s">
        <v>480</v>
      </c>
      <c r="B17" s="96"/>
      <c r="C17" s="96"/>
      <c r="D17" s="807"/>
      <c r="E17" s="1188">
        <f t="shared" si="0"/>
        <v>0</v>
      </c>
    </row>
    <row r="18" spans="1:5" ht="27.6" x14ac:dyDescent="0.25">
      <c r="A18" s="494" t="s">
        <v>558</v>
      </c>
      <c r="B18" s="96">
        <v>200</v>
      </c>
      <c r="C18" s="96">
        <v>200</v>
      </c>
      <c r="D18" s="96">
        <v>200</v>
      </c>
      <c r="E18" s="1188">
        <f t="shared" si="0"/>
        <v>0</v>
      </c>
    </row>
    <row r="19" spans="1:5" ht="27.6" x14ac:dyDescent="0.25">
      <c r="A19" s="494" t="s">
        <v>633</v>
      </c>
      <c r="B19" s="96">
        <v>500</v>
      </c>
      <c r="C19" s="96">
        <v>500</v>
      </c>
      <c r="D19" s="96">
        <v>500</v>
      </c>
      <c r="E19" s="1188">
        <f t="shared" si="0"/>
        <v>0</v>
      </c>
    </row>
    <row r="20" spans="1:5" ht="13.8" x14ac:dyDescent="0.25">
      <c r="A20" s="494" t="s">
        <v>634</v>
      </c>
      <c r="B20" s="96">
        <v>1000</v>
      </c>
      <c r="C20" s="96">
        <v>1000</v>
      </c>
      <c r="D20" s="96">
        <v>1000</v>
      </c>
      <c r="E20" s="1188">
        <f t="shared" si="0"/>
        <v>0</v>
      </c>
    </row>
    <row r="21" spans="1:5" s="6" customFormat="1" ht="13.8" x14ac:dyDescent="0.25">
      <c r="A21" s="493" t="s">
        <v>978</v>
      </c>
      <c r="B21" s="95">
        <f>SUM(B18:B20)</f>
        <v>1700</v>
      </c>
      <c r="C21" s="95">
        <f>SUM(C18:C20)</f>
        <v>1700</v>
      </c>
      <c r="D21" s="95">
        <f>SUM(D18:D20)</f>
        <v>1700</v>
      </c>
      <c r="E21" s="1189">
        <f t="shared" si="0"/>
        <v>0</v>
      </c>
    </row>
    <row r="22" spans="1:5" ht="13.8" x14ac:dyDescent="0.25">
      <c r="A22" s="494"/>
      <c r="B22" s="96"/>
      <c r="C22" s="96"/>
      <c r="D22" s="807"/>
      <c r="E22" s="1188">
        <f t="shared" si="0"/>
        <v>0</v>
      </c>
    </row>
    <row r="23" spans="1:5" ht="13.8" x14ac:dyDescent="0.25">
      <c r="A23" s="494" t="s">
        <v>481</v>
      </c>
      <c r="B23" s="96"/>
      <c r="C23" s="96"/>
      <c r="D23" s="807"/>
      <c r="E23" s="1188">
        <f t="shared" si="0"/>
        <v>0</v>
      </c>
    </row>
    <row r="24" spans="1:5" ht="27.6" x14ac:dyDescent="0.25">
      <c r="A24" s="494" t="s">
        <v>559</v>
      </c>
      <c r="B24" s="96">
        <v>1000</v>
      </c>
      <c r="C24" s="96">
        <v>1000</v>
      </c>
      <c r="D24" s="96">
        <v>1000</v>
      </c>
      <c r="E24" s="1188">
        <f t="shared" si="0"/>
        <v>0</v>
      </c>
    </row>
    <row r="25" spans="1:5" ht="41.4" x14ac:dyDescent="0.25">
      <c r="A25" s="494" t="s">
        <v>636</v>
      </c>
      <c r="B25" s="96">
        <f>3500+3700</f>
        <v>7200</v>
      </c>
      <c r="C25" s="96">
        <v>7200</v>
      </c>
      <c r="D25" s="96">
        <v>7200</v>
      </c>
      <c r="E25" s="1188">
        <f t="shared" si="0"/>
        <v>0</v>
      </c>
    </row>
    <row r="26" spans="1:5" ht="27.6" x14ac:dyDescent="0.25">
      <c r="A26" s="494" t="s">
        <v>560</v>
      </c>
      <c r="B26" s="96">
        <v>800</v>
      </c>
      <c r="C26" s="96">
        <v>800</v>
      </c>
      <c r="D26" s="96">
        <v>800</v>
      </c>
      <c r="E26" s="1188">
        <f t="shared" si="0"/>
        <v>0</v>
      </c>
    </row>
    <row r="27" spans="1:5" ht="13.8" x14ac:dyDescent="0.25">
      <c r="A27" s="494" t="s">
        <v>635</v>
      </c>
      <c r="B27" s="96">
        <v>2700</v>
      </c>
      <c r="C27" s="96">
        <v>2700</v>
      </c>
      <c r="D27" s="96">
        <v>2700</v>
      </c>
      <c r="E27" s="1188">
        <f t="shared" si="0"/>
        <v>0</v>
      </c>
    </row>
    <row r="28" spans="1:5" ht="27.6" x14ac:dyDescent="0.25">
      <c r="A28" s="494" t="s">
        <v>637</v>
      </c>
      <c r="B28" s="96">
        <v>12000</v>
      </c>
      <c r="C28" s="96">
        <v>12000</v>
      </c>
      <c r="D28" s="96">
        <v>12000</v>
      </c>
      <c r="E28" s="1188">
        <f t="shared" si="0"/>
        <v>0</v>
      </c>
    </row>
    <row r="29" spans="1:5" s="6" customFormat="1" ht="13.8" x14ac:dyDescent="0.25">
      <c r="A29" s="493" t="s">
        <v>978</v>
      </c>
      <c r="B29" s="95">
        <f>SUM(B24:B28)</f>
        <v>23700</v>
      </c>
      <c r="C29" s="95">
        <f>SUM(C24:C28)</f>
        <v>23700</v>
      </c>
      <c r="D29" s="95">
        <f>SUM(D24:D28)</f>
        <v>23700</v>
      </c>
      <c r="E29" s="1189">
        <f t="shared" si="0"/>
        <v>0</v>
      </c>
    </row>
    <row r="30" spans="1:5" ht="13.8" x14ac:dyDescent="0.25">
      <c r="A30" s="494"/>
      <c r="B30" s="96"/>
      <c r="C30" s="96"/>
      <c r="D30" s="807"/>
      <c r="E30" s="1188">
        <f t="shared" si="0"/>
        <v>0</v>
      </c>
    </row>
    <row r="31" spans="1:5" ht="13.8" x14ac:dyDescent="0.25">
      <c r="A31" s="494" t="s">
        <v>482</v>
      </c>
      <c r="B31" s="96"/>
      <c r="C31" s="96"/>
      <c r="D31" s="807"/>
      <c r="E31" s="1188">
        <f t="shared" si="0"/>
        <v>0</v>
      </c>
    </row>
    <row r="32" spans="1:5" ht="27.6" x14ac:dyDescent="0.25">
      <c r="A32" s="494" t="s">
        <v>559</v>
      </c>
      <c r="B32" s="96">
        <v>1000</v>
      </c>
      <c r="C32" s="96">
        <v>1000</v>
      </c>
      <c r="D32" s="96">
        <v>1000</v>
      </c>
      <c r="E32" s="1188">
        <f t="shared" si="0"/>
        <v>0</v>
      </c>
    </row>
    <row r="33" spans="1:5" ht="41.4" x14ac:dyDescent="0.25">
      <c r="A33" s="494" t="s">
        <v>638</v>
      </c>
      <c r="B33" s="96">
        <f>3500+3700</f>
        <v>7200</v>
      </c>
      <c r="C33" s="96">
        <v>7200</v>
      </c>
      <c r="D33" s="96">
        <v>7200</v>
      </c>
      <c r="E33" s="1188">
        <f t="shared" si="0"/>
        <v>0</v>
      </c>
    </row>
    <row r="34" spans="1:5" ht="13.8" x14ac:dyDescent="0.25">
      <c r="A34" s="494" t="s">
        <v>639</v>
      </c>
      <c r="B34" s="96">
        <v>1000</v>
      </c>
      <c r="C34" s="96">
        <v>1000</v>
      </c>
      <c r="D34" s="96">
        <v>1000</v>
      </c>
      <c r="E34" s="1188">
        <f t="shared" si="0"/>
        <v>0</v>
      </c>
    </row>
    <row r="35" spans="1:5" s="6" customFormat="1" ht="13.8" x14ac:dyDescent="0.25">
      <c r="A35" s="493" t="s">
        <v>978</v>
      </c>
      <c r="B35" s="95">
        <f>SUM(B32:B34)</f>
        <v>9200</v>
      </c>
      <c r="C35" s="95">
        <f>SUM(C32:C34)</f>
        <v>9200</v>
      </c>
      <c r="D35" s="95">
        <f>SUM(D32:D34)</f>
        <v>9200</v>
      </c>
      <c r="E35" s="1189">
        <f t="shared" si="0"/>
        <v>0</v>
      </c>
    </row>
    <row r="36" spans="1:5" ht="13.8" x14ac:dyDescent="0.25">
      <c r="A36" s="494"/>
      <c r="B36" s="96"/>
      <c r="C36" s="96"/>
      <c r="D36" s="807"/>
      <c r="E36" s="1188">
        <f t="shared" si="0"/>
        <v>0</v>
      </c>
    </row>
    <row r="37" spans="1:5" ht="13.8" x14ac:dyDescent="0.25">
      <c r="A37" s="494" t="s">
        <v>483</v>
      </c>
      <c r="B37" s="96"/>
      <c r="C37" s="96"/>
      <c r="D37" s="807"/>
      <c r="E37" s="1188">
        <f t="shared" si="0"/>
        <v>0</v>
      </c>
    </row>
    <row r="38" spans="1:5" ht="27.6" x14ac:dyDescent="0.25">
      <c r="A38" s="845" t="s">
        <v>563</v>
      </c>
      <c r="B38" s="96">
        <v>500</v>
      </c>
      <c r="C38" s="489">
        <v>500</v>
      </c>
      <c r="D38" s="489">
        <v>500</v>
      </c>
      <c r="E38" s="1188">
        <f t="shared" si="0"/>
        <v>0</v>
      </c>
    </row>
    <row r="39" spans="1:5" ht="27.6" x14ac:dyDescent="0.25">
      <c r="A39" s="845" t="s">
        <v>562</v>
      </c>
      <c r="B39" s="96">
        <v>800</v>
      </c>
      <c r="C39" s="489">
        <v>800</v>
      </c>
      <c r="D39" s="489">
        <v>800</v>
      </c>
      <c r="E39" s="1188">
        <f t="shared" si="0"/>
        <v>0</v>
      </c>
    </row>
    <row r="40" spans="1:5" ht="27.6" x14ac:dyDescent="0.25">
      <c r="A40" s="845" t="s">
        <v>561</v>
      </c>
      <c r="B40" s="96">
        <v>200</v>
      </c>
      <c r="C40" s="489">
        <v>200</v>
      </c>
      <c r="D40" s="489">
        <v>200</v>
      </c>
      <c r="E40" s="1188">
        <f t="shared" si="0"/>
        <v>0</v>
      </c>
    </row>
    <row r="41" spans="1:5" ht="27.6" x14ac:dyDescent="0.25">
      <c r="A41" s="845" t="s">
        <v>640</v>
      </c>
      <c r="B41" s="96">
        <v>1000</v>
      </c>
      <c r="C41" s="489">
        <v>1000</v>
      </c>
      <c r="D41" s="489">
        <v>1000</v>
      </c>
      <c r="E41" s="1188">
        <f t="shared" si="0"/>
        <v>0</v>
      </c>
    </row>
    <row r="42" spans="1:5" ht="27.6" x14ac:dyDescent="0.25">
      <c r="A42" s="845" t="s">
        <v>641</v>
      </c>
      <c r="B42" s="96">
        <v>500</v>
      </c>
      <c r="C42" s="489">
        <v>500</v>
      </c>
      <c r="D42" s="489">
        <v>500</v>
      </c>
      <c r="E42" s="1188">
        <f t="shared" si="0"/>
        <v>0</v>
      </c>
    </row>
    <row r="43" spans="1:5" ht="27.6" x14ac:dyDescent="0.25">
      <c r="A43" s="1195" t="s">
        <v>789</v>
      </c>
      <c r="B43" s="96"/>
      <c r="C43" s="489">
        <v>350</v>
      </c>
      <c r="D43" s="489">
        <v>350</v>
      </c>
      <c r="E43" s="1188">
        <f t="shared" si="0"/>
        <v>0</v>
      </c>
    </row>
    <row r="44" spans="1:5" ht="13.8" x14ac:dyDescent="0.25">
      <c r="A44" s="845" t="s">
        <v>642</v>
      </c>
      <c r="B44" s="96">
        <v>100</v>
      </c>
      <c r="C44" s="489">
        <v>100</v>
      </c>
      <c r="D44" s="489">
        <v>100</v>
      </c>
      <c r="E44" s="1188">
        <f t="shared" si="0"/>
        <v>0</v>
      </c>
    </row>
    <row r="45" spans="1:5" s="6" customFormat="1" ht="13.8" x14ac:dyDescent="0.25">
      <c r="A45" s="493" t="s">
        <v>978</v>
      </c>
      <c r="B45" s="95">
        <f>SUM(B38:B44)</f>
        <v>3100</v>
      </c>
      <c r="C45" s="95">
        <f>SUM(C38:C44)</f>
        <v>3450</v>
      </c>
      <c r="D45" s="95">
        <f>SUM(D38:D44)</f>
        <v>3450</v>
      </c>
      <c r="E45" s="1189">
        <f t="shared" si="0"/>
        <v>0</v>
      </c>
    </row>
    <row r="46" spans="1:5" ht="13.8" x14ac:dyDescent="0.25">
      <c r="A46" s="494"/>
      <c r="B46" s="96"/>
      <c r="C46" s="96"/>
      <c r="D46" s="807"/>
      <c r="E46" s="1188">
        <f t="shared" si="0"/>
        <v>0</v>
      </c>
    </row>
    <row r="47" spans="1:5" ht="13.8" x14ac:dyDescent="0.25">
      <c r="A47" s="494" t="s">
        <v>484</v>
      </c>
      <c r="B47" s="96"/>
      <c r="C47" s="96"/>
      <c r="D47" s="807"/>
      <c r="E47" s="1188">
        <f t="shared" si="0"/>
        <v>0</v>
      </c>
    </row>
    <row r="48" spans="1:5" ht="27.6" x14ac:dyDescent="0.25">
      <c r="A48" s="494" t="s">
        <v>643</v>
      </c>
      <c r="B48" s="96">
        <v>300</v>
      </c>
      <c r="C48" s="96">
        <v>300</v>
      </c>
      <c r="D48" s="96">
        <v>300</v>
      </c>
      <c r="E48" s="1188">
        <f t="shared" si="0"/>
        <v>0</v>
      </c>
    </row>
    <row r="49" spans="1:5" s="6" customFormat="1" ht="14.4" thickBot="1" x14ac:dyDescent="0.3">
      <c r="A49" s="1251" t="s">
        <v>978</v>
      </c>
      <c r="B49" s="1252">
        <f>SUM(B48:B48)</f>
        <v>300</v>
      </c>
      <c r="C49" s="1252">
        <f>SUM(C48:C48)</f>
        <v>300</v>
      </c>
      <c r="D49" s="1252">
        <f>SUM(D48:D48)</f>
        <v>300</v>
      </c>
      <c r="E49" s="1253">
        <f t="shared" si="0"/>
        <v>0</v>
      </c>
    </row>
    <row r="50" spans="1:5" ht="42" thickBot="1" x14ac:dyDescent="0.3">
      <c r="A50" s="496" t="s">
        <v>477</v>
      </c>
      <c r="B50" s="347" t="s">
        <v>659</v>
      </c>
      <c r="C50" s="347" t="s">
        <v>52</v>
      </c>
      <c r="D50" s="347" t="s">
        <v>800</v>
      </c>
      <c r="E50" s="346" t="s">
        <v>660</v>
      </c>
    </row>
    <row r="51" spans="1:5" ht="27.6" x14ac:dyDescent="0.25">
      <c r="A51" s="1193" t="s">
        <v>485</v>
      </c>
      <c r="B51" s="435"/>
      <c r="C51" s="435"/>
      <c r="D51" s="809"/>
      <c r="E51" s="1194"/>
    </row>
    <row r="52" spans="1:5" ht="27.6" x14ac:dyDescent="0.25">
      <c r="A52" s="494" t="s">
        <v>564</v>
      </c>
      <c r="B52" s="96">
        <v>2000</v>
      </c>
      <c r="C52" s="96">
        <v>2000</v>
      </c>
      <c r="D52" s="96">
        <v>2000</v>
      </c>
      <c r="E52" s="1188">
        <f>D52-C52</f>
        <v>0</v>
      </c>
    </row>
    <row r="53" spans="1:5" ht="27.6" x14ac:dyDescent="0.25">
      <c r="A53" s="494" t="s">
        <v>565</v>
      </c>
      <c r="B53" s="96">
        <v>2500</v>
      </c>
      <c r="C53" s="96">
        <v>2500</v>
      </c>
      <c r="D53" s="96">
        <v>2500</v>
      </c>
      <c r="E53" s="1188">
        <f t="shared" ref="E53:E64" si="1">D53-C53</f>
        <v>0</v>
      </c>
    </row>
    <row r="54" spans="1:5" ht="42.75" customHeight="1" x14ac:dyDescent="0.25">
      <c r="A54" s="494" t="s">
        <v>566</v>
      </c>
      <c r="B54" s="96">
        <v>5000</v>
      </c>
      <c r="C54" s="96">
        <v>5000</v>
      </c>
      <c r="D54" s="96">
        <v>5000</v>
      </c>
      <c r="E54" s="1188">
        <f t="shared" si="1"/>
        <v>0</v>
      </c>
    </row>
    <row r="55" spans="1:5" ht="31.5" customHeight="1" x14ac:dyDescent="0.25">
      <c r="A55" s="494" t="s">
        <v>567</v>
      </c>
      <c r="B55" s="96">
        <v>213</v>
      </c>
      <c r="C55" s="96">
        <v>213</v>
      </c>
      <c r="D55" s="96">
        <v>213</v>
      </c>
      <c r="E55" s="1188">
        <f t="shared" si="1"/>
        <v>0</v>
      </c>
    </row>
    <row r="56" spans="1:5" ht="27.6" x14ac:dyDescent="0.25">
      <c r="A56" s="494" t="s">
        <v>568</v>
      </c>
      <c r="B56" s="96">
        <v>1000</v>
      </c>
      <c r="C56" s="96">
        <v>1000</v>
      </c>
      <c r="D56" s="96">
        <v>1000</v>
      </c>
      <c r="E56" s="1188">
        <f t="shared" si="1"/>
        <v>0</v>
      </c>
    </row>
    <row r="57" spans="1:5" ht="13.8" x14ac:dyDescent="0.25">
      <c r="A57" s="494" t="s">
        <v>644</v>
      </c>
      <c r="B57" s="96">
        <v>450</v>
      </c>
      <c r="C57" s="96">
        <v>450</v>
      </c>
      <c r="D57" s="96">
        <v>450</v>
      </c>
      <c r="E57" s="1188">
        <f t="shared" si="1"/>
        <v>0</v>
      </c>
    </row>
    <row r="58" spans="1:5" ht="13.8" x14ac:dyDescent="0.25">
      <c r="A58" s="494" t="s">
        <v>645</v>
      </c>
      <c r="B58" s="96">
        <v>1700</v>
      </c>
      <c r="C58" s="96">
        <v>1700</v>
      </c>
      <c r="D58" s="96">
        <v>1700</v>
      </c>
      <c r="E58" s="1188">
        <f t="shared" si="1"/>
        <v>0</v>
      </c>
    </row>
    <row r="59" spans="1:5" ht="27.6" x14ac:dyDescent="0.25">
      <c r="A59" s="494" t="s">
        <v>646</v>
      </c>
      <c r="B59" s="96">
        <v>2500</v>
      </c>
      <c r="C59" s="96">
        <v>2500</v>
      </c>
      <c r="D59" s="96">
        <v>2500</v>
      </c>
      <c r="E59" s="1188">
        <f t="shared" si="1"/>
        <v>0</v>
      </c>
    </row>
    <row r="60" spans="1:5" s="588" customFormat="1" ht="13.8" x14ac:dyDescent="0.25">
      <c r="A60" s="494" t="s">
        <v>647</v>
      </c>
      <c r="B60" s="96">
        <v>2850</v>
      </c>
      <c r="C60" s="96">
        <v>2850</v>
      </c>
      <c r="D60" s="96">
        <v>2850</v>
      </c>
      <c r="E60" s="1188">
        <f t="shared" si="1"/>
        <v>0</v>
      </c>
    </row>
    <row r="61" spans="1:5" s="1196" customFormat="1" ht="13.8" x14ac:dyDescent="0.25">
      <c r="A61" s="1197" t="s">
        <v>790</v>
      </c>
      <c r="B61" s="96"/>
      <c r="C61" s="96">
        <v>120</v>
      </c>
      <c r="D61" s="96">
        <v>120</v>
      </c>
      <c r="E61" s="1188">
        <f t="shared" si="1"/>
        <v>0</v>
      </c>
    </row>
    <row r="62" spans="1:5" s="1196" customFormat="1" ht="13.8" x14ac:dyDescent="0.25">
      <c r="A62" s="1197" t="s">
        <v>791</v>
      </c>
      <c r="B62" s="96"/>
      <c r="C62" s="96">
        <v>400</v>
      </c>
      <c r="D62" s="96">
        <v>400</v>
      </c>
      <c r="E62" s="1188">
        <f t="shared" si="1"/>
        <v>0</v>
      </c>
    </row>
    <row r="63" spans="1:5" ht="27.6" x14ac:dyDescent="0.25">
      <c r="A63" s="494" t="s">
        <v>648</v>
      </c>
      <c r="B63" s="96">
        <v>500</v>
      </c>
      <c r="C63" s="96">
        <v>500</v>
      </c>
      <c r="D63" s="96">
        <v>500</v>
      </c>
      <c r="E63" s="1188">
        <f t="shared" si="1"/>
        <v>0</v>
      </c>
    </row>
    <row r="64" spans="1:5" ht="13.8" x14ac:dyDescent="0.25">
      <c r="A64" s="493" t="s">
        <v>978</v>
      </c>
      <c r="B64" s="375">
        <f>SUM(B52:B63)</f>
        <v>18713</v>
      </c>
      <c r="C64" s="375">
        <f>SUM(C52:C63)</f>
        <v>19233</v>
      </c>
      <c r="D64" s="375">
        <f>SUM(D52:D63)</f>
        <v>19233</v>
      </c>
      <c r="E64" s="1189">
        <f t="shared" si="1"/>
        <v>0</v>
      </c>
    </row>
    <row r="65" spans="1:5" ht="13.8" x14ac:dyDescent="0.25">
      <c r="A65" s="493"/>
      <c r="B65" s="375"/>
      <c r="C65" s="375"/>
      <c r="D65" s="1226"/>
      <c r="E65" s="1188"/>
    </row>
    <row r="66" spans="1:5" ht="13.8" x14ac:dyDescent="0.25">
      <c r="A66" s="494" t="s">
        <v>487</v>
      </c>
      <c r="B66" s="96"/>
      <c r="C66" s="96"/>
      <c r="D66" s="807"/>
      <c r="E66" s="1188">
        <f>D66-C66</f>
        <v>0</v>
      </c>
    </row>
    <row r="67" spans="1:5" ht="27.6" x14ac:dyDescent="0.25">
      <c r="A67" s="494" t="s">
        <v>649</v>
      </c>
      <c r="B67" s="96">
        <f>2000+2000</f>
        <v>4000</v>
      </c>
      <c r="C67" s="1184">
        <v>4000</v>
      </c>
      <c r="D67" s="1184">
        <v>4000</v>
      </c>
      <c r="E67" s="1188">
        <f t="shared" ref="E67:E92" si="2">D67-C67</f>
        <v>0</v>
      </c>
    </row>
    <row r="68" spans="1:5" ht="27.6" x14ac:dyDescent="0.25">
      <c r="A68" s="494" t="s">
        <v>569</v>
      </c>
      <c r="B68" s="96">
        <v>1000</v>
      </c>
      <c r="C68" s="1184">
        <v>1000</v>
      </c>
      <c r="D68" s="1184">
        <v>2000</v>
      </c>
      <c r="E68" s="1188">
        <f t="shared" si="2"/>
        <v>1000</v>
      </c>
    </row>
    <row r="69" spans="1:5" ht="13.8" x14ac:dyDescent="0.25">
      <c r="A69" s="494" t="s">
        <v>488</v>
      </c>
      <c r="B69" s="96">
        <v>1000</v>
      </c>
      <c r="C69" s="1184">
        <v>0</v>
      </c>
      <c r="D69" s="1184">
        <v>0</v>
      </c>
      <c r="E69" s="1188">
        <f t="shared" si="2"/>
        <v>0</v>
      </c>
    </row>
    <row r="70" spans="1:5" ht="27.6" x14ac:dyDescent="0.25">
      <c r="A70" s="494" t="s">
        <v>650</v>
      </c>
      <c r="B70" s="96">
        <v>2000</v>
      </c>
      <c r="C70" s="1184">
        <v>2000</v>
      </c>
      <c r="D70" s="1184">
        <v>2000</v>
      </c>
      <c r="E70" s="1188">
        <f t="shared" si="2"/>
        <v>0</v>
      </c>
    </row>
    <row r="71" spans="1:5" s="6" customFormat="1" ht="13.8" x14ac:dyDescent="0.25">
      <c r="A71" s="493" t="s">
        <v>978</v>
      </c>
      <c r="B71" s="375">
        <f>SUM(B67:B70)</f>
        <v>8000</v>
      </c>
      <c r="C71" s="375">
        <f>SUM(C67:C70)</f>
        <v>7000</v>
      </c>
      <c r="D71" s="375">
        <f>SUM(D67:D70)</f>
        <v>8000</v>
      </c>
      <c r="E71" s="1189">
        <f t="shared" si="2"/>
        <v>1000</v>
      </c>
    </row>
    <row r="72" spans="1:5" ht="13.8" x14ac:dyDescent="0.25">
      <c r="A72" s="493"/>
      <c r="B72" s="96"/>
      <c r="C72" s="1185"/>
      <c r="D72" s="1249"/>
      <c r="E72" s="1188">
        <f t="shared" si="2"/>
        <v>0</v>
      </c>
    </row>
    <row r="73" spans="1:5" ht="13.8" x14ac:dyDescent="0.25">
      <c r="A73" s="494" t="s">
        <v>489</v>
      </c>
      <c r="B73" s="96"/>
      <c r="C73" s="96"/>
      <c r="D73" s="807"/>
      <c r="E73" s="1188">
        <f t="shared" si="2"/>
        <v>0</v>
      </c>
    </row>
    <row r="74" spans="1:5" ht="27.6" x14ac:dyDescent="0.25">
      <c r="A74" s="494" t="s">
        <v>570</v>
      </c>
      <c r="B74" s="96">
        <v>300</v>
      </c>
      <c r="C74" s="1184">
        <v>300</v>
      </c>
      <c r="D74" s="1184">
        <v>300</v>
      </c>
      <c r="E74" s="1188">
        <f t="shared" si="2"/>
        <v>0</v>
      </c>
    </row>
    <row r="75" spans="1:5" ht="13.8" x14ac:dyDescent="0.25">
      <c r="A75" s="1198" t="s">
        <v>792</v>
      </c>
      <c r="B75" s="96"/>
      <c r="C75" s="1184">
        <v>500</v>
      </c>
      <c r="D75" s="1184">
        <v>500</v>
      </c>
      <c r="E75" s="1188">
        <f t="shared" si="2"/>
        <v>0</v>
      </c>
    </row>
    <row r="76" spans="1:5" ht="27.6" x14ac:dyDescent="0.25">
      <c r="A76" s="494" t="s">
        <v>571</v>
      </c>
      <c r="B76" s="96">
        <v>200</v>
      </c>
      <c r="C76" s="1184">
        <v>200</v>
      </c>
      <c r="D76" s="1184">
        <v>200</v>
      </c>
      <c r="E76" s="1188">
        <f t="shared" si="2"/>
        <v>0</v>
      </c>
    </row>
    <row r="77" spans="1:5" s="6" customFormat="1" ht="13.8" x14ac:dyDescent="0.25">
      <c r="A77" s="493" t="s">
        <v>978</v>
      </c>
      <c r="B77" s="375">
        <f>SUM(B74:B76)</f>
        <v>500</v>
      </c>
      <c r="C77" s="375">
        <f>SUM(C74:C76)</f>
        <v>1000</v>
      </c>
      <c r="D77" s="375">
        <f>SUM(D74:D76)</f>
        <v>1000</v>
      </c>
      <c r="E77" s="1189">
        <f t="shared" si="2"/>
        <v>0</v>
      </c>
    </row>
    <row r="78" spans="1:5" ht="13.8" x14ac:dyDescent="0.25">
      <c r="A78" s="493"/>
      <c r="B78" s="96"/>
      <c r="C78" s="375"/>
      <c r="D78" s="1226"/>
      <c r="E78" s="1188">
        <f t="shared" si="2"/>
        <v>0</v>
      </c>
    </row>
    <row r="79" spans="1:5" ht="13.8" x14ac:dyDescent="0.25">
      <c r="A79" s="1191" t="s">
        <v>490</v>
      </c>
      <c r="B79" s="96"/>
      <c r="C79" s="1186"/>
      <c r="D79" s="1250"/>
      <c r="E79" s="1188">
        <f t="shared" si="2"/>
        <v>0</v>
      </c>
    </row>
    <row r="80" spans="1:5" ht="27.6" x14ac:dyDescent="0.25">
      <c r="A80" s="1191" t="s">
        <v>651</v>
      </c>
      <c r="B80" s="96">
        <v>150</v>
      </c>
      <c r="C80" s="1186">
        <v>150</v>
      </c>
      <c r="D80" s="1186">
        <v>150</v>
      </c>
      <c r="E80" s="1188">
        <f t="shared" si="2"/>
        <v>0</v>
      </c>
    </row>
    <row r="81" spans="1:5" s="6" customFormat="1" ht="13.8" x14ac:dyDescent="0.25">
      <c r="A81" s="1192" t="s">
        <v>978</v>
      </c>
      <c r="B81" s="1187">
        <f>SUM(B80:B80)</f>
        <v>150</v>
      </c>
      <c r="C81" s="1187">
        <f>SUM(C80:C80)</f>
        <v>150</v>
      </c>
      <c r="D81" s="1187">
        <f>SUM(D80:D80)</f>
        <v>150</v>
      </c>
      <c r="E81" s="1189">
        <f t="shared" si="2"/>
        <v>0</v>
      </c>
    </row>
    <row r="82" spans="1:5" ht="13.8" x14ac:dyDescent="0.25">
      <c r="A82" s="493"/>
      <c r="B82" s="96"/>
      <c r="C82" s="375"/>
      <c r="D82" s="1226"/>
      <c r="E82" s="1188">
        <f t="shared" si="2"/>
        <v>0</v>
      </c>
    </row>
    <row r="83" spans="1:5" ht="13.8" x14ac:dyDescent="0.25">
      <c r="A83" s="494" t="s">
        <v>491</v>
      </c>
      <c r="B83" s="96"/>
      <c r="C83" s="96"/>
      <c r="D83" s="807"/>
      <c r="E83" s="1188">
        <f t="shared" si="2"/>
        <v>0</v>
      </c>
    </row>
    <row r="84" spans="1:5" ht="13.8" x14ac:dyDescent="0.25">
      <c r="A84" s="494" t="s">
        <v>492</v>
      </c>
      <c r="B84" s="96">
        <v>400</v>
      </c>
      <c r="C84" s="96">
        <v>400</v>
      </c>
      <c r="D84" s="96">
        <v>400</v>
      </c>
      <c r="E84" s="1188">
        <f t="shared" si="2"/>
        <v>0</v>
      </c>
    </row>
    <row r="85" spans="1:5" ht="27.6" x14ac:dyDescent="0.25">
      <c r="A85" s="494" t="s">
        <v>590</v>
      </c>
      <c r="B85" s="96">
        <v>1791</v>
      </c>
      <c r="C85" s="96">
        <v>1791</v>
      </c>
      <c r="D85" s="96">
        <v>1791</v>
      </c>
      <c r="E85" s="1188">
        <f t="shared" si="2"/>
        <v>0</v>
      </c>
    </row>
    <row r="86" spans="1:5" ht="27.6" x14ac:dyDescent="0.25">
      <c r="A86" s="494" t="s">
        <v>572</v>
      </c>
      <c r="B86" s="96">
        <v>400</v>
      </c>
      <c r="C86" s="96">
        <v>400</v>
      </c>
      <c r="D86" s="96">
        <v>400</v>
      </c>
      <c r="E86" s="1188">
        <f t="shared" si="2"/>
        <v>0</v>
      </c>
    </row>
    <row r="87" spans="1:5" ht="13.8" x14ac:dyDescent="0.25">
      <c r="A87" s="1198" t="s">
        <v>793</v>
      </c>
      <c r="B87" s="96"/>
      <c r="C87" s="96">
        <v>400</v>
      </c>
      <c r="D87" s="96">
        <v>400</v>
      </c>
      <c r="E87" s="1188">
        <f t="shared" si="2"/>
        <v>0</v>
      </c>
    </row>
    <row r="88" spans="1:5" ht="27.6" x14ac:dyDescent="0.25">
      <c r="A88" s="494" t="s">
        <v>573</v>
      </c>
      <c r="B88" s="96">
        <v>300</v>
      </c>
      <c r="C88" s="96">
        <v>300</v>
      </c>
      <c r="D88" s="96">
        <v>300</v>
      </c>
      <c r="E88" s="1188">
        <f t="shared" si="2"/>
        <v>0</v>
      </c>
    </row>
    <row r="89" spans="1:5" s="6" customFormat="1" ht="13.8" x14ac:dyDescent="0.25">
      <c r="A89" s="493" t="s">
        <v>978</v>
      </c>
      <c r="B89" s="95">
        <f>SUM(B84:B88)</f>
        <v>2891</v>
      </c>
      <c r="C89" s="95">
        <f>SUM(C84:C88)</f>
        <v>3291</v>
      </c>
      <c r="D89" s="95">
        <f>SUM(D84:D88)</f>
        <v>3291</v>
      </c>
      <c r="E89" s="1189">
        <f t="shared" si="2"/>
        <v>0</v>
      </c>
    </row>
    <row r="90" spans="1:5" ht="13.8" x14ac:dyDescent="0.25">
      <c r="A90" s="494"/>
      <c r="B90" s="96"/>
      <c r="C90" s="96"/>
      <c r="D90" s="807"/>
      <c r="E90" s="1188">
        <f t="shared" si="2"/>
        <v>0</v>
      </c>
    </row>
    <row r="91" spans="1:5" ht="27.6" x14ac:dyDescent="0.25">
      <c r="A91" s="494" t="s">
        <v>493</v>
      </c>
      <c r="B91" s="96"/>
      <c r="C91" s="96"/>
      <c r="D91" s="807"/>
      <c r="E91" s="1188">
        <f t="shared" si="2"/>
        <v>0</v>
      </c>
    </row>
    <row r="92" spans="1:5" ht="14.4" thickBot="1" x14ac:dyDescent="0.3">
      <c r="A92" s="1251" t="s">
        <v>494</v>
      </c>
      <c r="B92" s="1254"/>
      <c r="C92" s="1255">
        <v>0</v>
      </c>
      <c r="D92" s="1256"/>
      <c r="E92" s="1253">
        <f t="shared" si="2"/>
        <v>0</v>
      </c>
    </row>
    <row r="93" spans="1:5" ht="42" thickBot="1" x14ac:dyDescent="0.3">
      <c r="A93" s="496" t="s">
        <v>477</v>
      </c>
      <c r="B93" s="347" t="s">
        <v>659</v>
      </c>
      <c r="C93" s="347" t="s">
        <v>52</v>
      </c>
      <c r="D93" s="347" t="s">
        <v>800</v>
      </c>
      <c r="E93" s="346" t="s">
        <v>660</v>
      </c>
    </row>
    <row r="94" spans="1:5" ht="13.8" x14ac:dyDescent="0.25">
      <c r="A94" s="1193" t="s">
        <v>495</v>
      </c>
      <c r="B94" s="435"/>
      <c r="C94" s="435"/>
      <c r="D94" s="809"/>
      <c r="E94" s="1194"/>
    </row>
    <row r="95" spans="1:5" ht="27.6" x14ac:dyDescent="0.25">
      <c r="A95" s="494" t="s">
        <v>575</v>
      </c>
      <c r="B95" s="96">
        <v>100</v>
      </c>
      <c r="C95" s="96">
        <v>100</v>
      </c>
      <c r="D95" s="96">
        <v>100</v>
      </c>
      <c r="E95" s="1188">
        <f>D95-C95</f>
        <v>0</v>
      </c>
    </row>
    <row r="96" spans="1:5" ht="27.6" x14ac:dyDescent="0.25">
      <c r="A96" s="494" t="s">
        <v>576</v>
      </c>
      <c r="B96" s="96">
        <v>100</v>
      </c>
      <c r="C96" s="96">
        <v>100</v>
      </c>
      <c r="D96" s="96">
        <v>100</v>
      </c>
      <c r="E96" s="1188">
        <f t="shared" ref="E96:E140" si="3">D96-C96</f>
        <v>0</v>
      </c>
    </row>
    <row r="97" spans="1:5" ht="27.6" x14ac:dyDescent="0.25">
      <c r="A97" s="494" t="s">
        <v>577</v>
      </c>
      <c r="B97" s="96">
        <v>2000</v>
      </c>
      <c r="C97" s="96">
        <v>2000</v>
      </c>
      <c r="D97" s="96">
        <v>2000</v>
      </c>
      <c r="E97" s="1188">
        <f t="shared" si="3"/>
        <v>0</v>
      </c>
    </row>
    <row r="98" spans="1:5" ht="27.6" x14ac:dyDescent="0.25">
      <c r="A98" s="494" t="s">
        <v>578</v>
      </c>
      <c r="B98" s="96">
        <v>500</v>
      </c>
      <c r="C98" s="96">
        <v>500</v>
      </c>
      <c r="D98" s="96">
        <v>500</v>
      </c>
      <c r="E98" s="1188">
        <f t="shared" si="3"/>
        <v>0</v>
      </c>
    </row>
    <row r="99" spans="1:5" ht="25.5" customHeight="1" x14ac:dyDescent="0.25">
      <c r="A99" s="494" t="s">
        <v>574</v>
      </c>
      <c r="B99" s="96">
        <v>200</v>
      </c>
      <c r="C99" s="96">
        <v>200</v>
      </c>
      <c r="D99" s="96">
        <v>200</v>
      </c>
      <c r="E99" s="1188">
        <f t="shared" si="3"/>
        <v>0</v>
      </c>
    </row>
    <row r="100" spans="1:5" ht="25.5" customHeight="1" x14ac:dyDescent="0.25">
      <c r="A100" s="1198" t="s">
        <v>794</v>
      </c>
      <c r="B100" s="96"/>
      <c r="C100" s="96">
        <v>400</v>
      </c>
      <c r="D100" s="96">
        <v>400</v>
      </c>
      <c r="E100" s="1188">
        <f t="shared" si="3"/>
        <v>0</v>
      </c>
    </row>
    <row r="101" spans="1:5" ht="25.5" customHeight="1" x14ac:dyDescent="0.25">
      <c r="A101" s="494" t="s">
        <v>652</v>
      </c>
      <c r="B101" s="96">
        <v>200</v>
      </c>
      <c r="C101" s="96">
        <v>200</v>
      </c>
      <c r="D101" s="96">
        <v>200</v>
      </c>
      <c r="E101" s="1188">
        <f t="shared" si="3"/>
        <v>0</v>
      </c>
    </row>
    <row r="102" spans="1:5" s="6" customFormat="1" ht="13.8" x14ac:dyDescent="0.25">
      <c r="A102" s="493" t="s">
        <v>494</v>
      </c>
      <c r="B102" s="375">
        <f>SUM(B95:B101)</f>
        <v>3100</v>
      </c>
      <c r="C102" s="375">
        <f>SUM(C95:C101)</f>
        <v>3500</v>
      </c>
      <c r="D102" s="375">
        <f>SUM(D95:D101)</f>
        <v>3500</v>
      </c>
      <c r="E102" s="1189">
        <f t="shared" si="3"/>
        <v>0</v>
      </c>
    </row>
    <row r="103" spans="1:5" ht="13.8" x14ac:dyDescent="0.25">
      <c r="A103" s="494"/>
      <c r="B103" s="96"/>
      <c r="C103" s="96"/>
      <c r="D103" s="807"/>
      <c r="E103" s="1188">
        <f t="shared" si="3"/>
        <v>0</v>
      </c>
    </row>
    <row r="104" spans="1:5" ht="13.8" x14ac:dyDescent="0.25">
      <c r="A104" s="494" t="s">
        <v>496</v>
      </c>
      <c r="B104" s="96"/>
      <c r="C104" s="96"/>
      <c r="D104" s="807"/>
      <c r="E104" s="1188">
        <f t="shared" si="3"/>
        <v>0</v>
      </c>
    </row>
    <row r="105" spans="1:5" s="6" customFormat="1" ht="13.8" x14ac:dyDescent="0.25">
      <c r="A105" s="493" t="s">
        <v>978</v>
      </c>
      <c r="B105" s="95">
        <v>0</v>
      </c>
      <c r="C105" s="95">
        <v>0</v>
      </c>
      <c r="D105" s="1227"/>
      <c r="E105" s="1189">
        <f t="shared" si="3"/>
        <v>0</v>
      </c>
    </row>
    <row r="106" spans="1:5" ht="13.8" x14ac:dyDescent="0.25">
      <c r="A106" s="493"/>
      <c r="B106" s="95"/>
      <c r="C106" s="95"/>
      <c r="D106" s="1227"/>
      <c r="E106" s="1188">
        <f t="shared" si="3"/>
        <v>0</v>
      </c>
    </row>
    <row r="107" spans="1:5" ht="13.8" x14ac:dyDescent="0.25">
      <c r="A107" s="494" t="s">
        <v>497</v>
      </c>
      <c r="B107" s="96"/>
      <c r="C107" s="96"/>
      <c r="D107" s="807"/>
      <c r="E107" s="1188">
        <f t="shared" si="3"/>
        <v>0</v>
      </c>
    </row>
    <row r="108" spans="1:5" s="6" customFormat="1" ht="13.8" x14ac:dyDescent="0.25">
      <c r="A108" s="493" t="s">
        <v>978</v>
      </c>
      <c r="B108" s="95">
        <v>0</v>
      </c>
      <c r="C108" s="95"/>
      <c r="D108" s="1227"/>
      <c r="E108" s="1189">
        <f t="shared" si="3"/>
        <v>0</v>
      </c>
    </row>
    <row r="109" spans="1:5" ht="13.8" x14ac:dyDescent="0.25">
      <c r="A109" s="494"/>
      <c r="B109" s="96"/>
      <c r="C109" s="96"/>
      <c r="D109" s="807"/>
      <c r="E109" s="1188">
        <f t="shared" si="3"/>
        <v>0</v>
      </c>
    </row>
    <row r="110" spans="1:5" ht="15.75" customHeight="1" x14ac:dyDescent="0.25">
      <c r="A110" s="494" t="s">
        <v>498</v>
      </c>
      <c r="B110" s="96"/>
      <c r="C110" s="96"/>
      <c r="D110" s="807"/>
      <c r="E110" s="1188">
        <f t="shared" si="3"/>
        <v>0</v>
      </c>
    </row>
    <row r="111" spans="1:5" s="6" customFormat="1" ht="13.8" x14ac:dyDescent="0.25">
      <c r="A111" s="493" t="s">
        <v>978</v>
      </c>
      <c r="B111" s="95">
        <v>0</v>
      </c>
      <c r="C111" s="95"/>
      <c r="D111" s="1227"/>
      <c r="E111" s="1189">
        <f t="shared" si="3"/>
        <v>0</v>
      </c>
    </row>
    <row r="112" spans="1:5" ht="13.8" x14ac:dyDescent="0.25">
      <c r="A112" s="494"/>
      <c r="B112" s="96"/>
      <c r="C112" s="96"/>
      <c r="D112" s="807"/>
      <c r="E112" s="1188">
        <f t="shared" si="3"/>
        <v>0</v>
      </c>
    </row>
    <row r="113" spans="1:6" ht="13.8" x14ac:dyDescent="0.25">
      <c r="A113" s="494" t="s">
        <v>499</v>
      </c>
      <c r="B113" s="96"/>
      <c r="C113" s="96"/>
      <c r="D113" s="807"/>
      <c r="E113" s="1188">
        <f t="shared" si="3"/>
        <v>0</v>
      </c>
    </row>
    <row r="114" spans="1:6" ht="27.6" x14ac:dyDescent="0.25">
      <c r="A114" s="494" t="s">
        <v>579</v>
      </c>
      <c r="B114" s="96">
        <v>200</v>
      </c>
      <c r="C114" s="96">
        <v>200</v>
      </c>
      <c r="D114" s="96">
        <v>200</v>
      </c>
      <c r="E114" s="1188">
        <f t="shared" si="3"/>
        <v>0</v>
      </c>
    </row>
    <row r="115" spans="1:6" ht="41.4" x14ac:dyDescent="0.25">
      <c r="A115" s="494" t="s">
        <v>580</v>
      </c>
      <c r="B115" s="96">
        <v>200</v>
      </c>
      <c r="C115" s="96">
        <v>200</v>
      </c>
      <c r="D115" s="96">
        <v>200</v>
      </c>
      <c r="E115" s="1188">
        <f t="shared" si="3"/>
        <v>0</v>
      </c>
    </row>
    <row r="116" spans="1:6" ht="27.6" x14ac:dyDescent="0.25">
      <c r="A116" s="494" t="s">
        <v>653</v>
      </c>
      <c r="B116" s="96">
        <v>800</v>
      </c>
      <c r="C116" s="96">
        <v>800</v>
      </c>
      <c r="D116" s="96">
        <v>800</v>
      </c>
      <c r="E116" s="1188">
        <f t="shared" si="3"/>
        <v>0</v>
      </c>
      <c r="F116" s="589"/>
    </row>
    <row r="117" spans="1:6" s="6" customFormat="1" ht="13.8" x14ac:dyDescent="0.25">
      <c r="A117" s="493" t="s">
        <v>978</v>
      </c>
      <c r="B117" s="375">
        <f>SUM(B114:B116)</f>
        <v>1200</v>
      </c>
      <c r="C117" s="375">
        <f>SUM(C114:C116)</f>
        <v>1200</v>
      </c>
      <c r="D117" s="375">
        <f>SUM(D114:D116)</f>
        <v>1200</v>
      </c>
      <c r="E117" s="1189">
        <f t="shared" si="3"/>
        <v>0</v>
      </c>
    </row>
    <row r="118" spans="1:6" ht="13.8" x14ac:dyDescent="0.25">
      <c r="A118" s="493"/>
      <c r="B118" s="96"/>
      <c r="C118" s="375"/>
      <c r="D118" s="1226"/>
      <c r="E118" s="1188">
        <f t="shared" si="3"/>
        <v>0</v>
      </c>
    </row>
    <row r="119" spans="1:6" ht="13.8" x14ac:dyDescent="0.25">
      <c r="A119" s="494" t="s">
        <v>500</v>
      </c>
      <c r="B119" s="96"/>
      <c r="C119" s="96"/>
      <c r="D119" s="807"/>
      <c r="E119" s="1188">
        <f t="shared" si="3"/>
        <v>0</v>
      </c>
    </row>
    <row r="120" spans="1:6" s="6" customFormat="1" ht="13.8" x14ac:dyDescent="0.25">
      <c r="A120" s="493" t="s">
        <v>978</v>
      </c>
      <c r="B120" s="95">
        <f>SUM(B119)</f>
        <v>0</v>
      </c>
      <c r="C120" s="95">
        <f>SUM(C119)</f>
        <v>0</v>
      </c>
      <c r="D120" s="1227"/>
      <c r="E120" s="1189">
        <f t="shared" si="3"/>
        <v>0</v>
      </c>
    </row>
    <row r="121" spans="1:6" ht="13.8" x14ac:dyDescent="0.25">
      <c r="A121" s="494"/>
      <c r="B121" s="96"/>
      <c r="C121" s="96"/>
      <c r="D121" s="807"/>
      <c r="E121" s="1188">
        <f t="shared" si="3"/>
        <v>0</v>
      </c>
    </row>
    <row r="122" spans="1:6" ht="13.8" x14ac:dyDescent="0.25">
      <c r="A122" s="494" t="s">
        <v>501</v>
      </c>
      <c r="B122" s="96"/>
      <c r="C122" s="96"/>
      <c r="D122" s="807"/>
      <c r="E122" s="1188">
        <f t="shared" si="3"/>
        <v>0</v>
      </c>
    </row>
    <row r="123" spans="1:6" s="6" customFormat="1" ht="13.8" x14ac:dyDescent="0.25">
      <c r="A123" s="493" t="s">
        <v>978</v>
      </c>
      <c r="B123" s="95">
        <f>SUM(B122)</f>
        <v>0</v>
      </c>
      <c r="C123" s="95">
        <f>SUM(C122)</f>
        <v>0</v>
      </c>
      <c r="D123" s="1227"/>
      <c r="E123" s="1189">
        <f t="shared" si="3"/>
        <v>0</v>
      </c>
    </row>
    <row r="124" spans="1:6" ht="13.8" x14ac:dyDescent="0.25">
      <c r="A124" s="494"/>
      <c r="B124" s="96"/>
      <c r="C124" s="96"/>
      <c r="D124" s="807"/>
      <c r="E124" s="1188">
        <f t="shared" si="3"/>
        <v>0</v>
      </c>
    </row>
    <row r="125" spans="1:6" ht="13.8" x14ac:dyDescent="0.25">
      <c r="A125" s="494" t="s">
        <v>502</v>
      </c>
      <c r="B125" s="96"/>
      <c r="C125" s="96"/>
      <c r="D125" s="807"/>
      <c r="E125" s="1188">
        <f t="shared" si="3"/>
        <v>0</v>
      </c>
    </row>
    <row r="126" spans="1:6" ht="13.8" x14ac:dyDescent="0.25">
      <c r="A126" s="494" t="s">
        <v>503</v>
      </c>
      <c r="B126" s="96">
        <v>3480</v>
      </c>
      <c r="C126" s="96">
        <v>1310</v>
      </c>
      <c r="D126" s="807">
        <v>310</v>
      </c>
      <c r="E126" s="1188">
        <f t="shared" si="3"/>
        <v>-1000</v>
      </c>
    </row>
    <row r="127" spans="1:6" ht="14.25" customHeight="1" x14ac:dyDescent="0.25">
      <c r="A127" s="494" t="s">
        <v>486</v>
      </c>
      <c r="B127" s="96"/>
      <c r="C127" s="96"/>
      <c r="D127" s="807"/>
      <c r="E127" s="1188">
        <f t="shared" si="3"/>
        <v>0</v>
      </c>
    </row>
    <row r="128" spans="1:6" s="6" customFormat="1" ht="13.8" x14ac:dyDescent="0.25">
      <c r="A128" s="493" t="s">
        <v>978</v>
      </c>
      <c r="B128" s="375">
        <f>SUM(B126:B127)</f>
        <v>3480</v>
      </c>
      <c r="C128" s="375">
        <f>SUM(C126:C127)</f>
        <v>1310</v>
      </c>
      <c r="D128" s="375">
        <f>SUM(D126:D127)</f>
        <v>310</v>
      </c>
      <c r="E128" s="1189">
        <f t="shared" si="3"/>
        <v>-1000</v>
      </c>
    </row>
    <row r="129" spans="1:6" ht="13.8" x14ac:dyDescent="0.25">
      <c r="A129" s="493"/>
      <c r="B129" s="96"/>
      <c r="C129" s="375"/>
      <c r="D129" s="1226"/>
      <c r="E129" s="1188">
        <f t="shared" si="3"/>
        <v>0</v>
      </c>
    </row>
    <row r="130" spans="1:6" ht="27.6" x14ac:dyDescent="0.25">
      <c r="A130" s="494" t="s">
        <v>504</v>
      </c>
      <c r="B130" s="96"/>
      <c r="C130" s="1184"/>
      <c r="D130" s="806"/>
      <c r="E130" s="1188">
        <f t="shared" si="3"/>
        <v>0</v>
      </c>
    </row>
    <row r="131" spans="1:6" s="6" customFormat="1" ht="13.8" x14ac:dyDescent="0.25">
      <c r="A131" s="493" t="s">
        <v>978</v>
      </c>
      <c r="B131" s="375">
        <f>SUM(B130)</f>
        <v>0</v>
      </c>
      <c r="C131" s="375">
        <f>SUM(C130)</f>
        <v>0</v>
      </c>
      <c r="D131" s="375">
        <f>SUM(D130)</f>
        <v>0</v>
      </c>
      <c r="E131" s="1189">
        <f t="shared" si="3"/>
        <v>0</v>
      </c>
    </row>
    <row r="132" spans="1:6" s="6" customFormat="1" ht="13.8" x14ac:dyDescent="0.25">
      <c r="A132" s="493"/>
      <c r="B132" s="96"/>
      <c r="C132" s="375"/>
      <c r="D132" s="1226"/>
      <c r="E132" s="1188">
        <f t="shared" si="3"/>
        <v>0</v>
      </c>
    </row>
    <row r="133" spans="1:6" ht="13.8" x14ac:dyDescent="0.25">
      <c r="A133" s="494" t="s">
        <v>505</v>
      </c>
      <c r="B133" s="96"/>
      <c r="C133" s="1184"/>
      <c r="D133" s="806"/>
      <c r="E133" s="1188">
        <f t="shared" si="3"/>
        <v>0</v>
      </c>
    </row>
    <row r="134" spans="1:6" s="6" customFormat="1" ht="13.8" x14ac:dyDescent="0.25">
      <c r="A134" s="493" t="s">
        <v>978</v>
      </c>
      <c r="B134" s="375">
        <v>0</v>
      </c>
      <c r="C134" s="375">
        <v>0</v>
      </c>
      <c r="D134" s="375">
        <v>0</v>
      </c>
      <c r="E134" s="1189">
        <f t="shared" si="3"/>
        <v>0</v>
      </c>
    </row>
    <row r="135" spans="1:6" s="6" customFormat="1" ht="13.8" x14ac:dyDescent="0.25">
      <c r="A135" s="493"/>
      <c r="B135" s="375"/>
      <c r="C135" s="375"/>
      <c r="D135" s="1226"/>
      <c r="E135" s="1188">
        <f t="shared" si="3"/>
        <v>0</v>
      </c>
    </row>
    <row r="136" spans="1:6" ht="13.8" x14ac:dyDescent="0.25">
      <c r="A136" s="494"/>
      <c r="B136" s="1184"/>
      <c r="C136" s="1184"/>
      <c r="D136" s="806"/>
      <c r="E136" s="1188">
        <f t="shared" si="3"/>
        <v>0</v>
      </c>
    </row>
    <row r="137" spans="1:6" ht="13.8" x14ac:dyDescent="0.25">
      <c r="A137" s="494" t="s">
        <v>419</v>
      </c>
      <c r="B137" s="96"/>
      <c r="C137" s="96"/>
      <c r="D137" s="807"/>
      <c r="E137" s="1188">
        <f t="shared" si="3"/>
        <v>0</v>
      </c>
    </row>
    <row r="138" spans="1:6" ht="13.8" x14ac:dyDescent="0.25">
      <c r="A138" s="494" t="s">
        <v>420</v>
      </c>
      <c r="B138" s="96">
        <v>6000</v>
      </c>
      <c r="C138" s="96">
        <v>4791</v>
      </c>
      <c r="D138" s="96">
        <v>4791</v>
      </c>
      <c r="E138" s="1188">
        <f t="shared" si="3"/>
        <v>0</v>
      </c>
    </row>
    <row r="139" spans="1:6" ht="27.6" x14ac:dyDescent="0.25">
      <c r="A139" s="494" t="s">
        <v>421</v>
      </c>
      <c r="B139" s="96">
        <v>1541</v>
      </c>
      <c r="C139" s="96">
        <v>1541</v>
      </c>
      <c r="D139" s="96">
        <v>1541</v>
      </c>
      <c r="E139" s="1188">
        <f t="shared" si="3"/>
        <v>0</v>
      </c>
    </row>
    <row r="140" spans="1:6" s="6" customFormat="1" ht="14.4" thickBot="1" x14ac:dyDescent="0.3">
      <c r="A140" s="495" t="s">
        <v>952</v>
      </c>
      <c r="B140" s="436">
        <f>B138+B128+B123+B120+B117+B111+B108+B105+B102+B92+B77+B71+B64+B49+B45+B35+B29+B21+B15+B7+B89+B137+B134+B131+B81+B139</f>
        <v>93225</v>
      </c>
      <c r="C140" s="436">
        <f>C138+C128+C123+C120+C117+C111+C108+C105+C102+C92+C77+C71+C64+C49+C45+C35+C29+C21+C15+C7+C89+C137+C134+C131+C81+C139</f>
        <v>91016</v>
      </c>
      <c r="D140" s="436">
        <f>D138+D128+D123+D120+D117+D111+D108+D105+D102+D92+D77+D71+D64+D49+D45+D35+D29+D21+D15+D7+D89+D137+D134+D131+D81+D139</f>
        <v>91016</v>
      </c>
      <c r="E140" s="1294">
        <f t="shared" si="3"/>
        <v>0</v>
      </c>
    </row>
    <row r="141" spans="1:6" x14ac:dyDescent="0.25">
      <c r="B141" s="485">
        <f>B126+B116+B101+B84+B70+B69+B67-2000+B63+B60+B59+B58+B57+B48+B44+B42+B41+B34+B33-3500+B28+B27+B25-3500+B20+B19+B14+B13+B80</f>
        <v>49530</v>
      </c>
      <c r="E141" s="485">
        <f>E126+E116+E101+E84+E70+E69+E67-2000+E63+E60+E59+E58+E57+E48+E44+E42+E41+E34+E33-3500+E28+E27+E25-3500+E20+E19+E14+E13+E80</f>
        <v>-10000</v>
      </c>
      <c r="F141" s="99">
        <v>93225</v>
      </c>
    </row>
    <row r="142" spans="1:6" x14ac:dyDescent="0.25">
      <c r="B142" s="99">
        <f>B139+B115+B114+B99+B98+B97+B96+B95+B88+B86+B76+B74+B68+B67-2000+B56+B55+B54+B53+B52+B40+B39+B38+B33-3700+B32+B26+B25-3700+B24+B18+B12+B11+B10+B85+B6</f>
        <v>37695</v>
      </c>
      <c r="E142" s="99">
        <f>E139+E115+E114+E99+E98+E97+E96+E95+E88+E86+E76+E74+E68+E67-2000+E56+E55+E54+E53+E52+E40+E39+E38+E33-3700+E32+E26+E25-3700+E24+E18+E12+E11+E10+E85+E6</f>
        <v>-8400</v>
      </c>
    </row>
    <row r="143" spans="1:6" x14ac:dyDescent="0.25">
      <c r="B143" s="485">
        <f>B138+B141+B142</f>
        <v>93225</v>
      </c>
      <c r="E143" s="485">
        <f>E138+E141+E142</f>
        <v>-18400</v>
      </c>
    </row>
  </sheetData>
  <sheetProtection selectLockedCells="1" selectUnlockedCells="1"/>
  <mergeCells count="1">
    <mergeCell ref="A1:B1"/>
  </mergeCells>
  <phoneticPr fontId="28" type="noConversion"/>
  <pageMargins left="0.74791666666666667" right="0.74791666666666667" top="0.98402777777777772" bottom="0.98402777777777772" header="0.5" footer="0.51180555555555551"/>
  <pageSetup paperSize="9" scale="50" firstPageNumber="0" orientation="portrait" r:id="rId1"/>
  <headerFooter alignWithMargins="0">
    <oddHeader>&amp;C&amp;"Arial,Félkövér"INTÉZMÉNYI FELÚJÍTÁSOK 2016. ÉV
6. melléklet
az önkormányzat 2016. évi költségvetéséről szóló 8/2016. (II.26.) önkormányzati rendelet
módosításáról szóló 7/2017.(II.24.) önkormányzati rendelethez&amp;R
&amp;P. oldal
ezer forint</oddHeader>
  </headerFooter>
  <rowBreaks count="2" manualBreakCount="2">
    <brk id="49" max="3" man="1"/>
    <brk id="92"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J188"/>
  <sheetViews>
    <sheetView view="pageLayout" topLeftCell="B1" zoomScaleNormal="80" zoomScaleSheetLayoutView="80" workbookViewId="0">
      <selection activeCell="H181" sqref="H181"/>
    </sheetView>
  </sheetViews>
  <sheetFormatPr defaultColWidth="9.109375" defaultRowHeight="18" customHeight="1" x14ac:dyDescent="0.25"/>
  <cols>
    <col min="1" max="1" width="75" style="209" customWidth="1"/>
    <col min="2" max="5" width="18" style="210" customWidth="1"/>
    <col min="6" max="6" width="17.44140625" style="182" customWidth="1"/>
    <col min="7" max="7" width="16.109375" style="182" customWidth="1"/>
    <col min="8" max="8" width="16.88671875" style="182" customWidth="1"/>
    <col min="9" max="9" width="16.44140625" style="183" customWidth="1"/>
    <col min="10" max="10" width="23.88671875" style="184" customWidth="1"/>
    <col min="11" max="16384" width="9.109375" style="184"/>
  </cols>
  <sheetData>
    <row r="1" spans="1:9" ht="48.75" customHeight="1" thickBot="1" x14ac:dyDescent="0.35">
      <c r="A1" s="1072" t="s">
        <v>891</v>
      </c>
      <c r="B1" s="817" t="s">
        <v>659</v>
      </c>
      <c r="C1" s="347" t="s">
        <v>52</v>
      </c>
      <c r="D1" s="347" t="s">
        <v>800</v>
      </c>
      <c r="E1" s="346" t="s">
        <v>660</v>
      </c>
      <c r="F1" s="181"/>
    </row>
    <row r="2" spans="1:9" ht="18" customHeight="1" x14ac:dyDescent="0.3">
      <c r="A2" s="563" t="s">
        <v>104</v>
      </c>
      <c r="B2" s="561"/>
      <c r="C2" s="825"/>
      <c r="D2" s="825"/>
      <c r="E2" s="564"/>
      <c r="F2" s="185"/>
    </row>
    <row r="3" spans="1:9" s="189" customFormat="1" ht="33" customHeight="1" x14ac:dyDescent="0.3">
      <c r="A3" s="565" t="s">
        <v>105</v>
      </c>
      <c r="B3" s="658">
        <v>636</v>
      </c>
      <c r="C3" s="826">
        <v>636</v>
      </c>
      <c r="D3" s="826">
        <v>636</v>
      </c>
      <c r="E3" s="990">
        <f>D3-C3</f>
        <v>0</v>
      </c>
      <c r="F3" s="190"/>
      <c r="G3" s="187"/>
      <c r="H3" s="187"/>
      <c r="I3" s="188"/>
    </row>
    <row r="4" spans="1:9" s="189" customFormat="1" ht="22.5" customHeight="1" x14ac:dyDescent="0.3">
      <c r="A4" s="566" t="s">
        <v>106</v>
      </c>
      <c r="B4" s="658">
        <v>1676</v>
      </c>
      <c r="C4" s="827">
        <v>1676</v>
      </c>
      <c r="D4" s="827">
        <v>1676</v>
      </c>
      <c r="E4" s="990">
        <f t="shared" ref="E4:E36" si="0">D4-C4</f>
        <v>0</v>
      </c>
      <c r="F4" s="190"/>
      <c r="G4" s="187"/>
      <c r="H4" s="187"/>
      <c r="I4" s="188"/>
    </row>
    <row r="5" spans="1:9" s="189" customFormat="1" ht="24" customHeight="1" x14ac:dyDescent="0.3">
      <c r="A5" s="261" t="s">
        <v>112</v>
      </c>
      <c r="B5" s="658">
        <v>330</v>
      </c>
      <c r="C5" s="827">
        <v>330</v>
      </c>
      <c r="D5" s="827">
        <v>330</v>
      </c>
      <c r="E5" s="990">
        <f t="shared" si="0"/>
        <v>0</v>
      </c>
      <c r="F5" s="190"/>
      <c r="G5" s="187"/>
      <c r="H5" s="187"/>
      <c r="I5" s="188"/>
    </row>
    <row r="6" spans="1:9" s="189" customFormat="1" ht="30.75" customHeight="1" x14ac:dyDescent="0.3">
      <c r="A6" s="261" t="s">
        <v>113</v>
      </c>
      <c r="B6" s="658">
        <v>2921</v>
      </c>
      <c r="C6" s="827">
        <v>2921</v>
      </c>
      <c r="D6" s="827">
        <v>2921</v>
      </c>
      <c r="E6" s="990">
        <f t="shared" si="0"/>
        <v>0</v>
      </c>
      <c r="F6" s="190"/>
      <c r="G6" s="187"/>
      <c r="H6" s="187"/>
      <c r="I6" s="188"/>
    </row>
    <row r="7" spans="1:9" s="194" customFormat="1" ht="60.75" customHeight="1" x14ac:dyDescent="0.3">
      <c r="A7" s="566" t="s">
        <v>114</v>
      </c>
      <c r="B7" s="658">
        <v>505</v>
      </c>
      <c r="C7" s="827">
        <v>505</v>
      </c>
      <c r="D7" s="827">
        <v>505</v>
      </c>
      <c r="E7" s="990">
        <f t="shared" si="0"/>
        <v>0</v>
      </c>
      <c r="F7" s="191"/>
      <c r="G7" s="192"/>
      <c r="H7" s="192"/>
      <c r="I7" s="193"/>
    </row>
    <row r="8" spans="1:9" s="194" customFormat="1" ht="22.5" customHeight="1" x14ac:dyDescent="0.3">
      <c r="A8" s="566" t="s">
        <v>115</v>
      </c>
      <c r="B8" s="658">
        <v>756</v>
      </c>
      <c r="C8" s="827">
        <v>756</v>
      </c>
      <c r="D8" s="827">
        <v>756</v>
      </c>
      <c r="E8" s="990">
        <f t="shared" si="0"/>
        <v>0</v>
      </c>
      <c r="F8" s="191"/>
      <c r="G8" s="192"/>
      <c r="H8" s="192"/>
      <c r="I8" s="193"/>
    </row>
    <row r="9" spans="1:9" s="194" customFormat="1" ht="19.5" customHeight="1" x14ac:dyDescent="0.3">
      <c r="A9" s="261" t="s">
        <v>116</v>
      </c>
      <c r="B9" s="658">
        <v>445</v>
      </c>
      <c r="C9" s="827">
        <v>445</v>
      </c>
      <c r="D9" s="827">
        <v>445</v>
      </c>
      <c r="E9" s="990">
        <f t="shared" si="0"/>
        <v>0</v>
      </c>
      <c r="F9" s="191"/>
      <c r="G9" s="192"/>
      <c r="H9" s="192"/>
      <c r="I9" s="193"/>
    </row>
    <row r="10" spans="1:9" s="194" customFormat="1" ht="19.5" customHeight="1" x14ac:dyDescent="0.25">
      <c r="A10" s="261" t="s">
        <v>37</v>
      </c>
      <c r="B10" s="207"/>
      <c r="C10" s="828">
        <v>1836</v>
      </c>
      <c r="D10" s="828">
        <v>1836</v>
      </c>
      <c r="E10" s="990">
        <f t="shared" si="0"/>
        <v>0</v>
      </c>
      <c r="F10" s="191"/>
      <c r="G10" s="192"/>
      <c r="H10" s="192"/>
      <c r="I10" s="193"/>
    </row>
    <row r="11" spans="1:9" s="194" customFormat="1" ht="22.5" customHeight="1" x14ac:dyDescent="0.3">
      <c r="A11" s="566" t="s">
        <v>119</v>
      </c>
      <c r="B11" s="658">
        <v>8223</v>
      </c>
      <c r="C11" s="827">
        <v>8223</v>
      </c>
      <c r="D11" s="827">
        <v>8223</v>
      </c>
      <c r="E11" s="990">
        <f t="shared" si="0"/>
        <v>0</v>
      </c>
      <c r="F11" s="191"/>
      <c r="G11" s="192"/>
      <c r="H11" s="192"/>
      <c r="I11" s="193"/>
    </row>
    <row r="12" spans="1:9" s="194" customFormat="1" ht="19.5" customHeight="1" x14ac:dyDescent="0.3">
      <c r="A12" s="261" t="s">
        <v>120</v>
      </c>
      <c r="B12" s="658">
        <v>254</v>
      </c>
      <c r="C12" s="828">
        <v>254</v>
      </c>
      <c r="D12" s="828">
        <v>1397</v>
      </c>
      <c r="E12" s="990">
        <f t="shared" si="0"/>
        <v>1143</v>
      </c>
      <c r="F12" s="191"/>
      <c r="G12" s="192"/>
      <c r="H12" s="192"/>
      <c r="I12" s="193"/>
    </row>
    <row r="13" spans="1:9" s="194" customFormat="1" ht="18.75" customHeight="1" x14ac:dyDescent="0.3">
      <c r="A13" s="261" t="s">
        <v>457</v>
      </c>
      <c r="B13" s="658">
        <v>381</v>
      </c>
      <c r="C13" s="828">
        <v>381</v>
      </c>
      <c r="D13" s="828">
        <v>381</v>
      </c>
      <c r="E13" s="990">
        <f t="shared" si="0"/>
        <v>0</v>
      </c>
      <c r="F13" s="191"/>
      <c r="G13" s="192"/>
      <c r="H13" s="192"/>
      <c r="I13" s="193"/>
    </row>
    <row r="14" spans="1:9" s="194" customFormat="1" ht="21.75" customHeight="1" x14ac:dyDescent="0.25">
      <c r="A14" s="261" t="s">
        <v>124</v>
      </c>
      <c r="B14" s="207">
        <v>18175</v>
      </c>
      <c r="C14" s="828">
        <v>209522</v>
      </c>
      <c r="D14" s="828">
        <v>209522</v>
      </c>
      <c r="E14" s="990">
        <f t="shared" si="0"/>
        <v>0</v>
      </c>
      <c r="F14" s="191"/>
      <c r="G14" s="192"/>
      <c r="H14" s="192"/>
      <c r="I14" s="193"/>
    </row>
    <row r="15" spans="1:9" s="194" customFormat="1" ht="20.25" customHeight="1" x14ac:dyDescent="0.3">
      <c r="A15" s="261" t="s">
        <v>125</v>
      </c>
      <c r="B15" s="658">
        <v>127</v>
      </c>
      <c r="C15" s="828">
        <v>127</v>
      </c>
      <c r="D15" s="828">
        <v>127</v>
      </c>
      <c r="E15" s="990">
        <f t="shared" si="0"/>
        <v>0</v>
      </c>
      <c r="F15" s="191"/>
      <c r="G15" s="192"/>
      <c r="H15" s="192"/>
      <c r="I15" s="193"/>
    </row>
    <row r="16" spans="1:9" s="194" customFormat="1" ht="17.25" customHeight="1" x14ac:dyDescent="0.3">
      <c r="A16" s="567" t="s">
        <v>310</v>
      </c>
      <c r="B16" s="658">
        <v>2032</v>
      </c>
      <c r="C16" s="828">
        <v>2032</v>
      </c>
      <c r="D16" s="828">
        <v>2032</v>
      </c>
      <c r="E16" s="990">
        <f t="shared" si="0"/>
        <v>0</v>
      </c>
      <c r="F16" s="191"/>
      <c r="G16" s="192"/>
      <c r="H16" s="192"/>
      <c r="I16" s="193"/>
    </row>
    <row r="17" spans="1:9" s="194" customFormat="1" ht="17.25" customHeight="1" x14ac:dyDescent="0.3">
      <c r="A17" s="567" t="s">
        <v>311</v>
      </c>
      <c r="B17" s="658">
        <v>864</v>
      </c>
      <c r="C17" s="828">
        <v>864</v>
      </c>
      <c r="D17" s="828">
        <v>864</v>
      </c>
      <c r="E17" s="990">
        <f t="shared" si="0"/>
        <v>0</v>
      </c>
      <c r="F17" s="191"/>
      <c r="G17" s="192"/>
      <c r="H17" s="192"/>
      <c r="I17" s="193"/>
    </row>
    <row r="18" spans="1:9" s="194" customFormat="1" ht="15" x14ac:dyDescent="0.25">
      <c r="A18" s="558" t="s">
        <v>540</v>
      </c>
      <c r="B18" s="207">
        <v>18504</v>
      </c>
      <c r="C18" s="828">
        <v>1599</v>
      </c>
      <c r="D18" s="828">
        <v>1599</v>
      </c>
      <c r="E18" s="990">
        <f t="shared" si="0"/>
        <v>0</v>
      </c>
      <c r="F18" s="191"/>
      <c r="G18" s="192"/>
      <c r="H18" s="192"/>
      <c r="I18" s="193"/>
    </row>
    <row r="19" spans="1:9" s="194" customFormat="1" ht="15" x14ac:dyDescent="0.25">
      <c r="A19" s="567" t="s">
        <v>541</v>
      </c>
      <c r="B19" s="207">
        <v>6466</v>
      </c>
      <c r="C19" s="828">
        <v>6466</v>
      </c>
      <c r="D19" s="828">
        <v>6466</v>
      </c>
      <c r="E19" s="990">
        <f t="shared" si="0"/>
        <v>0</v>
      </c>
      <c r="F19" s="191"/>
      <c r="G19" s="192"/>
      <c r="H19" s="192"/>
      <c r="I19" s="193"/>
    </row>
    <row r="20" spans="1:9" s="194" customFormat="1" ht="15" x14ac:dyDescent="0.25">
      <c r="A20" s="559" t="s">
        <v>542</v>
      </c>
      <c r="B20" s="207">
        <v>2000</v>
      </c>
      <c r="C20" s="828"/>
      <c r="D20" s="828"/>
      <c r="E20" s="990">
        <f t="shared" si="0"/>
        <v>0</v>
      </c>
      <c r="F20" s="191"/>
      <c r="G20" s="192"/>
      <c r="H20" s="192"/>
      <c r="I20" s="193"/>
    </row>
    <row r="21" spans="1:9" s="194" customFormat="1" ht="15" x14ac:dyDescent="0.25">
      <c r="A21" s="559" t="s">
        <v>38</v>
      </c>
      <c r="B21" s="207"/>
      <c r="C21" s="828">
        <v>977</v>
      </c>
      <c r="D21" s="828">
        <v>977</v>
      </c>
      <c r="E21" s="990">
        <f t="shared" si="0"/>
        <v>0</v>
      </c>
      <c r="F21" s="191"/>
      <c r="G21" s="192"/>
      <c r="H21" s="192"/>
      <c r="I21" s="193"/>
    </row>
    <row r="22" spans="1:9" s="194" customFormat="1" ht="30" x14ac:dyDescent="0.25">
      <c r="A22" s="560" t="s">
        <v>582</v>
      </c>
      <c r="B22" s="207">
        <v>245340</v>
      </c>
      <c r="C22" s="828">
        <v>248340</v>
      </c>
      <c r="D22" s="828">
        <v>248340</v>
      </c>
      <c r="E22" s="990">
        <f t="shared" si="0"/>
        <v>0</v>
      </c>
      <c r="F22" s="191"/>
      <c r="G22" s="192"/>
      <c r="H22" s="192"/>
      <c r="I22" s="193"/>
    </row>
    <row r="23" spans="1:9" s="194" customFormat="1" ht="15" x14ac:dyDescent="0.25">
      <c r="A23" s="560" t="s">
        <v>543</v>
      </c>
      <c r="B23" s="207">
        <v>83000</v>
      </c>
      <c r="C23" s="828">
        <v>140724</v>
      </c>
      <c r="D23" s="828">
        <v>140724</v>
      </c>
      <c r="E23" s="990">
        <f t="shared" si="0"/>
        <v>0</v>
      </c>
      <c r="F23" s="191"/>
      <c r="G23" s="192"/>
      <c r="H23" s="192"/>
      <c r="I23" s="193"/>
    </row>
    <row r="24" spans="1:9" s="194" customFormat="1" ht="105" x14ac:dyDescent="0.25">
      <c r="A24" s="566" t="s">
        <v>666</v>
      </c>
      <c r="B24" s="207">
        <f>63747+86705</f>
        <v>150452</v>
      </c>
      <c r="C24" s="828">
        <v>150452</v>
      </c>
      <c r="D24" s="828">
        <v>150452</v>
      </c>
      <c r="E24" s="990">
        <f t="shared" si="0"/>
        <v>0</v>
      </c>
      <c r="F24" s="191"/>
      <c r="G24" s="192"/>
      <c r="H24" s="192"/>
      <c r="I24" s="193"/>
    </row>
    <row r="25" spans="1:9" s="194" customFormat="1" ht="30.6" x14ac:dyDescent="0.3">
      <c r="A25" s="260" t="s">
        <v>367</v>
      </c>
      <c r="B25" s="659">
        <v>2853</v>
      </c>
      <c r="C25" s="828">
        <v>2853</v>
      </c>
      <c r="D25" s="828">
        <v>2853</v>
      </c>
      <c r="E25" s="990">
        <f t="shared" si="0"/>
        <v>0</v>
      </c>
      <c r="F25" s="191"/>
      <c r="G25" s="192"/>
      <c r="H25" s="192"/>
      <c r="I25" s="193"/>
    </row>
    <row r="26" spans="1:9" s="194" customFormat="1" ht="16.5" customHeight="1" x14ac:dyDescent="0.3">
      <c r="A26" s="262" t="s">
        <v>368</v>
      </c>
      <c r="B26" s="659">
        <v>3000</v>
      </c>
      <c r="C26" s="828">
        <v>3000</v>
      </c>
      <c r="D26" s="828">
        <v>3000</v>
      </c>
      <c r="E26" s="990">
        <f t="shared" si="0"/>
        <v>0</v>
      </c>
      <c r="F26" s="191"/>
      <c r="G26" s="192"/>
      <c r="H26" s="192"/>
      <c r="I26" s="193"/>
    </row>
    <row r="27" spans="1:9" s="194" customFormat="1" ht="30.75" customHeight="1" x14ac:dyDescent="0.3">
      <c r="A27" s="262" t="s">
        <v>371</v>
      </c>
      <c r="B27" s="659">
        <v>664</v>
      </c>
      <c r="C27" s="828">
        <v>664</v>
      </c>
      <c r="D27" s="828">
        <v>664</v>
      </c>
      <c r="E27" s="990">
        <f t="shared" si="0"/>
        <v>0</v>
      </c>
      <c r="F27" s="191"/>
      <c r="G27" s="192"/>
      <c r="H27" s="192"/>
      <c r="I27" s="193"/>
    </row>
    <row r="28" spans="1:9" s="194" customFormat="1" ht="16.5" customHeight="1" x14ac:dyDescent="0.3">
      <c r="A28" s="262" t="s">
        <v>372</v>
      </c>
      <c r="B28" s="659">
        <v>2400</v>
      </c>
      <c r="C28" s="828">
        <v>2400</v>
      </c>
      <c r="D28" s="828">
        <v>2400</v>
      </c>
      <c r="E28" s="990">
        <f t="shared" si="0"/>
        <v>0</v>
      </c>
      <c r="F28" s="191"/>
      <c r="G28" s="192"/>
      <c r="H28" s="192"/>
      <c r="I28" s="193"/>
    </row>
    <row r="29" spans="1:9" s="194" customFormat="1" ht="16.5" customHeight="1" x14ac:dyDescent="0.3">
      <c r="A29" s="262" t="s">
        <v>680</v>
      </c>
      <c r="B29" s="659">
        <v>370</v>
      </c>
      <c r="C29" s="828">
        <v>370</v>
      </c>
      <c r="D29" s="828">
        <v>370</v>
      </c>
      <c r="E29" s="990">
        <f t="shared" si="0"/>
        <v>0</v>
      </c>
      <c r="F29" s="191"/>
      <c r="G29" s="192"/>
      <c r="H29" s="192"/>
      <c r="I29" s="193"/>
    </row>
    <row r="30" spans="1:9" s="194" customFormat="1" ht="15.75" customHeight="1" x14ac:dyDescent="0.3">
      <c r="A30" s="262" t="s">
        <v>467</v>
      </c>
      <c r="B30" s="659">
        <v>709</v>
      </c>
      <c r="C30" s="828">
        <v>1909</v>
      </c>
      <c r="D30" s="828">
        <v>1909</v>
      </c>
      <c r="E30" s="990">
        <f t="shared" si="0"/>
        <v>0</v>
      </c>
      <c r="F30" s="191"/>
      <c r="G30" s="192"/>
      <c r="H30" s="192"/>
      <c r="I30" s="193"/>
    </row>
    <row r="31" spans="1:9" s="194" customFormat="1" ht="16.5" customHeight="1" x14ac:dyDescent="0.3">
      <c r="A31" s="262" t="s">
        <v>458</v>
      </c>
      <c r="B31" s="659">
        <v>5080</v>
      </c>
      <c r="C31" s="828">
        <v>5080</v>
      </c>
      <c r="D31" s="828">
        <v>5080</v>
      </c>
      <c r="E31" s="990">
        <f t="shared" si="0"/>
        <v>0</v>
      </c>
      <c r="F31" s="191"/>
      <c r="G31" s="192"/>
      <c r="H31" s="192"/>
      <c r="I31" s="193"/>
    </row>
    <row r="32" spans="1:9" s="194" customFormat="1" ht="16.5" customHeight="1" x14ac:dyDescent="0.3">
      <c r="A32" s="262" t="s">
        <v>459</v>
      </c>
      <c r="B32" s="659">
        <v>9525</v>
      </c>
      <c r="C32" s="828">
        <v>9525</v>
      </c>
      <c r="D32" s="828">
        <v>9525</v>
      </c>
      <c r="E32" s="990">
        <f t="shared" si="0"/>
        <v>0</v>
      </c>
      <c r="F32" s="191"/>
      <c r="G32" s="192"/>
      <c r="H32" s="192"/>
      <c r="I32" s="193"/>
    </row>
    <row r="33" spans="1:9" s="194" customFormat="1" ht="16.5" customHeight="1" x14ac:dyDescent="0.3">
      <c r="A33" s="262" t="s">
        <v>604</v>
      </c>
      <c r="B33" s="659">
        <v>73</v>
      </c>
      <c r="C33" s="828">
        <v>162</v>
      </c>
      <c r="D33" s="828">
        <v>162</v>
      </c>
      <c r="E33" s="990">
        <f t="shared" si="0"/>
        <v>0</v>
      </c>
      <c r="F33" s="191"/>
      <c r="G33" s="192"/>
      <c r="H33" s="192"/>
      <c r="I33" s="193"/>
    </row>
    <row r="34" spans="1:9" s="194" customFormat="1" ht="27.6" x14ac:dyDescent="0.25">
      <c r="A34" s="262" t="s">
        <v>468</v>
      </c>
      <c r="B34" s="660">
        <v>4902</v>
      </c>
      <c r="C34" s="828">
        <v>4902</v>
      </c>
      <c r="D34" s="828">
        <v>4902</v>
      </c>
      <c r="E34" s="990">
        <f t="shared" si="0"/>
        <v>0</v>
      </c>
      <c r="F34" s="191"/>
      <c r="G34" s="192"/>
      <c r="H34" s="192"/>
      <c r="I34" s="193"/>
    </row>
    <row r="35" spans="1:9" s="194" customFormat="1" ht="16.5" customHeight="1" x14ac:dyDescent="0.25">
      <c r="A35" s="262" t="s">
        <v>469</v>
      </c>
      <c r="B35" s="660">
        <v>381</v>
      </c>
      <c r="C35" s="828">
        <v>381</v>
      </c>
      <c r="D35" s="828">
        <v>381</v>
      </c>
      <c r="E35" s="990">
        <f t="shared" si="0"/>
        <v>0</v>
      </c>
      <c r="F35" s="191"/>
      <c r="G35" s="192"/>
      <c r="H35" s="192"/>
      <c r="I35" s="193"/>
    </row>
    <row r="36" spans="1:9" s="194" customFormat="1" ht="24" customHeight="1" thickBot="1" x14ac:dyDescent="0.35">
      <c r="A36" s="263" t="s">
        <v>117</v>
      </c>
      <c r="B36" s="264">
        <f>SUM(B3:B35)</f>
        <v>573044</v>
      </c>
      <c r="C36" s="264">
        <f>SUM(C3:C35)</f>
        <v>810312</v>
      </c>
      <c r="D36" s="264">
        <f>SUM(D3:D35)</f>
        <v>811455</v>
      </c>
      <c r="E36" s="1295">
        <f t="shared" si="0"/>
        <v>1143</v>
      </c>
      <c r="F36" s="185">
        <f>544469-E36</f>
        <v>543326</v>
      </c>
      <c r="G36" s="192"/>
      <c r="H36" s="192"/>
      <c r="I36" s="193"/>
    </row>
    <row r="37" spans="1:9" s="194" customFormat="1" ht="42" customHeight="1" thickBot="1" x14ac:dyDescent="0.3">
      <c r="A37" s="1075" t="s">
        <v>891</v>
      </c>
      <c r="B37" s="1071" t="s">
        <v>659</v>
      </c>
      <c r="C37" s="347" t="s">
        <v>52</v>
      </c>
      <c r="D37" s="347" t="s">
        <v>800</v>
      </c>
      <c r="E37" s="346" t="s">
        <v>660</v>
      </c>
      <c r="F37" s="185"/>
      <c r="G37" s="192"/>
      <c r="H37" s="192"/>
      <c r="I37" s="193"/>
    </row>
    <row r="38" spans="1:9" s="194" customFormat="1" ht="24" customHeight="1" x14ac:dyDescent="0.3">
      <c r="A38" s="591" t="s">
        <v>656</v>
      </c>
      <c r="B38" s="661"/>
      <c r="C38" s="1074"/>
      <c r="D38" s="1074"/>
      <c r="E38" s="590"/>
      <c r="F38" s="185"/>
      <c r="G38" s="192"/>
      <c r="H38" s="192"/>
      <c r="I38" s="193"/>
    </row>
    <row r="39" spans="1:9" s="194" customFormat="1" ht="18" customHeight="1" x14ac:dyDescent="0.25">
      <c r="A39" s="259" t="s">
        <v>118</v>
      </c>
      <c r="B39" s="660">
        <v>25000</v>
      </c>
      <c r="C39" s="827">
        <v>110</v>
      </c>
      <c r="D39" s="376">
        <v>0</v>
      </c>
      <c r="E39" s="439">
        <f>D39-C39</f>
        <v>-110</v>
      </c>
      <c r="F39" s="191"/>
      <c r="G39" s="192"/>
      <c r="H39" s="192"/>
      <c r="I39" s="193"/>
    </row>
    <row r="40" spans="1:9" s="194" customFormat="1" ht="18" customHeight="1" x14ac:dyDescent="0.25">
      <c r="A40" s="479" t="s">
        <v>605</v>
      </c>
      <c r="B40" s="660">
        <f>120000+5000</f>
        <v>125000</v>
      </c>
      <c r="C40" s="827">
        <v>125983</v>
      </c>
      <c r="D40" s="376">
        <v>125983</v>
      </c>
      <c r="E40" s="439">
        <f t="shared" ref="E40:E103" si="1">D40-C40</f>
        <v>0</v>
      </c>
      <c r="F40" s="191"/>
      <c r="G40" s="192"/>
      <c r="H40" s="192"/>
      <c r="I40" s="193"/>
    </row>
    <row r="41" spans="1:9" s="194" customFormat="1" ht="18" customHeight="1" x14ac:dyDescent="0.25">
      <c r="A41" s="479" t="s">
        <v>654</v>
      </c>
      <c r="B41" s="660">
        <v>60000</v>
      </c>
      <c r="C41" s="827">
        <v>49500</v>
      </c>
      <c r="D41" s="376">
        <v>49500</v>
      </c>
      <c r="E41" s="439">
        <f t="shared" si="1"/>
        <v>0</v>
      </c>
      <c r="F41" s="191"/>
      <c r="G41" s="192"/>
      <c r="H41" s="192"/>
      <c r="I41" s="193"/>
    </row>
    <row r="42" spans="1:9" s="194" customFormat="1" ht="18" customHeight="1" x14ac:dyDescent="0.25">
      <c r="A42" s="479" t="s">
        <v>606</v>
      </c>
      <c r="B42" s="660">
        <v>500</v>
      </c>
      <c r="C42" s="827">
        <v>500</v>
      </c>
      <c r="D42" s="376">
        <v>500</v>
      </c>
      <c r="E42" s="439">
        <f t="shared" si="1"/>
        <v>0</v>
      </c>
      <c r="F42" s="191"/>
      <c r="G42" s="192"/>
      <c r="H42" s="192"/>
      <c r="I42" s="193"/>
    </row>
    <row r="43" spans="1:9" s="194" customFormat="1" ht="18" customHeight="1" x14ac:dyDescent="0.25">
      <c r="A43" s="479" t="s">
        <v>608</v>
      </c>
      <c r="B43" s="660">
        <v>1000</v>
      </c>
      <c r="C43" s="827">
        <v>1000</v>
      </c>
      <c r="D43" s="376">
        <v>1000</v>
      </c>
      <c r="E43" s="439">
        <f t="shared" si="1"/>
        <v>0</v>
      </c>
      <c r="F43" s="191"/>
      <c r="G43" s="192"/>
      <c r="H43" s="192"/>
      <c r="I43" s="193"/>
    </row>
    <row r="44" spans="1:9" s="194" customFormat="1" ht="15" x14ac:dyDescent="0.25">
      <c r="A44" s="260" t="s">
        <v>609</v>
      </c>
      <c r="B44" s="660">
        <v>2000</v>
      </c>
      <c r="C44" s="827">
        <v>2000</v>
      </c>
      <c r="D44" s="376">
        <v>3600</v>
      </c>
      <c r="E44" s="439">
        <f t="shared" si="1"/>
        <v>1600</v>
      </c>
      <c r="F44" s="191"/>
      <c r="G44" s="192"/>
      <c r="H44" s="192"/>
      <c r="I44" s="193"/>
    </row>
    <row r="45" spans="1:9" s="194" customFormat="1" ht="15" x14ac:dyDescent="0.25">
      <c r="A45" s="260" t="s">
        <v>610</v>
      </c>
      <c r="B45" s="660">
        <v>3000</v>
      </c>
      <c r="C45" s="827">
        <v>3000</v>
      </c>
      <c r="D45" s="376">
        <v>3000</v>
      </c>
      <c r="E45" s="439">
        <f t="shared" si="1"/>
        <v>0</v>
      </c>
      <c r="F45" s="191"/>
      <c r="G45" s="192"/>
      <c r="H45" s="192"/>
      <c r="I45" s="193"/>
    </row>
    <row r="46" spans="1:9" s="194" customFormat="1" ht="15" x14ac:dyDescent="0.25">
      <c r="A46" s="260" t="s">
        <v>611</v>
      </c>
      <c r="B46" s="660">
        <v>3000</v>
      </c>
      <c r="C46" s="827">
        <v>3000</v>
      </c>
      <c r="D46" s="376">
        <v>1400</v>
      </c>
      <c r="E46" s="439">
        <f t="shared" si="1"/>
        <v>-1600</v>
      </c>
      <c r="F46" s="191"/>
      <c r="G46" s="192"/>
      <c r="H46" s="192"/>
      <c r="I46" s="193"/>
    </row>
    <row r="47" spans="1:9" s="194" customFormat="1" ht="16.5" customHeight="1" x14ac:dyDescent="0.25">
      <c r="A47" s="262" t="s">
        <v>612</v>
      </c>
      <c r="B47" s="660">
        <v>2000</v>
      </c>
      <c r="C47" s="828">
        <v>2000</v>
      </c>
      <c r="D47" s="207">
        <v>2000</v>
      </c>
      <c r="E47" s="439">
        <f t="shared" si="1"/>
        <v>0</v>
      </c>
      <c r="F47" s="191"/>
      <c r="G47" s="192"/>
      <c r="H47" s="192"/>
      <c r="I47" s="193"/>
    </row>
    <row r="48" spans="1:9" s="194" customFormat="1" ht="16.5" customHeight="1" x14ac:dyDescent="0.25">
      <c r="A48" s="262" t="s">
        <v>613</v>
      </c>
      <c r="B48" s="660">
        <v>15000</v>
      </c>
      <c r="C48" s="828">
        <v>0</v>
      </c>
      <c r="D48" s="207">
        <v>0</v>
      </c>
      <c r="E48" s="439">
        <f t="shared" si="1"/>
        <v>0</v>
      </c>
      <c r="F48" s="191"/>
      <c r="G48" s="192"/>
      <c r="H48" s="192"/>
      <c r="I48" s="193"/>
    </row>
    <row r="49" spans="1:9" s="194" customFormat="1" ht="16.5" customHeight="1" x14ac:dyDescent="0.25">
      <c r="A49" s="262" t="s">
        <v>364</v>
      </c>
      <c r="B49" s="660">
        <v>4000</v>
      </c>
      <c r="C49" s="828">
        <v>0</v>
      </c>
      <c r="D49" s="207">
        <v>0</v>
      </c>
      <c r="E49" s="439">
        <f t="shared" si="1"/>
        <v>0</v>
      </c>
      <c r="F49" s="191"/>
      <c r="G49" s="192"/>
      <c r="H49" s="192"/>
      <c r="I49" s="193"/>
    </row>
    <row r="50" spans="1:9" s="194" customFormat="1" ht="16.5" customHeight="1" x14ac:dyDescent="0.25">
      <c r="A50" s="262" t="s">
        <v>607</v>
      </c>
      <c r="B50" s="660">
        <v>1000</v>
      </c>
      <c r="C50" s="828"/>
      <c r="D50" s="207"/>
      <c r="E50" s="439">
        <f t="shared" si="1"/>
        <v>0</v>
      </c>
      <c r="F50" s="191"/>
      <c r="G50" s="192"/>
      <c r="H50" s="192"/>
      <c r="I50" s="193"/>
    </row>
    <row r="51" spans="1:9" s="194" customFormat="1" ht="16.5" customHeight="1" x14ac:dyDescent="0.25">
      <c r="A51" s="262" t="s">
        <v>365</v>
      </c>
      <c r="B51" s="660">
        <v>11000</v>
      </c>
      <c r="C51" s="828"/>
      <c r="D51" s="207"/>
      <c r="E51" s="439">
        <f t="shared" si="1"/>
        <v>0</v>
      </c>
      <c r="F51" s="191"/>
      <c r="G51" s="192"/>
      <c r="H51" s="192"/>
      <c r="I51" s="193"/>
    </row>
    <row r="52" spans="1:9" s="194" customFormat="1" ht="16.5" customHeight="1" x14ac:dyDescent="0.25">
      <c r="A52" s="262" t="s">
        <v>366</v>
      </c>
      <c r="B52" s="660">
        <v>3000</v>
      </c>
      <c r="C52" s="828">
        <v>3000</v>
      </c>
      <c r="D52" s="207">
        <v>3000</v>
      </c>
      <c r="E52" s="439">
        <f t="shared" si="1"/>
        <v>0</v>
      </c>
      <c r="F52" s="191"/>
      <c r="G52" s="192"/>
      <c r="H52" s="192"/>
      <c r="I52" s="193"/>
    </row>
    <row r="53" spans="1:9" s="194" customFormat="1" ht="16.5" customHeight="1" x14ac:dyDescent="0.25">
      <c r="A53" s="262" t="s">
        <v>614</v>
      </c>
      <c r="B53" s="660">
        <v>3000</v>
      </c>
      <c r="C53" s="828">
        <v>3000</v>
      </c>
      <c r="D53" s="207">
        <v>3000</v>
      </c>
      <c r="E53" s="439">
        <f t="shared" si="1"/>
        <v>0</v>
      </c>
      <c r="F53" s="191"/>
      <c r="G53" s="192"/>
      <c r="H53" s="192"/>
      <c r="I53" s="193"/>
    </row>
    <row r="54" spans="1:9" s="194" customFormat="1" ht="16.5" customHeight="1" x14ac:dyDescent="0.25">
      <c r="A54" s="262" t="s">
        <v>369</v>
      </c>
      <c r="B54" s="660">
        <v>6000</v>
      </c>
      <c r="C54" s="828">
        <v>6000</v>
      </c>
      <c r="D54" s="207">
        <v>6000</v>
      </c>
      <c r="E54" s="439">
        <f t="shared" si="1"/>
        <v>0</v>
      </c>
      <c r="F54" s="191"/>
      <c r="G54" s="192"/>
      <c r="H54" s="192"/>
      <c r="I54" s="193"/>
    </row>
    <row r="55" spans="1:9" s="194" customFormat="1" ht="16.5" customHeight="1" x14ac:dyDescent="0.25">
      <c r="A55" s="262" t="s">
        <v>370</v>
      </c>
      <c r="B55" s="660">
        <v>15000</v>
      </c>
      <c r="C55" s="828">
        <v>15000</v>
      </c>
      <c r="D55" s="207">
        <v>15000</v>
      </c>
      <c r="E55" s="439">
        <f t="shared" si="1"/>
        <v>0</v>
      </c>
      <c r="F55" s="191"/>
      <c r="G55" s="192"/>
      <c r="H55" s="192"/>
      <c r="I55" s="193"/>
    </row>
    <row r="56" spans="1:9" s="194" customFormat="1" ht="16.5" customHeight="1" x14ac:dyDescent="0.25">
      <c r="A56" s="262" t="s">
        <v>373</v>
      </c>
      <c r="B56" s="660">
        <v>4000</v>
      </c>
      <c r="C56" s="828">
        <v>4000</v>
      </c>
      <c r="D56" s="207">
        <v>4000</v>
      </c>
      <c r="E56" s="439">
        <f t="shared" si="1"/>
        <v>0</v>
      </c>
      <c r="F56" s="191"/>
      <c r="G56" s="192"/>
      <c r="H56" s="192"/>
      <c r="I56" s="193"/>
    </row>
    <row r="57" spans="1:9" s="194" customFormat="1" ht="16.5" customHeight="1" x14ac:dyDescent="0.25">
      <c r="A57" s="262" t="s">
        <v>657</v>
      </c>
      <c r="B57" s="660">
        <v>8000</v>
      </c>
      <c r="C57" s="828">
        <v>8000</v>
      </c>
      <c r="D57" s="207">
        <v>8000</v>
      </c>
      <c r="E57" s="439">
        <f t="shared" si="1"/>
        <v>0</v>
      </c>
      <c r="F57" s="191" t="e">
        <f>SUM(#REF!,#REF!,#REF!,#REF!,#REF!,#REF!,#REF!,)</f>
        <v>#REF!</v>
      </c>
      <c r="G57" s="192"/>
      <c r="H57" s="192"/>
      <c r="I57" s="193"/>
    </row>
    <row r="58" spans="1:9" s="194" customFormat="1" ht="16.5" customHeight="1" x14ac:dyDescent="0.25">
      <c r="A58" s="262" t="s">
        <v>615</v>
      </c>
      <c r="B58" s="660">
        <v>15000</v>
      </c>
      <c r="C58" s="828">
        <v>0</v>
      </c>
      <c r="D58" s="207">
        <v>0</v>
      </c>
      <c r="E58" s="439">
        <f t="shared" si="1"/>
        <v>0</v>
      </c>
      <c r="F58" s="191"/>
      <c r="G58" s="192"/>
      <c r="H58" s="192"/>
      <c r="I58" s="193"/>
    </row>
    <row r="59" spans="1:9" s="194" customFormat="1" ht="16.5" customHeight="1" x14ac:dyDescent="0.25">
      <c r="A59" s="262" t="s">
        <v>616</v>
      </c>
      <c r="B59" s="660">
        <v>15000</v>
      </c>
      <c r="C59" s="828">
        <v>0</v>
      </c>
      <c r="D59" s="207">
        <v>0</v>
      </c>
      <c r="E59" s="439">
        <f t="shared" si="1"/>
        <v>0</v>
      </c>
      <c r="F59" s="191"/>
      <c r="G59" s="192"/>
      <c r="H59" s="192"/>
      <c r="I59" s="193"/>
    </row>
    <row r="60" spans="1:9" s="194" customFormat="1" ht="16.5" customHeight="1" x14ac:dyDescent="0.25">
      <c r="A60" s="262" t="s">
        <v>617</v>
      </c>
      <c r="B60" s="660">
        <v>30000</v>
      </c>
      <c r="C60" s="828">
        <v>0</v>
      </c>
      <c r="D60" s="207">
        <v>0</v>
      </c>
      <c r="E60" s="439">
        <f t="shared" si="1"/>
        <v>0</v>
      </c>
      <c r="F60" s="191">
        <f>E60+E59+E58+E56+E49</f>
        <v>0</v>
      </c>
      <c r="G60" s="192"/>
      <c r="H60" s="192"/>
      <c r="I60" s="193"/>
    </row>
    <row r="61" spans="1:9" s="194" customFormat="1" ht="16.5" customHeight="1" x14ac:dyDescent="0.25">
      <c r="A61" s="262" t="s">
        <v>422</v>
      </c>
      <c r="B61" s="660">
        <v>400</v>
      </c>
      <c r="C61" s="828">
        <v>5895</v>
      </c>
      <c r="D61" s="207">
        <v>5895</v>
      </c>
      <c r="E61" s="439">
        <f t="shared" si="1"/>
        <v>0</v>
      </c>
      <c r="F61" s="191"/>
      <c r="G61" s="192"/>
      <c r="H61" s="192"/>
      <c r="I61" s="193"/>
    </row>
    <row r="62" spans="1:9" s="194" customFormat="1" ht="16.5" customHeight="1" x14ac:dyDescent="0.25">
      <c r="A62" s="262" t="s">
        <v>618</v>
      </c>
      <c r="B62" s="660">
        <v>8890</v>
      </c>
      <c r="C62" s="828">
        <v>9230</v>
      </c>
      <c r="D62" s="207">
        <v>9230</v>
      </c>
      <c r="E62" s="439">
        <f t="shared" si="1"/>
        <v>0</v>
      </c>
      <c r="F62" s="191"/>
      <c r="G62" s="192"/>
      <c r="H62" s="192"/>
      <c r="I62" s="193"/>
    </row>
    <row r="63" spans="1:9" s="194" customFormat="1" ht="16.5" customHeight="1" x14ac:dyDescent="0.25">
      <c r="A63" s="262" t="s">
        <v>619</v>
      </c>
      <c r="B63" s="660">
        <f>150000-5000</f>
        <v>145000</v>
      </c>
      <c r="C63" s="828">
        <v>5542</v>
      </c>
      <c r="D63" s="207">
        <v>2643</v>
      </c>
      <c r="E63" s="439">
        <f t="shared" si="1"/>
        <v>-2899</v>
      </c>
      <c r="F63" s="191"/>
      <c r="G63" s="192"/>
      <c r="H63" s="192"/>
      <c r="I63" s="193"/>
    </row>
    <row r="64" spans="1:9" s="194" customFormat="1" ht="16.5" customHeight="1" x14ac:dyDescent="0.25">
      <c r="A64" s="262" t="s">
        <v>620</v>
      </c>
      <c r="B64" s="660">
        <v>40000</v>
      </c>
      <c r="C64" s="828">
        <v>1093</v>
      </c>
      <c r="D64" s="207">
        <v>60</v>
      </c>
      <c r="E64" s="439">
        <f t="shared" si="1"/>
        <v>-1033</v>
      </c>
      <c r="F64" s="191"/>
      <c r="G64" s="192"/>
      <c r="H64" s="192"/>
      <c r="I64" s="193"/>
    </row>
    <row r="65" spans="1:9" s="194" customFormat="1" ht="27.6" x14ac:dyDescent="0.25">
      <c r="A65" s="345" t="s">
        <v>462</v>
      </c>
      <c r="B65" s="662">
        <v>2000</v>
      </c>
      <c r="C65" s="828">
        <v>2002</v>
      </c>
      <c r="D65" s="207">
        <v>2002</v>
      </c>
      <c r="E65" s="439">
        <f t="shared" si="1"/>
        <v>0</v>
      </c>
      <c r="F65" s="191"/>
      <c r="G65" s="192"/>
      <c r="H65" s="192"/>
      <c r="I65" s="193"/>
    </row>
    <row r="66" spans="1:9" s="194" customFormat="1" ht="15" x14ac:dyDescent="0.25">
      <c r="A66" s="345" t="s">
        <v>597</v>
      </c>
      <c r="B66" s="207">
        <v>3200</v>
      </c>
      <c r="C66" s="828"/>
      <c r="D66" s="207"/>
      <c r="E66" s="439">
        <f t="shared" si="1"/>
        <v>0</v>
      </c>
      <c r="F66" s="191"/>
      <c r="G66" s="192"/>
      <c r="H66" s="192"/>
      <c r="I66" s="193"/>
    </row>
    <row r="67" spans="1:9" s="194" customFormat="1" ht="15" x14ac:dyDescent="0.25">
      <c r="A67" s="723" t="s">
        <v>423</v>
      </c>
      <c r="B67" s="207"/>
      <c r="C67" s="828"/>
      <c r="D67" s="207"/>
      <c r="E67" s="439">
        <f t="shared" si="1"/>
        <v>0</v>
      </c>
      <c r="F67" s="191"/>
      <c r="G67" s="192"/>
      <c r="H67" s="192"/>
      <c r="I67" s="193"/>
    </row>
    <row r="68" spans="1:9" s="194" customFormat="1" ht="15" x14ac:dyDescent="0.25">
      <c r="A68" s="724" t="s">
        <v>438</v>
      </c>
      <c r="B68" s="207"/>
      <c r="C68" s="828">
        <v>26350</v>
      </c>
      <c r="D68" s="207">
        <v>26350</v>
      </c>
      <c r="E68" s="439">
        <f t="shared" si="1"/>
        <v>0</v>
      </c>
      <c r="F68" s="191"/>
      <c r="G68" s="192"/>
      <c r="H68" s="192"/>
      <c r="I68" s="193"/>
    </row>
    <row r="69" spans="1:9" s="194" customFormat="1" ht="15" x14ac:dyDescent="0.25">
      <c r="A69" s="724" t="s">
        <v>439</v>
      </c>
      <c r="B69" s="207"/>
      <c r="C69" s="828">
        <v>1000</v>
      </c>
      <c r="D69" s="207">
        <v>1000</v>
      </c>
      <c r="E69" s="439">
        <f t="shared" si="1"/>
        <v>0</v>
      </c>
      <c r="F69" s="191"/>
      <c r="G69" s="192"/>
      <c r="H69" s="192"/>
      <c r="I69" s="193"/>
    </row>
    <row r="70" spans="1:9" s="194" customFormat="1" ht="15" x14ac:dyDescent="0.25">
      <c r="A70" s="725" t="s">
        <v>440</v>
      </c>
      <c r="B70" s="207"/>
      <c r="C70" s="828">
        <v>1209</v>
      </c>
      <c r="D70" s="207">
        <v>1209</v>
      </c>
      <c r="E70" s="439">
        <f t="shared" si="1"/>
        <v>0</v>
      </c>
      <c r="F70" s="191"/>
      <c r="G70" s="192"/>
      <c r="H70" s="192"/>
      <c r="I70" s="193"/>
    </row>
    <row r="71" spans="1:9" s="194" customFormat="1" ht="15" x14ac:dyDescent="0.25">
      <c r="A71" s="723" t="s">
        <v>39</v>
      </c>
      <c r="B71" s="207"/>
      <c r="C71" s="828">
        <v>1235</v>
      </c>
      <c r="D71" s="207">
        <v>1235</v>
      </c>
      <c r="E71" s="439">
        <f t="shared" si="1"/>
        <v>0</v>
      </c>
      <c r="F71" s="191"/>
      <c r="G71" s="192"/>
      <c r="H71" s="192"/>
      <c r="I71" s="193"/>
    </row>
    <row r="72" spans="1:9" s="194" customFormat="1" ht="15" x14ac:dyDescent="0.25">
      <c r="A72" s="723" t="s">
        <v>40</v>
      </c>
      <c r="B72" s="207"/>
      <c r="C72" s="828">
        <v>1200</v>
      </c>
      <c r="D72" s="207">
        <v>1200</v>
      </c>
      <c r="E72" s="439">
        <f t="shared" si="1"/>
        <v>0</v>
      </c>
      <c r="F72" s="191"/>
      <c r="G72" s="192"/>
      <c r="H72" s="192"/>
      <c r="I72" s="193"/>
    </row>
    <row r="73" spans="1:9" s="194" customFormat="1" ht="15" x14ac:dyDescent="0.25">
      <c r="A73" s="723" t="s">
        <v>42</v>
      </c>
      <c r="B73" s="207"/>
      <c r="C73" s="828">
        <v>8000</v>
      </c>
      <c r="D73" s="207">
        <v>8000</v>
      </c>
      <c r="E73" s="439">
        <f t="shared" si="1"/>
        <v>0</v>
      </c>
      <c r="F73" s="191"/>
      <c r="G73" s="192"/>
      <c r="H73" s="192"/>
      <c r="I73" s="193"/>
    </row>
    <row r="74" spans="1:9" s="194" customFormat="1" ht="15" x14ac:dyDescent="0.25">
      <c r="A74" s="723" t="s">
        <v>41</v>
      </c>
      <c r="B74" s="207"/>
      <c r="C74" s="828">
        <v>27500</v>
      </c>
      <c r="D74" s="207">
        <v>27500</v>
      </c>
      <c r="E74" s="439">
        <f t="shared" si="1"/>
        <v>0</v>
      </c>
      <c r="F74" s="191"/>
      <c r="G74" s="192"/>
      <c r="H74" s="192"/>
      <c r="I74" s="193"/>
    </row>
    <row r="75" spans="1:9" s="194" customFormat="1" ht="15" x14ac:dyDescent="0.25">
      <c r="A75" s="723" t="s">
        <v>43</v>
      </c>
      <c r="B75" s="207"/>
      <c r="C75" s="828">
        <v>15192</v>
      </c>
      <c r="D75" s="207">
        <v>15192</v>
      </c>
      <c r="E75" s="439">
        <f t="shared" si="1"/>
        <v>0</v>
      </c>
      <c r="F75" s="191"/>
      <c r="G75" s="192"/>
      <c r="H75" s="192"/>
      <c r="I75" s="193"/>
    </row>
    <row r="76" spans="1:9" s="194" customFormat="1" ht="27.6" x14ac:dyDescent="0.25">
      <c r="A76" s="723" t="s">
        <v>424</v>
      </c>
      <c r="B76" s="207"/>
      <c r="C76" s="828">
        <v>0</v>
      </c>
      <c r="D76" s="207">
        <v>0</v>
      </c>
      <c r="E76" s="439">
        <f t="shared" si="1"/>
        <v>0</v>
      </c>
      <c r="F76" s="191"/>
      <c r="G76" s="192"/>
      <c r="H76" s="192"/>
      <c r="I76" s="193"/>
    </row>
    <row r="77" spans="1:9" s="194" customFormat="1" ht="27.6" x14ac:dyDescent="0.25">
      <c r="A77" s="723" t="s">
        <v>425</v>
      </c>
      <c r="B77" s="207"/>
      <c r="C77" s="828">
        <v>0</v>
      </c>
      <c r="D77" s="207">
        <v>0</v>
      </c>
      <c r="E77" s="439">
        <f t="shared" si="1"/>
        <v>0</v>
      </c>
      <c r="F77" s="191"/>
      <c r="G77" s="192"/>
      <c r="H77" s="192"/>
      <c r="I77" s="193"/>
    </row>
    <row r="78" spans="1:9" s="194" customFormat="1" ht="15" x14ac:dyDescent="0.25">
      <c r="A78" s="723" t="s">
        <v>426</v>
      </c>
      <c r="B78" s="207"/>
      <c r="C78" s="828">
        <v>210</v>
      </c>
      <c r="D78" s="207">
        <v>210</v>
      </c>
      <c r="E78" s="439">
        <f t="shared" si="1"/>
        <v>0</v>
      </c>
      <c r="F78" s="191"/>
      <c r="G78" s="192"/>
      <c r="H78" s="192"/>
      <c r="I78" s="193"/>
    </row>
    <row r="79" spans="1:9" s="194" customFormat="1" ht="15" x14ac:dyDescent="0.25">
      <c r="A79" s="723" t="s">
        <v>427</v>
      </c>
      <c r="B79" s="207"/>
      <c r="C79" s="828">
        <v>321076</v>
      </c>
      <c r="D79" s="207">
        <v>321076</v>
      </c>
      <c r="E79" s="439">
        <f t="shared" si="1"/>
        <v>0</v>
      </c>
      <c r="F79" s="191"/>
      <c r="G79" s="192"/>
      <c r="H79" s="192"/>
      <c r="I79" s="193"/>
    </row>
    <row r="80" spans="1:9" s="194" customFormat="1" ht="15" x14ac:dyDescent="0.25">
      <c r="A80" s="723" t="s">
        <v>428</v>
      </c>
      <c r="B80" s="207"/>
      <c r="C80" s="828">
        <v>20069</v>
      </c>
      <c r="D80" s="207">
        <v>20069</v>
      </c>
      <c r="E80" s="439">
        <f t="shared" si="1"/>
        <v>0</v>
      </c>
      <c r="F80" s="191"/>
      <c r="G80" s="192"/>
      <c r="H80" s="192"/>
      <c r="I80" s="193"/>
    </row>
    <row r="81" spans="1:9" s="194" customFormat="1" ht="15" x14ac:dyDescent="0.25">
      <c r="A81" s="723" t="s">
        <v>429</v>
      </c>
      <c r="B81" s="207"/>
      <c r="C81" s="828">
        <v>360</v>
      </c>
      <c r="D81" s="207">
        <v>360</v>
      </c>
      <c r="E81" s="439">
        <f t="shared" si="1"/>
        <v>0</v>
      </c>
      <c r="F81" s="191"/>
      <c r="G81" s="192"/>
      <c r="H81" s="192"/>
      <c r="I81" s="193"/>
    </row>
    <row r="82" spans="1:9" s="194" customFormat="1" ht="15" x14ac:dyDescent="0.25">
      <c r="A82" s="723" t="s">
        <v>430</v>
      </c>
      <c r="B82" s="207"/>
      <c r="C82" s="828">
        <v>50</v>
      </c>
      <c r="D82" s="207">
        <v>50</v>
      </c>
      <c r="E82" s="439">
        <f t="shared" si="1"/>
        <v>0</v>
      </c>
      <c r="F82" s="191"/>
      <c r="G82" s="192"/>
      <c r="H82" s="192"/>
      <c r="I82" s="193"/>
    </row>
    <row r="83" spans="1:9" s="194" customFormat="1" ht="27.6" x14ac:dyDescent="0.25">
      <c r="A83" s="723" t="s">
        <v>431</v>
      </c>
      <c r="B83" s="207"/>
      <c r="C83" s="828">
        <v>1905</v>
      </c>
      <c r="D83" s="207">
        <v>1905</v>
      </c>
      <c r="E83" s="439">
        <f t="shared" si="1"/>
        <v>0</v>
      </c>
      <c r="F83" s="191"/>
      <c r="G83" s="192"/>
      <c r="H83" s="192"/>
      <c r="I83" s="193"/>
    </row>
    <row r="84" spans="1:9" s="194" customFormat="1" ht="15" x14ac:dyDescent="0.25">
      <c r="A84" s="723" t="s">
        <v>432</v>
      </c>
      <c r="B84" s="207"/>
      <c r="C84" s="828">
        <v>3810</v>
      </c>
      <c r="D84" s="207">
        <v>3810</v>
      </c>
      <c r="E84" s="439">
        <f t="shared" si="1"/>
        <v>0</v>
      </c>
      <c r="F84" s="191"/>
      <c r="G84" s="192"/>
      <c r="H84" s="192"/>
      <c r="I84" s="193"/>
    </row>
    <row r="85" spans="1:9" s="194" customFormat="1" ht="15" x14ac:dyDescent="0.25">
      <c r="A85" s="723" t="s">
        <v>433</v>
      </c>
      <c r="B85" s="207"/>
      <c r="C85" s="828">
        <v>350</v>
      </c>
      <c r="D85" s="207">
        <v>350</v>
      </c>
      <c r="E85" s="439">
        <f t="shared" si="1"/>
        <v>0</v>
      </c>
      <c r="F85" s="191"/>
      <c r="G85" s="192"/>
      <c r="H85" s="192"/>
      <c r="I85" s="193"/>
    </row>
    <row r="86" spans="1:9" s="194" customFormat="1" ht="27.6" x14ac:dyDescent="0.25">
      <c r="A86" s="723" t="s">
        <v>434</v>
      </c>
      <c r="B86" s="207"/>
      <c r="C86" s="828">
        <v>0</v>
      </c>
      <c r="D86" s="207">
        <v>0</v>
      </c>
      <c r="E86" s="439">
        <f t="shared" si="1"/>
        <v>0</v>
      </c>
      <c r="F86" s="191"/>
      <c r="G86" s="192"/>
      <c r="H86" s="192"/>
      <c r="I86" s="193"/>
    </row>
    <row r="87" spans="1:9" s="194" customFormat="1" ht="27.6" x14ac:dyDescent="0.25">
      <c r="A87" s="723" t="s">
        <v>435</v>
      </c>
      <c r="B87" s="207"/>
      <c r="C87" s="828">
        <v>0</v>
      </c>
      <c r="D87" s="207">
        <v>0</v>
      </c>
      <c r="E87" s="439">
        <f t="shared" si="1"/>
        <v>0</v>
      </c>
      <c r="F87" s="191"/>
      <c r="G87" s="192"/>
      <c r="H87" s="192"/>
      <c r="I87" s="193"/>
    </row>
    <row r="88" spans="1:9" s="194" customFormat="1" ht="27.6" x14ac:dyDescent="0.25">
      <c r="A88" s="723" t="s">
        <v>436</v>
      </c>
      <c r="B88" s="207"/>
      <c r="C88" s="828">
        <v>0</v>
      </c>
      <c r="D88" s="207">
        <v>0</v>
      </c>
      <c r="E88" s="439">
        <f t="shared" si="1"/>
        <v>0</v>
      </c>
      <c r="F88" s="191"/>
      <c r="G88" s="192"/>
      <c r="H88" s="192"/>
      <c r="I88" s="193"/>
    </row>
    <row r="89" spans="1:9" s="194" customFormat="1" ht="15" x14ac:dyDescent="0.25">
      <c r="A89" s="723" t="s">
        <v>49</v>
      </c>
      <c r="B89" s="207"/>
      <c r="C89" s="828">
        <v>1143</v>
      </c>
      <c r="D89" s="207">
        <v>1143</v>
      </c>
      <c r="E89" s="439">
        <f t="shared" si="1"/>
        <v>0</v>
      </c>
      <c r="F89" s="191"/>
      <c r="G89" s="192"/>
      <c r="H89" s="192"/>
      <c r="I89" s="193"/>
    </row>
    <row r="90" spans="1:9" s="194" customFormat="1" ht="15" x14ac:dyDescent="0.25">
      <c r="A90" s="723" t="s">
        <v>447</v>
      </c>
      <c r="B90" s="207"/>
      <c r="C90" s="828">
        <v>1575</v>
      </c>
      <c r="D90" s="207">
        <v>1575</v>
      </c>
      <c r="E90" s="439">
        <f t="shared" si="1"/>
        <v>0</v>
      </c>
      <c r="F90" s="191"/>
      <c r="G90" s="192"/>
      <c r="H90" s="192"/>
      <c r="I90" s="193"/>
    </row>
    <row r="91" spans="1:9" s="194" customFormat="1" ht="15" x14ac:dyDescent="0.25">
      <c r="A91" s="723" t="s">
        <v>44</v>
      </c>
      <c r="B91" s="207"/>
      <c r="C91" s="828">
        <v>300</v>
      </c>
      <c r="D91" s="207">
        <v>300</v>
      </c>
      <c r="E91" s="439">
        <f t="shared" si="1"/>
        <v>0</v>
      </c>
      <c r="F91" s="191"/>
      <c r="G91" s="192"/>
      <c r="H91" s="192"/>
      <c r="I91" s="193"/>
    </row>
    <row r="92" spans="1:9" s="194" customFormat="1" ht="15" x14ac:dyDescent="0.25">
      <c r="A92" s="723" t="s">
        <v>767</v>
      </c>
      <c r="B92" s="207"/>
      <c r="C92" s="828">
        <v>325</v>
      </c>
      <c r="D92" s="207">
        <v>325</v>
      </c>
      <c r="E92" s="439">
        <f t="shared" si="1"/>
        <v>0</v>
      </c>
      <c r="F92" s="191"/>
      <c r="G92" s="192"/>
      <c r="H92" s="192"/>
      <c r="I92" s="193"/>
    </row>
    <row r="93" spans="1:9" s="194" customFormat="1" ht="15" x14ac:dyDescent="0.25">
      <c r="A93" s="1167" t="s">
        <v>774</v>
      </c>
      <c r="B93" s="207"/>
      <c r="C93" s="828">
        <v>65400</v>
      </c>
      <c r="D93" s="207">
        <v>65400</v>
      </c>
      <c r="E93" s="439">
        <f t="shared" si="1"/>
        <v>0</v>
      </c>
      <c r="F93" s="191"/>
      <c r="G93" s="192"/>
      <c r="H93" s="192"/>
      <c r="I93" s="193"/>
    </row>
    <row r="94" spans="1:9" s="194" customFormat="1" ht="15" x14ac:dyDescent="0.25">
      <c r="A94" s="1166" t="s">
        <v>768</v>
      </c>
      <c r="B94" s="207"/>
      <c r="C94" s="828">
        <v>25400</v>
      </c>
      <c r="D94" s="207">
        <v>25400</v>
      </c>
      <c r="E94" s="439">
        <f t="shared" si="1"/>
        <v>0</v>
      </c>
      <c r="F94" s="191"/>
      <c r="G94" s="192"/>
      <c r="H94" s="192"/>
      <c r="I94" s="193"/>
    </row>
    <row r="95" spans="1:9" s="194" customFormat="1" ht="15" x14ac:dyDescent="0.25">
      <c r="A95" s="1166" t="s">
        <v>769</v>
      </c>
      <c r="B95" s="207"/>
      <c r="C95" s="828">
        <v>29100</v>
      </c>
      <c r="D95" s="207">
        <v>29100</v>
      </c>
      <c r="E95" s="439">
        <f t="shared" si="1"/>
        <v>0</v>
      </c>
      <c r="F95" s="191"/>
      <c r="G95" s="192"/>
      <c r="H95" s="192"/>
      <c r="I95" s="193"/>
    </row>
    <row r="96" spans="1:9" s="194" customFormat="1" ht="15" x14ac:dyDescent="0.25">
      <c r="A96" s="1166" t="s">
        <v>770</v>
      </c>
      <c r="B96" s="207"/>
      <c r="C96" s="828">
        <v>1291</v>
      </c>
      <c r="D96" s="207">
        <v>1291</v>
      </c>
      <c r="E96" s="439">
        <f t="shared" si="1"/>
        <v>0</v>
      </c>
      <c r="F96" s="191"/>
      <c r="G96" s="192"/>
      <c r="H96" s="192"/>
      <c r="I96" s="193"/>
    </row>
    <row r="97" spans="1:9" s="194" customFormat="1" ht="15" x14ac:dyDescent="0.25">
      <c r="A97" s="1166" t="s">
        <v>771</v>
      </c>
      <c r="B97" s="207"/>
      <c r="C97" s="828">
        <v>810</v>
      </c>
      <c r="D97" s="207">
        <v>810</v>
      </c>
      <c r="E97" s="439">
        <f t="shared" si="1"/>
        <v>0</v>
      </c>
      <c r="F97" s="191"/>
      <c r="G97" s="192"/>
      <c r="H97" s="192"/>
      <c r="I97" s="193"/>
    </row>
    <row r="98" spans="1:9" s="194" customFormat="1" ht="15" x14ac:dyDescent="0.25">
      <c r="A98" s="1166" t="s">
        <v>772</v>
      </c>
      <c r="B98" s="207"/>
      <c r="C98" s="828">
        <v>90000</v>
      </c>
      <c r="D98" s="207">
        <v>90000</v>
      </c>
      <c r="E98" s="439">
        <f t="shared" si="1"/>
        <v>0</v>
      </c>
      <c r="F98" s="191"/>
      <c r="G98" s="192"/>
      <c r="H98" s="192"/>
      <c r="I98" s="193"/>
    </row>
    <row r="99" spans="1:9" s="194" customFormat="1" ht="15" x14ac:dyDescent="0.25">
      <c r="A99" s="1166" t="s">
        <v>773</v>
      </c>
      <c r="B99" s="207"/>
      <c r="C99" s="828">
        <v>85020</v>
      </c>
      <c r="D99" s="207">
        <v>85020</v>
      </c>
      <c r="E99" s="439">
        <f t="shared" si="1"/>
        <v>0</v>
      </c>
      <c r="F99" s="191"/>
      <c r="G99" s="192"/>
      <c r="H99" s="192"/>
      <c r="I99" s="193"/>
    </row>
    <row r="100" spans="1:9" s="194" customFormat="1" ht="28.5" customHeight="1" x14ac:dyDescent="0.25">
      <c r="A100" s="275" t="s">
        <v>128</v>
      </c>
      <c r="B100" s="207">
        <f>SUM(B101:B104)</f>
        <v>6000</v>
      </c>
      <c r="C100" s="828">
        <f>SUM(C101:C104)</f>
        <v>6720</v>
      </c>
      <c r="D100" s="207">
        <f>SUM(D101:D104)</f>
        <v>6720</v>
      </c>
      <c r="E100" s="439">
        <f t="shared" si="1"/>
        <v>0</v>
      </c>
      <c r="F100" s="191"/>
      <c r="G100" s="192"/>
      <c r="H100" s="192"/>
      <c r="I100" s="193"/>
    </row>
    <row r="101" spans="1:9" s="194" customFormat="1" ht="15" customHeight="1" x14ac:dyDescent="0.25">
      <c r="A101" s="265" t="s">
        <v>129</v>
      </c>
      <c r="B101" s="660"/>
      <c r="C101" s="828"/>
      <c r="D101" s="207"/>
      <c r="E101" s="439">
        <f t="shared" si="1"/>
        <v>0</v>
      </c>
      <c r="F101" s="191"/>
      <c r="G101" s="192"/>
      <c r="H101" s="192"/>
      <c r="I101" s="193"/>
    </row>
    <row r="102" spans="1:9" s="194" customFormat="1" ht="15.75" customHeight="1" x14ac:dyDescent="0.25">
      <c r="A102" s="265" t="s">
        <v>130</v>
      </c>
      <c r="B102" s="660"/>
      <c r="C102" s="828"/>
      <c r="D102" s="207"/>
      <c r="E102" s="439">
        <f t="shared" si="1"/>
        <v>0</v>
      </c>
      <c r="F102" s="191"/>
      <c r="G102" s="192"/>
      <c r="H102" s="192"/>
      <c r="I102" s="193"/>
    </row>
    <row r="103" spans="1:9" s="194" customFormat="1" ht="15.75" customHeight="1" x14ac:dyDescent="0.25">
      <c r="A103" s="265" t="s">
        <v>544</v>
      </c>
      <c r="B103" s="660">
        <v>6000</v>
      </c>
      <c r="C103" s="828">
        <v>6000</v>
      </c>
      <c r="D103" s="207">
        <v>6000</v>
      </c>
      <c r="E103" s="439">
        <f t="shared" si="1"/>
        <v>0</v>
      </c>
      <c r="F103" s="191"/>
      <c r="G103" s="192"/>
      <c r="H103" s="192"/>
      <c r="I103" s="193"/>
    </row>
    <row r="104" spans="1:9" s="194" customFormat="1" ht="15" x14ac:dyDescent="0.25">
      <c r="A104" s="261" t="s">
        <v>437</v>
      </c>
      <c r="B104" s="660"/>
      <c r="C104" s="828">
        <v>720</v>
      </c>
      <c r="D104" s="207">
        <v>720</v>
      </c>
      <c r="E104" s="439">
        <f t="shared" ref="E104:E109" si="2">D104-C104</f>
        <v>0</v>
      </c>
      <c r="F104" s="191"/>
      <c r="G104" s="192"/>
      <c r="H104" s="192"/>
      <c r="I104" s="193"/>
    </row>
    <row r="105" spans="1:9" s="194" customFormat="1" ht="18.75" customHeight="1" x14ac:dyDescent="0.25">
      <c r="A105" s="265" t="s">
        <v>131</v>
      </c>
      <c r="B105" s="207">
        <f>SUM(B106:B107)</f>
        <v>16000</v>
      </c>
      <c r="C105" s="828">
        <f>SUM(C106:C107)</f>
        <v>16000</v>
      </c>
      <c r="D105" s="207">
        <f>SUM(D106:D107)</f>
        <v>16000</v>
      </c>
      <c r="E105" s="439">
        <f t="shared" si="2"/>
        <v>0</v>
      </c>
      <c r="F105" s="191"/>
      <c r="G105" s="192"/>
      <c r="H105" s="192"/>
      <c r="I105" s="193"/>
    </row>
    <row r="106" spans="1:9" s="194" customFormat="1" ht="18" customHeight="1" x14ac:dyDescent="0.25">
      <c r="A106" s="265" t="s">
        <v>470</v>
      </c>
      <c r="B106" s="660"/>
      <c r="C106" s="828"/>
      <c r="D106" s="207"/>
      <c r="E106" s="439">
        <f t="shared" si="2"/>
        <v>0</v>
      </c>
      <c r="F106" s="191"/>
      <c r="G106" s="192"/>
      <c r="H106" s="192"/>
      <c r="I106" s="193"/>
    </row>
    <row r="107" spans="1:9" s="194" customFormat="1" ht="18" customHeight="1" x14ac:dyDescent="0.25">
      <c r="A107" s="265" t="s">
        <v>132</v>
      </c>
      <c r="B107" s="663">
        <v>16000</v>
      </c>
      <c r="C107" s="828">
        <v>16000</v>
      </c>
      <c r="D107" s="207">
        <v>16000</v>
      </c>
      <c r="E107" s="439">
        <f t="shared" si="2"/>
        <v>0</v>
      </c>
      <c r="F107" s="191"/>
      <c r="G107" s="192"/>
      <c r="H107" s="192"/>
      <c r="I107" s="193"/>
    </row>
    <row r="108" spans="1:9" s="194" customFormat="1" ht="20.25" customHeight="1" x14ac:dyDescent="0.3">
      <c r="A108" s="266" t="s">
        <v>133</v>
      </c>
      <c r="B108" s="664">
        <f>SUM(B39:B100,B105)</f>
        <v>572990</v>
      </c>
      <c r="C108" s="1257">
        <f>SUM(C39:C100,C105)</f>
        <v>1002455</v>
      </c>
      <c r="D108" s="1296">
        <f>SUM(D39:D100,D105)</f>
        <v>998413</v>
      </c>
      <c r="E108" s="831">
        <f t="shared" si="2"/>
        <v>-4042</v>
      </c>
      <c r="F108" s="445"/>
      <c r="G108" s="192"/>
      <c r="H108" s="192"/>
      <c r="I108" s="193"/>
    </row>
    <row r="109" spans="1:9" s="194" customFormat="1" ht="21.75" customHeight="1" thickBot="1" x14ac:dyDescent="0.35">
      <c r="A109" s="267" t="s">
        <v>134</v>
      </c>
      <c r="B109" s="665">
        <f>B108+B36</f>
        <v>1146034</v>
      </c>
      <c r="C109" s="666">
        <f>C108+C36</f>
        <v>1812767</v>
      </c>
      <c r="D109" s="666">
        <f>D108+D36</f>
        <v>1809868</v>
      </c>
      <c r="E109" s="989">
        <f t="shared" si="2"/>
        <v>-2899</v>
      </c>
      <c r="F109" s="445"/>
      <c r="G109" s="192"/>
      <c r="H109" s="192"/>
      <c r="I109" s="193"/>
    </row>
    <row r="110" spans="1:9" s="194" customFormat="1" ht="43.5" customHeight="1" thickBot="1" x14ac:dyDescent="0.3">
      <c r="A110" s="1073" t="s">
        <v>891</v>
      </c>
      <c r="B110" s="1071" t="s">
        <v>659</v>
      </c>
      <c r="C110" s="347" t="s">
        <v>52</v>
      </c>
      <c r="D110" s="347" t="s">
        <v>800</v>
      </c>
      <c r="E110" s="346" t="s">
        <v>660</v>
      </c>
      <c r="F110" s="191"/>
      <c r="G110" s="192"/>
      <c r="H110" s="192"/>
      <c r="I110" s="193"/>
    </row>
    <row r="111" spans="1:9" s="194" customFormat="1" ht="24.75" customHeight="1" x14ac:dyDescent="0.25">
      <c r="A111" s="726" t="s">
        <v>658</v>
      </c>
      <c r="B111" s="661"/>
      <c r="C111" s="727"/>
      <c r="D111" s="727"/>
      <c r="E111" s="590"/>
      <c r="F111" s="191"/>
      <c r="G111" s="192"/>
      <c r="H111" s="192"/>
      <c r="I111" s="193"/>
    </row>
    <row r="112" spans="1:9" s="194" customFormat="1" ht="29.25" customHeight="1" x14ac:dyDescent="0.25">
      <c r="A112" s="592" t="s">
        <v>140</v>
      </c>
      <c r="B112" s="663">
        <f>SUM(B113:B121)</f>
        <v>198002</v>
      </c>
      <c r="C112" s="811">
        <f>SUM(C113:C121)</f>
        <v>223562</v>
      </c>
      <c r="D112" s="811">
        <f>SUM(D113:D121)</f>
        <v>223562</v>
      </c>
      <c r="E112" s="235">
        <f>D112-C112</f>
        <v>0</v>
      </c>
      <c r="F112" s="191"/>
      <c r="G112" s="192"/>
      <c r="H112" s="192"/>
      <c r="I112" s="193"/>
    </row>
    <row r="113" spans="1:9" s="194" customFormat="1" ht="15" customHeight="1" x14ac:dyDescent="0.25">
      <c r="A113" s="265" t="s">
        <v>443</v>
      </c>
      <c r="B113" s="663">
        <v>13270</v>
      </c>
      <c r="C113" s="667">
        <v>27830</v>
      </c>
      <c r="D113" s="667">
        <v>27830</v>
      </c>
      <c r="E113" s="235">
        <f t="shared" ref="E113:E159" si="3">D113-C113</f>
        <v>0</v>
      </c>
      <c r="F113" s="191"/>
      <c r="G113" s="192"/>
      <c r="H113" s="192"/>
      <c r="I113" s="193"/>
    </row>
    <row r="114" spans="1:9" s="194" customFormat="1" ht="15" customHeight="1" x14ac:dyDescent="0.25">
      <c r="A114" s="265" t="s">
        <v>598</v>
      </c>
      <c r="B114" s="663">
        <v>100000</v>
      </c>
      <c r="C114" s="667">
        <v>100000</v>
      </c>
      <c r="D114" s="667">
        <v>100000</v>
      </c>
      <c r="E114" s="235">
        <f t="shared" si="3"/>
        <v>0</v>
      </c>
      <c r="F114" s="191"/>
      <c r="G114" s="192"/>
      <c r="H114" s="192"/>
      <c r="I114" s="193"/>
    </row>
    <row r="115" spans="1:9" s="194" customFormat="1" ht="18.75" customHeight="1" x14ac:dyDescent="0.25">
      <c r="A115" s="265" t="s">
        <v>109</v>
      </c>
      <c r="B115" s="663">
        <v>10647</v>
      </c>
      <c r="C115" s="667">
        <v>10647</v>
      </c>
      <c r="D115" s="667">
        <v>10647</v>
      </c>
      <c r="E115" s="235">
        <f t="shared" si="3"/>
        <v>0</v>
      </c>
      <c r="F115" s="191"/>
      <c r="G115" s="192"/>
      <c r="H115" s="192"/>
      <c r="I115" s="193"/>
    </row>
    <row r="116" spans="1:9" s="194" customFormat="1" ht="18.75" customHeight="1" x14ac:dyDescent="0.25">
      <c r="A116" s="265" t="s">
        <v>622</v>
      </c>
      <c r="B116" s="663">
        <v>36898</v>
      </c>
      <c r="C116" s="667">
        <v>36898</v>
      </c>
      <c r="D116" s="667">
        <v>36898</v>
      </c>
      <c r="E116" s="235">
        <f t="shared" si="3"/>
        <v>0</v>
      </c>
      <c r="F116" s="191"/>
      <c r="G116" s="192"/>
      <c r="H116" s="192"/>
      <c r="I116" s="193"/>
    </row>
    <row r="117" spans="1:9" s="194" customFormat="1" ht="18.75" customHeight="1" x14ac:dyDescent="0.25">
      <c r="A117" s="265" t="s">
        <v>623</v>
      </c>
      <c r="B117" s="663">
        <v>37187</v>
      </c>
      <c r="C117" s="667">
        <v>37187</v>
      </c>
      <c r="D117" s="667">
        <v>37187</v>
      </c>
      <c r="E117" s="235">
        <f t="shared" si="3"/>
        <v>0</v>
      </c>
      <c r="F117" s="191"/>
      <c r="G117" s="192"/>
      <c r="H117" s="192"/>
      <c r="I117" s="193"/>
    </row>
    <row r="118" spans="1:9" s="194" customFormat="1" ht="18.75" customHeight="1" x14ac:dyDescent="0.25">
      <c r="A118" s="265" t="s">
        <v>50</v>
      </c>
      <c r="B118" s="663"/>
      <c r="C118" s="667">
        <v>1000</v>
      </c>
      <c r="D118" s="667">
        <v>1000</v>
      </c>
      <c r="E118" s="235">
        <f t="shared" si="3"/>
        <v>0</v>
      </c>
      <c r="F118" s="191"/>
      <c r="G118" s="192"/>
      <c r="H118" s="192"/>
      <c r="I118" s="193"/>
    </row>
    <row r="119" spans="1:9" s="194" customFormat="1" ht="29.25" customHeight="1" x14ac:dyDescent="0.25">
      <c r="A119" s="845" t="s">
        <v>775</v>
      </c>
      <c r="B119" s="663"/>
      <c r="C119" s="667">
        <v>10000</v>
      </c>
      <c r="D119" s="667">
        <v>10000</v>
      </c>
      <c r="E119" s="235">
        <f t="shared" si="3"/>
        <v>0</v>
      </c>
      <c r="F119" s="191"/>
      <c r="G119" s="192"/>
      <c r="H119" s="192"/>
      <c r="I119" s="193"/>
    </row>
    <row r="120" spans="1:9" s="194" customFormat="1" ht="29.25" customHeight="1" x14ac:dyDescent="0.25">
      <c r="A120" s="269" t="s">
        <v>676</v>
      </c>
      <c r="B120" s="663"/>
      <c r="C120" s="667"/>
      <c r="D120" s="1258"/>
      <c r="E120" s="235">
        <f t="shared" si="3"/>
        <v>0</v>
      </c>
      <c r="F120" s="191"/>
      <c r="G120" s="192"/>
      <c r="H120" s="192"/>
      <c r="I120" s="193"/>
    </row>
    <row r="121" spans="1:9" s="194" customFormat="1" ht="29.25" customHeight="1" x14ac:dyDescent="0.25">
      <c r="A121" s="480" t="s">
        <v>677</v>
      </c>
      <c r="B121" s="663"/>
      <c r="C121" s="667"/>
      <c r="D121" s="1258"/>
      <c r="E121" s="235">
        <f t="shared" si="3"/>
        <v>0</v>
      </c>
      <c r="F121" s="191"/>
      <c r="G121" s="192"/>
      <c r="H121" s="192"/>
      <c r="I121" s="193"/>
    </row>
    <row r="122" spans="1:9" s="194" customFormat="1" ht="29.25" customHeight="1" x14ac:dyDescent="0.25">
      <c r="A122" s="481" t="s">
        <v>471</v>
      </c>
      <c r="B122" s="663"/>
      <c r="C122" s="667"/>
      <c r="D122" s="1258"/>
      <c r="E122" s="235">
        <f t="shared" si="3"/>
        <v>0</v>
      </c>
      <c r="F122" s="191"/>
      <c r="G122" s="192"/>
      <c r="H122" s="192"/>
      <c r="I122" s="193"/>
    </row>
    <row r="123" spans="1:9" s="194" customFormat="1" ht="29.25" customHeight="1" x14ac:dyDescent="0.25">
      <c r="A123" s="269" t="s">
        <v>472</v>
      </c>
      <c r="B123" s="663"/>
      <c r="C123" s="667"/>
      <c r="D123" s="1258"/>
      <c r="E123" s="235">
        <f t="shared" si="3"/>
        <v>0</v>
      </c>
      <c r="F123" s="191"/>
      <c r="G123" s="192"/>
      <c r="H123" s="192"/>
      <c r="I123" s="193"/>
    </row>
    <row r="124" spans="1:9" s="194" customFormat="1" ht="17.25" customHeight="1" x14ac:dyDescent="0.25">
      <c r="A124" s="270" t="s">
        <v>141</v>
      </c>
      <c r="B124" s="663">
        <f>SUM(B125:B127)</f>
        <v>2150</v>
      </c>
      <c r="C124" s="668">
        <f>SUM(C125:C128)</f>
        <v>3326</v>
      </c>
      <c r="D124" s="668">
        <f>SUM(D125:D128)</f>
        <v>3326</v>
      </c>
      <c r="E124" s="235">
        <f t="shared" si="3"/>
        <v>0</v>
      </c>
      <c r="F124" s="191"/>
      <c r="G124" s="192"/>
      <c r="H124" s="192"/>
      <c r="I124" s="193"/>
    </row>
    <row r="125" spans="1:9" s="194" customFormat="1" ht="18" customHeight="1" x14ac:dyDescent="0.25">
      <c r="A125" s="271" t="s">
        <v>45</v>
      </c>
      <c r="B125" s="663"/>
      <c r="C125" s="676">
        <v>246</v>
      </c>
      <c r="D125" s="676">
        <v>246</v>
      </c>
      <c r="E125" s="235">
        <f t="shared" si="3"/>
        <v>0</v>
      </c>
      <c r="F125" s="191"/>
      <c r="G125" s="192"/>
      <c r="H125" s="192"/>
      <c r="I125" s="193"/>
    </row>
    <row r="126" spans="1:9" s="194" customFormat="1" ht="21.75" customHeight="1" x14ac:dyDescent="0.25">
      <c r="A126" s="271" t="s">
        <v>126</v>
      </c>
      <c r="B126" s="663">
        <v>400</v>
      </c>
      <c r="C126" s="676">
        <v>400</v>
      </c>
      <c r="D126" s="676">
        <v>400</v>
      </c>
      <c r="E126" s="235">
        <f t="shared" si="3"/>
        <v>0</v>
      </c>
      <c r="F126" s="191"/>
      <c r="G126" s="192"/>
      <c r="H126" s="192"/>
      <c r="I126" s="193"/>
    </row>
    <row r="127" spans="1:9" s="194" customFormat="1" ht="21" customHeight="1" x14ac:dyDescent="0.25">
      <c r="A127" s="271" t="s">
        <v>127</v>
      </c>
      <c r="B127" s="663">
        <v>1750</v>
      </c>
      <c r="C127" s="676">
        <v>1510</v>
      </c>
      <c r="D127" s="676">
        <v>1510</v>
      </c>
      <c r="E127" s="235">
        <f t="shared" si="3"/>
        <v>0</v>
      </c>
      <c r="F127" s="191"/>
      <c r="G127" s="192"/>
      <c r="H127" s="192"/>
      <c r="I127" s="193"/>
    </row>
    <row r="128" spans="1:9" s="194" customFormat="1" ht="21" customHeight="1" x14ac:dyDescent="0.25">
      <c r="A128" s="273" t="s">
        <v>779</v>
      </c>
      <c r="B128" s="663"/>
      <c r="C128" s="676">
        <v>1170</v>
      </c>
      <c r="D128" s="676">
        <v>1170</v>
      </c>
      <c r="E128" s="235">
        <f t="shared" si="3"/>
        <v>0</v>
      </c>
      <c r="F128" s="191"/>
      <c r="G128" s="192"/>
      <c r="H128" s="192"/>
      <c r="I128" s="193"/>
    </row>
    <row r="129" spans="1:9" s="194" customFormat="1" ht="18" customHeight="1" x14ac:dyDescent="0.25">
      <c r="A129" s="268" t="s">
        <v>142</v>
      </c>
      <c r="B129" s="663">
        <f>SUM(B130:B161)</f>
        <v>259138</v>
      </c>
      <c r="C129" s="811">
        <f>SUM(C130:C161)</f>
        <v>380634</v>
      </c>
      <c r="D129" s="811">
        <f>SUM(D130:D161)</f>
        <v>380634</v>
      </c>
      <c r="E129" s="235">
        <f t="shared" si="3"/>
        <v>0</v>
      </c>
      <c r="F129" s="191"/>
      <c r="G129" s="192"/>
      <c r="H129" s="192"/>
      <c r="I129" s="193"/>
    </row>
    <row r="130" spans="1:9" s="189" customFormat="1" ht="24" customHeight="1" x14ac:dyDescent="0.25">
      <c r="A130" s="271" t="s">
        <v>110</v>
      </c>
      <c r="B130" s="663">
        <v>1500</v>
      </c>
      <c r="C130" s="991">
        <v>1500</v>
      </c>
      <c r="D130" s="991">
        <v>1500</v>
      </c>
      <c r="E130" s="235">
        <f t="shared" si="3"/>
        <v>0</v>
      </c>
    </row>
    <row r="131" spans="1:9" s="189" customFormat="1" ht="28.5" customHeight="1" x14ac:dyDescent="0.25">
      <c r="A131" s="560" t="s">
        <v>545</v>
      </c>
      <c r="B131" s="669">
        <v>500</v>
      </c>
      <c r="C131" s="992">
        <v>500</v>
      </c>
      <c r="D131" s="992">
        <v>500</v>
      </c>
      <c r="E131" s="235">
        <f t="shared" si="3"/>
        <v>0</v>
      </c>
    </row>
    <row r="132" spans="1:9" s="189" customFormat="1" ht="28.5" customHeight="1" x14ac:dyDescent="0.25">
      <c r="A132" s="560" t="s">
        <v>549</v>
      </c>
      <c r="B132" s="207">
        <v>340</v>
      </c>
      <c r="C132" s="992">
        <v>340</v>
      </c>
      <c r="D132" s="992">
        <v>340</v>
      </c>
      <c r="E132" s="235">
        <f t="shared" si="3"/>
        <v>0</v>
      </c>
    </row>
    <row r="133" spans="1:9" s="189" customFormat="1" ht="28.5" customHeight="1" x14ac:dyDescent="0.25">
      <c r="A133" s="560" t="s">
        <v>550</v>
      </c>
      <c r="B133" s="207">
        <v>960</v>
      </c>
      <c r="C133" s="992">
        <v>960</v>
      </c>
      <c r="D133" s="992">
        <v>960</v>
      </c>
      <c r="E133" s="235">
        <f t="shared" si="3"/>
        <v>0</v>
      </c>
    </row>
    <row r="134" spans="1:9" s="189" customFormat="1" ht="28.5" customHeight="1" x14ac:dyDescent="0.25">
      <c r="A134" s="560" t="s">
        <v>551</v>
      </c>
      <c r="B134" s="670">
        <v>900</v>
      </c>
      <c r="C134" s="992">
        <v>900</v>
      </c>
      <c r="D134" s="992">
        <v>900</v>
      </c>
      <c r="E134" s="235">
        <f t="shared" si="3"/>
        <v>0</v>
      </c>
    </row>
    <row r="135" spans="1:9" s="189" customFormat="1" ht="28.5" customHeight="1" x14ac:dyDescent="0.25">
      <c r="A135" s="1169" t="s">
        <v>778</v>
      </c>
      <c r="B135" s="1168"/>
      <c r="C135" s="992">
        <v>1000</v>
      </c>
      <c r="D135" s="992">
        <v>1000</v>
      </c>
      <c r="E135" s="235">
        <f t="shared" si="3"/>
        <v>0</v>
      </c>
    </row>
    <row r="136" spans="1:9" s="189" customFormat="1" ht="28.5" customHeight="1" x14ac:dyDescent="0.25">
      <c r="A136" s="1169" t="s">
        <v>776</v>
      </c>
      <c r="B136" s="1168"/>
      <c r="C136" s="992">
        <v>1000</v>
      </c>
      <c r="D136" s="992">
        <v>1000</v>
      </c>
      <c r="E136" s="235">
        <f t="shared" si="3"/>
        <v>0</v>
      </c>
    </row>
    <row r="137" spans="1:9" s="189" customFormat="1" ht="28.5" customHeight="1" x14ac:dyDescent="0.25">
      <c r="A137" s="1169" t="s">
        <v>777</v>
      </c>
      <c r="B137" s="1168"/>
      <c r="C137" s="992">
        <v>167</v>
      </c>
      <c r="D137" s="992">
        <v>167</v>
      </c>
      <c r="E137" s="235">
        <f t="shared" si="3"/>
        <v>0</v>
      </c>
    </row>
    <row r="138" spans="1:9" s="189" customFormat="1" ht="30.75" customHeight="1" x14ac:dyDescent="0.25">
      <c r="A138" s="271" t="s">
        <v>337</v>
      </c>
      <c r="B138" s="663"/>
      <c r="C138" s="676"/>
      <c r="D138" s="676"/>
      <c r="E138" s="235">
        <f t="shared" si="3"/>
        <v>0</v>
      </c>
      <c r="F138" s="186"/>
      <c r="G138" s="187"/>
      <c r="H138" s="187"/>
      <c r="I138" s="188"/>
    </row>
    <row r="139" spans="1:9" s="189" customFormat="1" ht="30.75" customHeight="1" x14ac:dyDescent="0.25">
      <c r="A139" s="271" t="s">
        <v>678</v>
      </c>
      <c r="B139" s="663">
        <v>1200</v>
      </c>
      <c r="C139" s="676">
        <v>1200</v>
      </c>
      <c r="D139" s="676">
        <v>1200</v>
      </c>
      <c r="E139" s="235">
        <f t="shared" si="3"/>
        <v>0</v>
      </c>
      <c r="F139" s="186"/>
      <c r="G139" s="187"/>
      <c r="H139" s="187"/>
      <c r="I139" s="188"/>
    </row>
    <row r="140" spans="1:9" s="189" customFormat="1" ht="30.75" customHeight="1" x14ac:dyDescent="0.25">
      <c r="A140" s="271" t="s">
        <v>679</v>
      </c>
      <c r="B140" s="663">
        <v>3800</v>
      </c>
      <c r="C140" s="676">
        <v>3800</v>
      </c>
      <c r="D140" s="676">
        <v>3800</v>
      </c>
      <c r="E140" s="235">
        <f t="shared" si="3"/>
        <v>0</v>
      </c>
      <c r="F140" s="186"/>
      <c r="G140" s="187"/>
      <c r="H140" s="187"/>
      <c r="I140" s="188"/>
    </row>
    <row r="141" spans="1:9" s="189" customFormat="1" ht="30.75" customHeight="1" x14ac:dyDescent="0.25">
      <c r="A141" s="271" t="s">
        <v>624</v>
      </c>
      <c r="B141" s="663">
        <v>3200</v>
      </c>
      <c r="C141" s="676">
        <v>3200</v>
      </c>
      <c r="D141" s="676">
        <v>3200</v>
      </c>
      <c r="E141" s="235">
        <f t="shared" si="3"/>
        <v>0</v>
      </c>
      <c r="F141" s="186"/>
      <c r="G141" s="187"/>
      <c r="H141" s="187"/>
      <c r="I141" s="188"/>
    </row>
    <row r="142" spans="1:9" s="189" customFormat="1" ht="30.75" customHeight="1" x14ac:dyDescent="0.25">
      <c r="A142" s="271" t="s">
        <v>628</v>
      </c>
      <c r="B142" s="663">
        <v>70823</v>
      </c>
      <c r="C142" s="676">
        <v>70823</v>
      </c>
      <c r="D142" s="676">
        <v>70823</v>
      </c>
      <c r="E142" s="235">
        <f t="shared" si="3"/>
        <v>0</v>
      </c>
      <c r="F142" s="186"/>
      <c r="G142" s="187"/>
      <c r="H142" s="187"/>
      <c r="I142" s="188"/>
    </row>
    <row r="143" spans="1:9" s="189" customFormat="1" ht="23.25" customHeight="1" x14ac:dyDescent="0.25">
      <c r="A143" s="272" t="s">
        <v>442</v>
      </c>
      <c r="B143" s="663"/>
      <c r="C143" s="676">
        <v>12000</v>
      </c>
      <c r="D143" s="676">
        <v>12000</v>
      </c>
      <c r="E143" s="235">
        <f t="shared" si="3"/>
        <v>0</v>
      </c>
      <c r="F143" s="186"/>
      <c r="G143" s="187"/>
      <c r="H143" s="187"/>
      <c r="I143" s="188"/>
    </row>
    <row r="144" spans="1:9" s="189" customFormat="1" ht="23.25" customHeight="1" x14ac:dyDescent="0.25">
      <c r="A144" s="272" t="s">
        <v>46</v>
      </c>
      <c r="B144" s="663"/>
      <c r="C144" s="676">
        <v>5000</v>
      </c>
      <c r="D144" s="676">
        <v>5000</v>
      </c>
      <c r="E144" s="235">
        <f t="shared" si="3"/>
        <v>0</v>
      </c>
      <c r="F144" s="186"/>
      <c r="G144" s="187"/>
      <c r="H144" s="187"/>
      <c r="I144" s="188"/>
    </row>
    <row r="145" spans="1:9" s="189" customFormat="1" ht="23.25" customHeight="1" x14ac:dyDescent="0.25">
      <c r="A145" s="272" t="s">
        <v>47</v>
      </c>
      <c r="B145" s="663"/>
      <c r="C145" s="676">
        <v>5000</v>
      </c>
      <c r="D145" s="676">
        <v>5000</v>
      </c>
      <c r="E145" s="235">
        <f t="shared" si="3"/>
        <v>0</v>
      </c>
      <c r="F145" s="186"/>
      <c r="G145" s="187"/>
      <c r="H145" s="187"/>
      <c r="I145" s="188"/>
    </row>
    <row r="146" spans="1:9" s="189" customFormat="1" ht="23.25" customHeight="1" x14ac:dyDescent="0.25">
      <c r="A146" s="1169" t="s">
        <v>780</v>
      </c>
      <c r="B146" s="663"/>
      <c r="C146" s="676">
        <v>5450</v>
      </c>
      <c r="D146" s="676">
        <v>5450</v>
      </c>
      <c r="E146" s="235">
        <f t="shared" si="3"/>
        <v>0</v>
      </c>
      <c r="F146" s="186"/>
      <c r="G146" s="187"/>
      <c r="H146" s="187"/>
      <c r="I146" s="188"/>
    </row>
    <row r="147" spans="1:9" s="189" customFormat="1" ht="26.25" customHeight="1" x14ac:dyDescent="0.25">
      <c r="A147" s="272" t="s">
        <v>629</v>
      </c>
      <c r="B147" s="663">
        <v>50000</v>
      </c>
      <c r="C147" s="676">
        <v>50000</v>
      </c>
      <c r="D147" s="676">
        <v>135000</v>
      </c>
      <c r="E147" s="235">
        <f t="shared" si="3"/>
        <v>85000</v>
      </c>
      <c r="F147" s="186"/>
      <c r="G147" s="187"/>
      <c r="H147" s="187"/>
      <c r="I147" s="188"/>
    </row>
    <row r="148" spans="1:9" s="189" customFormat="1" ht="19.5" customHeight="1" x14ac:dyDescent="0.25">
      <c r="A148" s="269" t="s">
        <v>630</v>
      </c>
      <c r="B148" s="663">
        <v>40000</v>
      </c>
      <c r="C148" s="676">
        <v>125000</v>
      </c>
      <c r="D148" s="676">
        <v>40000</v>
      </c>
      <c r="E148" s="235">
        <f t="shared" si="3"/>
        <v>-85000</v>
      </c>
      <c r="F148" s="186"/>
      <c r="G148" s="187"/>
      <c r="H148" s="187"/>
      <c r="I148" s="188"/>
    </row>
    <row r="149" spans="1:9" s="189" customFormat="1" ht="21" customHeight="1" x14ac:dyDescent="0.25">
      <c r="A149" s="272" t="s">
        <v>107</v>
      </c>
      <c r="B149" s="663">
        <v>1500</v>
      </c>
      <c r="C149" s="676">
        <v>1319</v>
      </c>
      <c r="D149" s="676">
        <v>1319</v>
      </c>
      <c r="E149" s="235">
        <f t="shared" si="3"/>
        <v>0</v>
      </c>
      <c r="F149" s="186"/>
      <c r="G149" s="187"/>
      <c r="H149" s="187"/>
      <c r="I149" s="188"/>
    </row>
    <row r="150" spans="1:9" s="189" customFormat="1" ht="21" customHeight="1" x14ac:dyDescent="0.25">
      <c r="A150" s="272" t="s">
        <v>625</v>
      </c>
      <c r="B150" s="663">
        <v>4000</v>
      </c>
      <c r="C150" s="676">
        <v>4000</v>
      </c>
      <c r="D150" s="676">
        <v>4000</v>
      </c>
      <c r="E150" s="235">
        <f t="shared" si="3"/>
        <v>0</v>
      </c>
      <c r="F150" s="186"/>
      <c r="G150" s="187"/>
      <c r="H150" s="187"/>
      <c r="I150" s="188"/>
    </row>
    <row r="151" spans="1:9" s="189" customFormat="1" ht="28.5" customHeight="1" x14ac:dyDescent="0.25">
      <c r="A151" s="273" t="s">
        <v>445</v>
      </c>
      <c r="B151" s="663"/>
      <c r="C151" s="676"/>
      <c r="D151" s="676"/>
      <c r="E151" s="235">
        <f t="shared" si="3"/>
        <v>0</v>
      </c>
      <c r="F151" s="186"/>
      <c r="G151" s="187"/>
      <c r="H151" s="187"/>
      <c r="I151" s="188"/>
    </row>
    <row r="152" spans="1:9" s="189" customFormat="1" ht="21" customHeight="1" x14ac:dyDescent="0.25">
      <c r="A152" s="273" t="s">
        <v>312</v>
      </c>
      <c r="B152" s="663"/>
      <c r="C152" s="676"/>
      <c r="D152" s="676"/>
      <c r="E152" s="235">
        <f t="shared" si="3"/>
        <v>0</v>
      </c>
      <c r="F152" s="186"/>
      <c r="G152" s="187"/>
      <c r="H152" s="187"/>
      <c r="I152" s="188"/>
    </row>
    <row r="153" spans="1:9" s="189" customFormat="1" ht="30.75" customHeight="1" x14ac:dyDescent="0.25">
      <c r="A153" s="424" t="s">
        <v>444</v>
      </c>
      <c r="B153" s="663">
        <v>5000</v>
      </c>
      <c r="C153" s="993">
        <v>13508</v>
      </c>
      <c r="D153" s="993">
        <v>13508</v>
      </c>
      <c r="E153" s="235">
        <f t="shared" si="3"/>
        <v>0</v>
      </c>
      <c r="F153" s="186"/>
      <c r="G153" s="187"/>
      <c r="H153" s="187"/>
      <c r="I153" s="188"/>
    </row>
    <row r="154" spans="1:9" s="189" customFormat="1" ht="21" customHeight="1" x14ac:dyDescent="0.25">
      <c r="A154" s="424" t="s">
        <v>552</v>
      </c>
      <c r="B154" s="663">
        <v>2000</v>
      </c>
      <c r="C154" s="993">
        <v>700</v>
      </c>
      <c r="D154" s="993">
        <v>700</v>
      </c>
      <c r="E154" s="235">
        <f t="shared" si="3"/>
        <v>0</v>
      </c>
      <c r="F154" s="186"/>
      <c r="G154" s="187"/>
      <c r="H154" s="187"/>
      <c r="I154" s="188"/>
    </row>
    <row r="155" spans="1:9" s="189" customFormat="1" ht="21" customHeight="1" x14ac:dyDescent="0.25">
      <c r="A155" s="424" t="s">
        <v>48</v>
      </c>
      <c r="B155" s="663"/>
      <c r="C155" s="993">
        <v>2050</v>
      </c>
      <c r="D155" s="993">
        <v>2050</v>
      </c>
      <c r="E155" s="235">
        <f t="shared" si="3"/>
        <v>0</v>
      </c>
      <c r="F155" s="186"/>
      <c r="G155" s="187"/>
      <c r="H155" s="187"/>
      <c r="I155" s="188"/>
    </row>
    <row r="156" spans="1:9" s="189" customFormat="1" ht="27.6" x14ac:dyDescent="0.25">
      <c r="A156" s="424" t="s">
        <v>591</v>
      </c>
      <c r="B156" s="663">
        <v>50000</v>
      </c>
      <c r="C156" s="993">
        <v>50000</v>
      </c>
      <c r="D156" s="993">
        <v>50000</v>
      </c>
      <c r="E156" s="235">
        <f t="shared" si="3"/>
        <v>0</v>
      </c>
      <c r="F156" s="186"/>
      <c r="G156" s="187"/>
      <c r="H156" s="187"/>
      <c r="I156" s="188"/>
    </row>
    <row r="157" spans="1:9" s="189" customFormat="1" ht="27.6" x14ac:dyDescent="0.25">
      <c r="A157" s="424" t="s">
        <v>473</v>
      </c>
      <c r="B157" s="663"/>
      <c r="C157" s="993">
        <v>0</v>
      </c>
      <c r="D157" s="993">
        <v>0</v>
      </c>
      <c r="E157" s="235">
        <f t="shared" si="3"/>
        <v>0</v>
      </c>
      <c r="F157" s="186"/>
      <c r="G157" s="187"/>
      <c r="H157" s="187"/>
      <c r="I157" s="188"/>
    </row>
    <row r="158" spans="1:9" s="189" customFormat="1" ht="21" customHeight="1" x14ac:dyDescent="0.25">
      <c r="A158" s="424" t="s">
        <v>626</v>
      </c>
      <c r="B158" s="663">
        <v>2000</v>
      </c>
      <c r="C158" s="993">
        <v>3800</v>
      </c>
      <c r="D158" s="993">
        <v>3800</v>
      </c>
      <c r="E158" s="235">
        <f t="shared" si="3"/>
        <v>0</v>
      </c>
      <c r="F158" s="186"/>
      <c r="G158" s="187"/>
      <c r="H158" s="187"/>
      <c r="I158" s="188"/>
    </row>
    <row r="159" spans="1:9" s="189" customFormat="1" ht="21" customHeight="1" thickBot="1" x14ac:dyDescent="0.35">
      <c r="A159" s="425" t="s">
        <v>627</v>
      </c>
      <c r="B159" s="671">
        <f>3000+4000</f>
        <v>7000</v>
      </c>
      <c r="C159" s="1200">
        <v>3000</v>
      </c>
      <c r="D159" s="1200">
        <v>3000</v>
      </c>
      <c r="E159" s="235">
        <f t="shared" si="3"/>
        <v>0</v>
      </c>
      <c r="F159" s="186"/>
      <c r="G159" s="187"/>
      <c r="H159" s="187"/>
      <c r="I159" s="188"/>
    </row>
    <row r="160" spans="1:9" s="194" customFormat="1" ht="47.25" customHeight="1" thickBot="1" x14ac:dyDescent="0.3">
      <c r="A160" s="1073" t="s">
        <v>891</v>
      </c>
      <c r="B160" s="1071" t="s">
        <v>659</v>
      </c>
      <c r="C160" s="347" t="s">
        <v>52</v>
      </c>
      <c r="D160" s="347" t="s">
        <v>800</v>
      </c>
      <c r="E160" s="346" t="s">
        <v>660</v>
      </c>
      <c r="F160" s="191"/>
      <c r="G160" s="192"/>
      <c r="H160" s="192"/>
      <c r="I160" s="193"/>
    </row>
    <row r="161" spans="1:10" s="189" customFormat="1" ht="19.5" customHeight="1" x14ac:dyDescent="0.25">
      <c r="A161" s="377" t="s">
        <v>143</v>
      </c>
      <c r="B161" s="379">
        <f>SUM(B162:B175)</f>
        <v>14415</v>
      </c>
      <c r="C161" s="379">
        <f>SUM(C162:C175)</f>
        <v>14417</v>
      </c>
      <c r="D161" s="379">
        <f>SUM(D162:D175)</f>
        <v>14417</v>
      </c>
      <c r="E161" s="235">
        <f>D161-C161</f>
        <v>0</v>
      </c>
      <c r="F161" s="186"/>
      <c r="G161" s="187"/>
      <c r="H161" s="187"/>
      <c r="I161" s="188"/>
    </row>
    <row r="162" spans="1:10" s="189" customFormat="1" ht="18.75" customHeight="1" x14ac:dyDescent="0.25">
      <c r="A162" s="265" t="s">
        <v>144</v>
      </c>
      <c r="B162" s="175">
        <v>1200</v>
      </c>
      <c r="C162" s="811">
        <v>1200</v>
      </c>
      <c r="D162" s="811">
        <v>1200</v>
      </c>
      <c r="E162" s="235">
        <f>D162-C162</f>
        <v>0</v>
      </c>
      <c r="F162" s="186"/>
      <c r="G162" s="187"/>
      <c r="H162" s="187"/>
      <c r="I162" s="188"/>
    </row>
    <row r="163" spans="1:10" s="189" customFormat="1" ht="17.25" customHeight="1" x14ac:dyDescent="0.25">
      <c r="A163" s="265" t="s">
        <v>145</v>
      </c>
      <c r="B163" s="175">
        <v>0</v>
      </c>
      <c r="C163" s="811">
        <v>0</v>
      </c>
      <c r="D163" s="811">
        <v>0</v>
      </c>
      <c r="E163" s="235">
        <f t="shared" ref="E163:E177" si="4">D163-C163</f>
        <v>0</v>
      </c>
      <c r="F163" s="186"/>
      <c r="G163" s="187"/>
      <c r="H163" s="187"/>
      <c r="I163" s="188"/>
    </row>
    <row r="164" spans="1:10" s="189" customFormat="1" ht="18" customHeight="1" x14ac:dyDescent="0.25">
      <c r="A164" s="265" t="s">
        <v>146</v>
      </c>
      <c r="B164" s="175">
        <v>0</v>
      </c>
      <c r="C164" s="811">
        <v>0</v>
      </c>
      <c r="D164" s="811">
        <v>0</v>
      </c>
      <c r="E164" s="235">
        <f t="shared" si="4"/>
        <v>0</v>
      </c>
      <c r="F164" s="186"/>
      <c r="G164" s="187"/>
      <c r="H164" s="187"/>
      <c r="I164" s="188"/>
      <c r="J164" s="187"/>
    </row>
    <row r="165" spans="1:10" s="189" customFormat="1" ht="18" customHeight="1" x14ac:dyDescent="0.25">
      <c r="A165" s="265" t="s">
        <v>147</v>
      </c>
      <c r="B165" s="175">
        <v>400</v>
      </c>
      <c r="C165" s="811">
        <v>400</v>
      </c>
      <c r="D165" s="811">
        <v>400</v>
      </c>
      <c r="E165" s="235">
        <f t="shared" si="4"/>
        <v>0</v>
      </c>
      <c r="F165" s="186"/>
      <c r="G165" s="187"/>
      <c r="H165" s="187"/>
      <c r="I165" s="188"/>
    </row>
    <row r="166" spans="1:10" s="189" customFormat="1" ht="18" customHeight="1" x14ac:dyDescent="0.25">
      <c r="A166" s="265" t="s">
        <v>148</v>
      </c>
      <c r="B166" s="175">
        <v>400</v>
      </c>
      <c r="C166" s="811">
        <v>400</v>
      </c>
      <c r="D166" s="811">
        <v>400</v>
      </c>
      <c r="E166" s="235">
        <f t="shared" si="4"/>
        <v>0</v>
      </c>
      <c r="F166" s="186"/>
      <c r="G166" s="187"/>
      <c r="H166" s="187"/>
      <c r="I166" s="188"/>
    </row>
    <row r="167" spans="1:10" s="189" customFormat="1" ht="18" customHeight="1" x14ac:dyDescent="0.25">
      <c r="A167" s="265" t="s">
        <v>150</v>
      </c>
      <c r="B167" s="175">
        <v>2400</v>
      </c>
      <c r="C167" s="811">
        <v>2400</v>
      </c>
      <c r="D167" s="811">
        <v>2400</v>
      </c>
      <c r="E167" s="235">
        <f t="shared" si="4"/>
        <v>0</v>
      </c>
      <c r="F167" s="186"/>
      <c r="G167" s="187"/>
      <c r="H167" s="187"/>
      <c r="I167" s="188"/>
    </row>
    <row r="168" spans="1:10" s="189" customFormat="1" ht="20.25" customHeight="1" x14ac:dyDescent="0.25">
      <c r="A168" s="265" t="s">
        <v>151</v>
      </c>
      <c r="B168" s="175">
        <v>420</v>
      </c>
      <c r="C168" s="811">
        <v>420</v>
      </c>
      <c r="D168" s="811">
        <v>420</v>
      </c>
      <c r="E168" s="235">
        <f t="shared" si="4"/>
        <v>0</v>
      </c>
      <c r="F168" s="186"/>
      <c r="G168" s="187"/>
      <c r="H168" s="187"/>
      <c r="I168" s="188"/>
    </row>
    <row r="169" spans="1:10" s="189" customFormat="1" ht="17.25" customHeight="1" x14ac:dyDescent="0.25">
      <c r="A169" s="265" t="s">
        <v>152</v>
      </c>
      <c r="B169" s="175">
        <v>999</v>
      </c>
      <c r="C169" s="811">
        <v>999</v>
      </c>
      <c r="D169" s="811">
        <v>999</v>
      </c>
      <c r="E169" s="235">
        <f t="shared" si="4"/>
        <v>0</v>
      </c>
      <c r="F169" s="186"/>
      <c r="G169" s="187"/>
      <c r="H169" s="187"/>
      <c r="I169" s="188"/>
    </row>
    <row r="170" spans="1:10" s="189" customFormat="1" ht="16.5" customHeight="1" x14ac:dyDescent="0.25">
      <c r="A170" s="265" t="s">
        <v>153</v>
      </c>
      <c r="B170" s="175">
        <v>240</v>
      </c>
      <c r="C170" s="811">
        <v>240</v>
      </c>
      <c r="D170" s="811">
        <v>240</v>
      </c>
      <c r="E170" s="235">
        <f t="shared" si="4"/>
        <v>0</v>
      </c>
      <c r="F170" s="186"/>
      <c r="G170" s="187"/>
      <c r="H170" s="187"/>
      <c r="I170" s="188"/>
    </row>
    <row r="171" spans="1:10" s="189" customFormat="1" ht="18" customHeight="1" x14ac:dyDescent="0.25">
      <c r="A171" s="265" t="s">
        <v>154</v>
      </c>
      <c r="B171" s="175">
        <f>1496+63</f>
        <v>1559</v>
      </c>
      <c r="C171" s="811">
        <v>1561</v>
      </c>
      <c r="D171" s="811">
        <v>1561</v>
      </c>
      <c r="E171" s="235">
        <f t="shared" si="4"/>
        <v>0</v>
      </c>
      <c r="F171" s="186"/>
      <c r="G171" s="187"/>
      <c r="H171" s="187"/>
      <c r="I171" s="188"/>
    </row>
    <row r="172" spans="1:10" s="189" customFormat="1" ht="18" customHeight="1" x14ac:dyDescent="0.25">
      <c r="A172" s="265" t="s">
        <v>155</v>
      </c>
      <c r="B172" s="175">
        <v>1589</v>
      </c>
      <c r="C172" s="811">
        <v>1589</v>
      </c>
      <c r="D172" s="811">
        <v>1589</v>
      </c>
      <c r="E172" s="235">
        <f t="shared" si="4"/>
        <v>0</v>
      </c>
      <c r="F172" s="186"/>
      <c r="G172" s="187"/>
      <c r="H172" s="187"/>
      <c r="I172" s="188"/>
    </row>
    <row r="173" spans="1:10" s="189" customFormat="1" ht="17.25" customHeight="1" x14ac:dyDescent="0.25">
      <c r="A173" s="265" t="s">
        <v>156</v>
      </c>
      <c r="B173" s="175">
        <v>1390</v>
      </c>
      <c r="C173" s="811">
        <v>1390</v>
      </c>
      <c r="D173" s="811">
        <v>1390</v>
      </c>
      <c r="E173" s="235">
        <f t="shared" si="4"/>
        <v>0</v>
      </c>
      <c r="F173" s="186"/>
      <c r="G173" s="187"/>
      <c r="H173" s="187"/>
      <c r="I173" s="188"/>
    </row>
    <row r="174" spans="1:10" s="189" customFormat="1" ht="17.25" customHeight="1" x14ac:dyDescent="0.25">
      <c r="A174" s="265" t="s">
        <v>157</v>
      </c>
      <c r="B174" s="175">
        <v>2319</v>
      </c>
      <c r="C174" s="811">
        <v>2319</v>
      </c>
      <c r="D174" s="811">
        <v>2319</v>
      </c>
      <c r="E174" s="235">
        <f t="shared" si="4"/>
        <v>0</v>
      </c>
      <c r="F174" s="186"/>
      <c r="G174" s="187"/>
      <c r="H174" s="187"/>
      <c r="I174" s="188"/>
    </row>
    <row r="175" spans="1:10" s="189" customFormat="1" ht="17.25" customHeight="1" x14ac:dyDescent="0.25">
      <c r="A175" s="274" t="s">
        <v>158</v>
      </c>
      <c r="B175" s="175">
        <v>1499</v>
      </c>
      <c r="C175" s="811">
        <v>1499</v>
      </c>
      <c r="D175" s="811">
        <v>1499</v>
      </c>
      <c r="E175" s="235">
        <f t="shared" si="4"/>
        <v>0</v>
      </c>
      <c r="F175" s="186"/>
      <c r="G175" s="187"/>
      <c r="H175" s="187"/>
      <c r="I175" s="188"/>
    </row>
    <row r="176" spans="1:10" s="443" customFormat="1" ht="20.25" customHeight="1" x14ac:dyDescent="0.3">
      <c r="A176" s="266" t="s">
        <v>159</v>
      </c>
      <c r="B176" s="208">
        <f>B129+B124+B112+B122</f>
        <v>459290</v>
      </c>
      <c r="C176" s="208">
        <f>C129+C124+C112+C122</f>
        <v>607522</v>
      </c>
      <c r="D176" s="208">
        <f>D129+D124+D112+D122</f>
        <v>607522</v>
      </c>
      <c r="E176" s="832">
        <f t="shared" si="4"/>
        <v>0</v>
      </c>
      <c r="F176" s="440"/>
      <c r="G176" s="441"/>
      <c r="H176" s="441"/>
      <c r="I176" s="442"/>
    </row>
    <row r="177" spans="1:9" s="443" customFormat="1" ht="18" customHeight="1" thickBot="1" x14ac:dyDescent="0.35">
      <c r="A177" s="267" t="s">
        <v>160</v>
      </c>
      <c r="B177" s="386">
        <f>SUM(B176+B109)</f>
        <v>1605324</v>
      </c>
      <c r="C177" s="386">
        <f>SUM(C176+C109)</f>
        <v>2420289</v>
      </c>
      <c r="D177" s="386">
        <f>SUM(D176+D109)</f>
        <v>2417390</v>
      </c>
      <c r="E177" s="832">
        <f t="shared" si="4"/>
        <v>-2899</v>
      </c>
      <c r="F177" s="440"/>
      <c r="G177" s="441"/>
      <c r="H177" s="441"/>
      <c r="I177" s="442"/>
    </row>
    <row r="178" spans="1:9" s="443" customFormat="1" ht="18" customHeight="1" x14ac:dyDescent="0.3">
      <c r="A178" s="385" t="s">
        <v>161</v>
      </c>
      <c r="B178" s="672"/>
      <c r="C178" s="833"/>
      <c r="D178" s="833"/>
      <c r="E178" s="444"/>
      <c r="F178" s="440"/>
      <c r="G178" s="441"/>
      <c r="H178" s="441"/>
      <c r="I178" s="442"/>
    </row>
    <row r="179" spans="1:9" s="194" customFormat="1" ht="21" customHeight="1" x14ac:dyDescent="0.25">
      <c r="A179" s="275" t="s">
        <v>162</v>
      </c>
      <c r="B179" s="175">
        <v>174242</v>
      </c>
      <c r="C179" s="207">
        <v>174243</v>
      </c>
      <c r="D179" s="207">
        <v>174243</v>
      </c>
      <c r="E179" s="439">
        <f>D179-C179</f>
        <v>0</v>
      </c>
      <c r="F179" s="191"/>
      <c r="G179" s="192"/>
      <c r="H179" s="192"/>
      <c r="I179" s="193"/>
    </row>
    <row r="180" spans="1:9" s="194" customFormat="1" ht="21" customHeight="1" x14ac:dyDescent="0.25">
      <c r="A180" s="277" t="s">
        <v>108</v>
      </c>
      <c r="B180" s="175"/>
      <c r="C180" s="207">
        <v>2131180</v>
      </c>
      <c r="D180" s="207">
        <v>2131180</v>
      </c>
      <c r="E180" s="439">
        <f>D180-C180</f>
        <v>0</v>
      </c>
      <c r="F180" s="191"/>
      <c r="G180" s="192"/>
      <c r="H180" s="192"/>
      <c r="I180" s="193"/>
    </row>
    <row r="181" spans="1:9" s="194" customFormat="1" ht="21" customHeight="1" x14ac:dyDescent="0.25">
      <c r="A181" s="277" t="s">
        <v>374</v>
      </c>
      <c r="B181" s="175">
        <v>46303</v>
      </c>
      <c r="C181" s="207">
        <v>50503</v>
      </c>
      <c r="D181" s="207">
        <v>49760</v>
      </c>
      <c r="E181" s="439">
        <f>D181-C181</f>
        <v>-743</v>
      </c>
      <c r="F181" s="191"/>
      <c r="G181" s="192"/>
      <c r="H181" s="192"/>
      <c r="I181" s="193"/>
    </row>
    <row r="182" spans="1:9" s="443" customFormat="1" ht="18" customHeight="1" thickBot="1" x14ac:dyDescent="0.35">
      <c r="A182" s="278" t="s">
        <v>163</v>
      </c>
      <c r="B182" s="386">
        <f>SUM(B179:B181)</f>
        <v>220545</v>
      </c>
      <c r="C182" s="386">
        <f>SUM(C179:C181)</f>
        <v>2355926</v>
      </c>
      <c r="D182" s="386">
        <f>SUM(D179:D181)</f>
        <v>2355183</v>
      </c>
      <c r="E182" s="831">
        <f>D182-C182</f>
        <v>-743</v>
      </c>
      <c r="F182" s="440"/>
      <c r="G182" s="441"/>
      <c r="H182" s="441"/>
      <c r="I182" s="442"/>
    </row>
    <row r="183" spans="1:9" s="189" customFormat="1" ht="18" customHeight="1" x14ac:dyDescent="0.3">
      <c r="A183" s="456" t="s">
        <v>164</v>
      </c>
      <c r="B183" s="673"/>
      <c r="C183" s="674"/>
      <c r="D183" s="674"/>
      <c r="E183" s="378"/>
      <c r="F183" s="186"/>
      <c r="G183" s="187"/>
      <c r="H183" s="187"/>
      <c r="I183" s="188"/>
    </row>
    <row r="184" spans="1:9" s="189" customFormat="1" ht="18" customHeight="1" x14ac:dyDescent="0.3">
      <c r="A184" s="579" t="s">
        <v>583</v>
      </c>
      <c r="B184" s="675">
        <v>37695</v>
      </c>
      <c r="C184" s="1298">
        <v>37695</v>
      </c>
      <c r="D184" s="830">
        <v>37695</v>
      </c>
      <c r="E184" s="276">
        <f>D184-C184</f>
        <v>0</v>
      </c>
      <c r="F184" s="186"/>
      <c r="G184" s="187"/>
      <c r="H184" s="187"/>
      <c r="I184" s="188"/>
    </row>
    <row r="185" spans="1:9" s="189" customFormat="1" ht="18" customHeight="1" x14ac:dyDescent="0.3">
      <c r="A185" s="457" t="s">
        <v>165</v>
      </c>
      <c r="B185" s="663">
        <v>49530</v>
      </c>
      <c r="C185" s="1299">
        <v>46989</v>
      </c>
      <c r="D185" s="829">
        <v>46989</v>
      </c>
      <c r="E185" s="276">
        <f>D185-C185</f>
        <v>0</v>
      </c>
      <c r="F185" s="186"/>
      <c r="G185" s="187"/>
      <c r="H185" s="187"/>
      <c r="I185" s="188"/>
    </row>
    <row r="186" spans="1:9" s="189" customFormat="1" ht="18" customHeight="1" x14ac:dyDescent="0.3">
      <c r="A186" s="457" t="s">
        <v>166</v>
      </c>
      <c r="B186" s="663">
        <v>6000</v>
      </c>
      <c r="C186" s="1300">
        <v>6332</v>
      </c>
      <c r="D186" s="830">
        <v>6332</v>
      </c>
      <c r="E186" s="276">
        <f>D186-C186</f>
        <v>0</v>
      </c>
      <c r="F186" s="186"/>
      <c r="G186" s="187"/>
      <c r="H186" s="187"/>
      <c r="I186" s="188"/>
    </row>
    <row r="187" spans="1:9" s="443" customFormat="1" ht="18" customHeight="1" x14ac:dyDescent="0.3">
      <c r="A187" s="457" t="s">
        <v>167</v>
      </c>
      <c r="B187" s="677">
        <f>SUM(B184:B186)</f>
        <v>93225</v>
      </c>
      <c r="C187" s="1301">
        <f>SUM(C184:C186)</f>
        <v>91016</v>
      </c>
      <c r="D187" s="1297">
        <f>SUM(D184:D186)</f>
        <v>91016</v>
      </c>
      <c r="E187" s="1259">
        <f>D187-C187</f>
        <v>0</v>
      </c>
      <c r="F187" s="440"/>
      <c r="G187" s="441"/>
      <c r="H187" s="441"/>
      <c r="I187" s="442"/>
    </row>
    <row r="188" spans="1:9" s="443" customFormat="1" ht="18" customHeight="1" thickBot="1" x14ac:dyDescent="0.35">
      <c r="A188" s="278" t="s">
        <v>168</v>
      </c>
      <c r="B188" s="678">
        <f>B187+B182+B177</f>
        <v>1919094</v>
      </c>
      <c r="C188" s="666">
        <f>C187+C182+C177</f>
        <v>4867231</v>
      </c>
      <c r="D188" s="666">
        <f>D187+D182+D177</f>
        <v>4863589</v>
      </c>
      <c r="E188" s="1260">
        <f>D188-C188</f>
        <v>-3642</v>
      </c>
      <c r="F188" s="440"/>
      <c r="G188" s="441"/>
      <c r="H188" s="441"/>
      <c r="I188" s="442"/>
    </row>
  </sheetData>
  <sheetProtection selectLockedCells="1" selectUnlockedCells="1"/>
  <phoneticPr fontId="28" type="noConversion"/>
  <printOptions horizontalCentered="1"/>
  <pageMargins left="0.24027777777777778" right="0.24027777777777778" top="0.70833333333333326" bottom="0.31527777777777777" header="0.19652777777777777" footer="0.51180555555555551"/>
  <pageSetup paperSize="9" scale="53" firstPageNumber="0" orientation="portrait" r:id="rId1"/>
  <headerFooter alignWithMargins="0">
    <oddHeader>&amp;C&amp;"Arial,Félkövér"FELHALMOZÁSI KIADÁSOK 2016. ÉV
7. melléklet
az önkormányzat 2016. évi költségvetéséről szóló 8/2016. (II.26.) önkormányzati rendelet
módosításáról szóló 7/2017.(II.24.) önkormányzati rendelethez&amp;R
ezer forint
&amp;P. oldal</oddHeader>
  </headerFooter>
  <rowBreaks count="3" manualBreakCount="3">
    <brk id="36" max="3" man="1"/>
    <brk id="109" max="3" man="1"/>
    <brk id="159"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1"/>
  <sheetViews>
    <sheetView view="pageLayout" topLeftCell="C1" zoomScaleNormal="100" zoomScaleSheetLayoutView="89" workbookViewId="0">
      <selection activeCell="E26" sqref="E26"/>
    </sheetView>
  </sheetViews>
  <sheetFormatPr defaultColWidth="9.109375" defaultRowHeight="13.2" x14ac:dyDescent="0.25"/>
  <cols>
    <col min="1" max="1" width="45.6640625" style="195" customWidth="1"/>
    <col min="2" max="5" width="13.6640625" style="93" customWidth="1"/>
    <col min="6" max="6" width="45.88671875" style="195" customWidth="1"/>
    <col min="7" max="10" width="13" style="93" customWidth="1"/>
    <col min="11" max="11" width="9.109375" style="93"/>
    <col min="12" max="12" width="10.5546875" style="93" customWidth="1"/>
    <col min="13" max="13" width="9.109375" style="93"/>
    <col min="14" max="14" width="12.33203125" style="93" customWidth="1"/>
    <col min="15" max="16384" width="9.109375" style="93"/>
  </cols>
  <sheetData>
    <row r="2" spans="1:14" x14ac:dyDescent="0.25">
      <c r="F2" s="196"/>
      <c r="G2" s="164"/>
      <c r="H2" s="164"/>
      <c r="I2" s="164"/>
      <c r="J2" s="164"/>
    </row>
    <row r="4" spans="1:14" ht="15.75" customHeight="1" x14ac:dyDescent="0.3">
      <c r="A4" s="1661" t="s">
        <v>524</v>
      </c>
      <c r="B4" s="1661"/>
      <c r="C4" s="1661"/>
      <c r="D4" s="1661"/>
      <c r="E4" s="1661"/>
      <c r="F4" s="1661"/>
      <c r="G4" s="1661"/>
      <c r="H4" s="1661"/>
      <c r="I4" s="1661"/>
      <c r="J4" s="1661"/>
    </row>
    <row r="5" spans="1:14" ht="13.8" thickBot="1" x14ac:dyDescent="0.3"/>
    <row r="6" spans="1:14" s="195" customFormat="1" ht="42" thickBot="1" x14ac:dyDescent="0.3">
      <c r="A6" s="995" t="s">
        <v>169</v>
      </c>
      <c r="B6" s="1084" t="s">
        <v>659</v>
      </c>
      <c r="C6" s="347" t="s">
        <v>52</v>
      </c>
      <c r="D6" s="347" t="s">
        <v>800</v>
      </c>
      <c r="E6" s="346" t="s">
        <v>660</v>
      </c>
      <c r="F6" s="995" t="s">
        <v>170</v>
      </c>
      <c r="G6" s="817" t="s">
        <v>659</v>
      </c>
      <c r="H6" s="347" t="s">
        <v>52</v>
      </c>
      <c r="I6" s="347" t="s">
        <v>800</v>
      </c>
      <c r="J6" s="346" t="s">
        <v>660</v>
      </c>
    </row>
    <row r="7" spans="1:14" ht="26.25" customHeight="1" x14ac:dyDescent="0.25">
      <c r="A7" s="1041" t="s">
        <v>171</v>
      </c>
      <c r="B7" s="1085">
        <v>1191528</v>
      </c>
      <c r="C7" s="471">
        <v>1336756</v>
      </c>
      <c r="D7" s="1291">
        <f>'2.sz.tábla   (2)'!P5</f>
        <v>1365314</v>
      </c>
      <c r="E7" s="296">
        <f>D7-C7</f>
        <v>28558</v>
      </c>
      <c r="F7" s="997" t="s">
        <v>995</v>
      </c>
      <c r="G7" s="1092">
        <v>432808</v>
      </c>
      <c r="H7" s="471">
        <v>486725</v>
      </c>
      <c r="I7" s="1291">
        <f>'4.sz.tábla '!D17</f>
        <v>485245</v>
      </c>
      <c r="J7" s="296">
        <f>I7-H7</f>
        <v>-1480</v>
      </c>
    </row>
    <row r="8" spans="1:14" ht="13.8" x14ac:dyDescent="0.25">
      <c r="A8" s="1081" t="s">
        <v>172</v>
      </c>
      <c r="B8" s="1086">
        <v>1516700</v>
      </c>
      <c r="C8" s="101">
        <v>1606700</v>
      </c>
      <c r="D8" s="1001">
        <f>'2.sz.tábla   (2)'!P28</f>
        <v>1606700</v>
      </c>
      <c r="E8" s="296">
        <f t="shared" ref="E8:E25" si="0">D8-C8</f>
        <v>0</v>
      </c>
      <c r="F8" s="571" t="s">
        <v>173</v>
      </c>
      <c r="G8" s="1003">
        <v>118326</v>
      </c>
      <c r="H8" s="834">
        <v>140027</v>
      </c>
      <c r="I8" s="1304">
        <f>'4.sz.tábla '!H17</f>
        <v>137491</v>
      </c>
      <c r="J8" s="296">
        <f t="shared" ref="J8:J25" si="1">I8-H8</f>
        <v>-2536</v>
      </c>
    </row>
    <row r="9" spans="1:14" ht="15" x14ac:dyDescent="0.25">
      <c r="A9" s="427" t="s">
        <v>174</v>
      </c>
      <c r="B9" s="1086">
        <v>600704</v>
      </c>
      <c r="C9" s="101">
        <v>825892</v>
      </c>
      <c r="D9" s="1001">
        <f>'2.sz.tábla   (2)'!P41</f>
        <v>827823</v>
      </c>
      <c r="E9" s="296">
        <f t="shared" si="0"/>
        <v>1931</v>
      </c>
      <c r="F9" s="571" t="s">
        <v>177</v>
      </c>
      <c r="G9" s="1003">
        <f>878875-3000</f>
        <v>875875</v>
      </c>
      <c r="H9" s="101">
        <v>1242049</v>
      </c>
      <c r="I9" s="1001">
        <f>'4.sz.tábla '!L17</f>
        <v>1237324</v>
      </c>
      <c r="J9" s="296">
        <f t="shared" si="1"/>
        <v>-4725</v>
      </c>
      <c r="L9" s="20"/>
      <c r="M9" s="21"/>
      <c r="N9" s="21"/>
    </row>
    <row r="10" spans="1:14" ht="27.6" x14ac:dyDescent="0.25">
      <c r="A10" s="1081" t="s">
        <v>178</v>
      </c>
      <c r="B10" s="1086">
        <f>11855+4983</f>
        <v>16838</v>
      </c>
      <c r="C10" s="101">
        <v>18475</v>
      </c>
      <c r="D10" s="1001">
        <f>'2.sz.tábla   (2)'!P62</f>
        <v>6407</v>
      </c>
      <c r="E10" s="296">
        <f t="shared" si="0"/>
        <v>-12068</v>
      </c>
      <c r="F10" s="427" t="s">
        <v>1017</v>
      </c>
      <c r="G10" s="1003">
        <v>31666</v>
      </c>
      <c r="H10" s="101">
        <v>32693</v>
      </c>
      <c r="I10" s="1001">
        <f>'4.sz.tábla '!P17</f>
        <v>32693</v>
      </c>
      <c r="J10" s="296">
        <f t="shared" si="1"/>
        <v>0</v>
      </c>
    </row>
    <row r="11" spans="1:14" ht="13.8" x14ac:dyDescent="0.25">
      <c r="A11" s="571"/>
      <c r="B11" s="1086"/>
      <c r="C11" s="101"/>
      <c r="D11" s="101"/>
      <c r="E11" s="296">
        <f t="shared" si="0"/>
        <v>0</v>
      </c>
      <c r="F11" s="571" t="s">
        <v>991</v>
      </c>
      <c r="G11" s="1003">
        <f>SUM(G12:G15)</f>
        <v>899741</v>
      </c>
      <c r="H11" s="94">
        <f>SUM(H12:H15)</f>
        <v>979002</v>
      </c>
      <c r="I11" s="94">
        <f>SUM(I12:I15)</f>
        <v>978752</v>
      </c>
      <c r="J11" s="296">
        <f t="shared" si="1"/>
        <v>-250</v>
      </c>
    </row>
    <row r="12" spans="1:14" ht="13.8" x14ac:dyDescent="0.25">
      <c r="A12" s="571"/>
      <c r="B12" s="1086"/>
      <c r="C12" s="101"/>
      <c r="D12" s="101"/>
      <c r="E12" s="296">
        <f t="shared" si="0"/>
        <v>0</v>
      </c>
      <c r="F12" s="571" t="s">
        <v>375</v>
      </c>
      <c r="G12" s="1003">
        <v>5</v>
      </c>
      <c r="H12" s="101">
        <v>35</v>
      </c>
      <c r="I12" s="1001">
        <f>'5.tábla (2)'!D101</f>
        <v>35</v>
      </c>
      <c r="J12" s="296">
        <f t="shared" si="1"/>
        <v>0</v>
      </c>
    </row>
    <row r="13" spans="1:14" ht="27.6" x14ac:dyDescent="0.25">
      <c r="A13" s="1081"/>
      <c r="B13" s="1086"/>
      <c r="C13" s="101"/>
      <c r="D13" s="101"/>
      <c r="E13" s="296">
        <f t="shared" si="0"/>
        <v>0</v>
      </c>
      <c r="F13" s="571" t="s">
        <v>376</v>
      </c>
      <c r="G13" s="1003">
        <v>479336</v>
      </c>
      <c r="H13" s="101">
        <v>474759</v>
      </c>
      <c r="I13" s="1001">
        <f>'5.tábla (2)'!D105+'5.tábla (2)'!D26+'4.sz.tábla '!Y13</f>
        <v>485577</v>
      </c>
      <c r="J13" s="296">
        <f t="shared" si="1"/>
        <v>10818</v>
      </c>
    </row>
    <row r="14" spans="1:14" ht="27.6" x14ac:dyDescent="0.25">
      <c r="A14" s="1082"/>
      <c r="B14" s="1086"/>
      <c r="C14" s="101"/>
      <c r="D14" s="101"/>
      <c r="E14" s="296">
        <f t="shared" si="0"/>
        <v>0</v>
      </c>
      <c r="F14" s="1090" t="s">
        <v>377</v>
      </c>
      <c r="G14" s="1003">
        <f>396318+7014+5000</f>
        <v>408332</v>
      </c>
      <c r="H14" s="835">
        <v>486540</v>
      </c>
      <c r="I14" s="1304">
        <f>'5.tábla (2)'!D113</f>
        <v>486540</v>
      </c>
      <c r="J14" s="296">
        <f t="shared" si="1"/>
        <v>0</v>
      </c>
    </row>
    <row r="15" spans="1:14" ht="27.6" x14ac:dyDescent="0.25">
      <c r="A15" s="1081"/>
      <c r="B15" s="1086"/>
      <c r="C15" s="101"/>
      <c r="D15" s="101"/>
      <c r="E15" s="296">
        <f t="shared" si="0"/>
        <v>0</v>
      </c>
      <c r="F15" s="571" t="s">
        <v>378</v>
      </c>
      <c r="G15" s="1003">
        <f>7085+4983</f>
        <v>12068</v>
      </c>
      <c r="H15" s="101">
        <v>17668</v>
      </c>
      <c r="I15" s="1001">
        <f>'5.tábla (2)'!D107</f>
        <v>6600</v>
      </c>
      <c r="J15" s="296">
        <f t="shared" si="1"/>
        <v>-11068</v>
      </c>
    </row>
    <row r="16" spans="1:14" ht="13.8" x14ac:dyDescent="0.25">
      <c r="A16" s="571"/>
      <c r="B16" s="1086"/>
      <c r="C16" s="101"/>
      <c r="D16" s="101"/>
      <c r="E16" s="296">
        <f t="shared" si="0"/>
        <v>0</v>
      </c>
      <c r="F16" s="427" t="s">
        <v>331</v>
      </c>
      <c r="G16" s="1003">
        <f>134769-14014</f>
        <v>120755</v>
      </c>
      <c r="H16" s="836">
        <v>29355</v>
      </c>
      <c r="I16" s="1305">
        <f>'4.sz.tábla '!AT17</f>
        <v>93159</v>
      </c>
      <c r="J16" s="296">
        <f t="shared" si="1"/>
        <v>63804</v>
      </c>
    </row>
    <row r="17" spans="1:10" s="8" customFormat="1" ht="13.8" x14ac:dyDescent="0.25">
      <c r="A17" s="573" t="s">
        <v>179</v>
      </c>
      <c r="B17" s="1087">
        <f>SUM(B7:B16)</f>
        <v>3325770</v>
      </c>
      <c r="C17" s="97">
        <f>SUM(C7:C16)</f>
        <v>3787823</v>
      </c>
      <c r="D17" s="97">
        <f>SUM(D7:D16)</f>
        <v>3806244</v>
      </c>
      <c r="E17" s="289">
        <f t="shared" si="0"/>
        <v>18421</v>
      </c>
      <c r="F17" s="996" t="s">
        <v>180</v>
      </c>
      <c r="G17" s="1009">
        <f>G7+G8+G9+G10+G11+G16</f>
        <v>2479171</v>
      </c>
      <c r="H17" s="97">
        <f>H7+H8+H9+H10+H11+H16</f>
        <v>2909851</v>
      </c>
      <c r="I17" s="839">
        <f>I7+I8+I9+I10+I11+I16</f>
        <v>2964664</v>
      </c>
      <c r="J17" s="289">
        <f t="shared" si="1"/>
        <v>54813</v>
      </c>
    </row>
    <row r="18" spans="1:10" s="8" customFormat="1" ht="13.8" x14ac:dyDescent="0.25">
      <c r="A18" s="573" t="s">
        <v>181</v>
      </c>
      <c r="B18" s="1087">
        <f>B17-G17</f>
        <v>846599</v>
      </c>
      <c r="C18" s="97">
        <f>C17-H17</f>
        <v>877972</v>
      </c>
      <c r="D18" s="97">
        <f>D17-I17</f>
        <v>841580</v>
      </c>
      <c r="E18" s="289">
        <f t="shared" si="0"/>
        <v>-36392</v>
      </c>
      <c r="F18" s="573" t="s">
        <v>182</v>
      </c>
      <c r="G18" s="1009"/>
      <c r="H18" s="100"/>
      <c r="I18" s="100"/>
      <c r="J18" s="289">
        <f t="shared" si="1"/>
        <v>0</v>
      </c>
    </row>
    <row r="19" spans="1:10" s="8" customFormat="1" ht="27.6" x14ac:dyDescent="0.25">
      <c r="A19" s="1083" t="s">
        <v>183</v>
      </c>
      <c r="B19" s="1087">
        <f>SUM(B20)</f>
        <v>83488</v>
      </c>
      <c r="C19" s="97">
        <f>SUM(C20)</f>
        <v>174913</v>
      </c>
      <c r="D19" s="97">
        <f>SUM(D20)</f>
        <v>174913</v>
      </c>
      <c r="E19" s="289">
        <f t="shared" si="0"/>
        <v>0</v>
      </c>
      <c r="F19" s="573" t="s">
        <v>184</v>
      </c>
      <c r="G19" s="1009">
        <f>SUM(G20:G21)</f>
        <v>46303</v>
      </c>
      <c r="H19" s="97">
        <f>SUM(H20:H23)</f>
        <v>2181683</v>
      </c>
      <c r="I19" s="97">
        <f>SUM(I20:I23)</f>
        <v>2180940</v>
      </c>
      <c r="J19" s="289">
        <f t="shared" si="1"/>
        <v>-743</v>
      </c>
    </row>
    <row r="20" spans="1:10" ht="13.8" x14ac:dyDescent="0.25">
      <c r="A20" s="571" t="s">
        <v>185</v>
      </c>
      <c r="B20" s="1086">
        <v>83488</v>
      </c>
      <c r="C20" s="101">
        <v>174913</v>
      </c>
      <c r="D20" s="1001">
        <f>'2.sz.tábla   (2)'!P75</f>
        <v>174913</v>
      </c>
      <c r="E20" s="296">
        <f t="shared" si="0"/>
        <v>0</v>
      </c>
      <c r="F20" s="571" t="s">
        <v>384</v>
      </c>
      <c r="G20" s="1003">
        <v>46303</v>
      </c>
      <c r="H20" s="101">
        <v>50503</v>
      </c>
      <c r="I20" s="1001">
        <f>'7. sz. tábla 1'!D181</f>
        <v>49760</v>
      </c>
      <c r="J20" s="296">
        <f t="shared" si="1"/>
        <v>-743</v>
      </c>
    </row>
    <row r="21" spans="1:10" s="8" customFormat="1" ht="27.6" x14ac:dyDescent="0.25">
      <c r="A21" s="573" t="s">
        <v>186</v>
      </c>
      <c r="B21" s="1088">
        <f>SUM(B22:B24)</f>
        <v>8600</v>
      </c>
      <c r="C21" s="387">
        <f>SUM(C22:C24)</f>
        <v>662800</v>
      </c>
      <c r="D21" s="387">
        <f>SUM(D22:D24)</f>
        <v>693348</v>
      </c>
      <c r="E21" s="289">
        <f t="shared" si="0"/>
        <v>30548</v>
      </c>
      <c r="F21" s="573" t="s">
        <v>385</v>
      </c>
      <c r="G21" s="1009"/>
      <c r="H21" s="100"/>
      <c r="I21" s="100"/>
      <c r="J21" s="289">
        <f t="shared" si="1"/>
        <v>0</v>
      </c>
    </row>
    <row r="22" spans="1:10" ht="13.8" x14ac:dyDescent="0.25">
      <c r="A22" s="998" t="s">
        <v>187</v>
      </c>
      <c r="B22" s="1086"/>
      <c r="C22" s="101">
        <v>650000</v>
      </c>
      <c r="D22" s="1001">
        <f>'2.sz.tábla   (2)'!P83</f>
        <v>650000</v>
      </c>
      <c r="E22" s="296">
        <f t="shared" si="0"/>
        <v>0</v>
      </c>
      <c r="F22" s="571" t="s">
        <v>454</v>
      </c>
      <c r="G22" s="1003"/>
      <c r="H22" s="100"/>
      <c r="I22" s="100"/>
      <c r="J22" s="296">
        <f t="shared" si="1"/>
        <v>0</v>
      </c>
    </row>
    <row r="23" spans="1:10" ht="13.8" x14ac:dyDescent="0.25">
      <c r="A23" s="571" t="s">
        <v>188</v>
      </c>
      <c r="B23" s="1086"/>
      <c r="C23" s="101"/>
      <c r="D23" s="101"/>
      <c r="E23" s="296">
        <f t="shared" si="0"/>
        <v>0</v>
      </c>
      <c r="F23" s="1090" t="s">
        <v>448</v>
      </c>
      <c r="G23" s="1003"/>
      <c r="H23" s="835">
        <v>2131180</v>
      </c>
      <c r="I23" s="1304">
        <f>'7. sz. tábla 1'!D180</f>
        <v>2131180</v>
      </c>
      <c r="J23" s="296">
        <f t="shared" si="1"/>
        <v>0</v>
      </c>
    </row>
    <row r="24" spans="1:10" ht="27.6" x14ac:dyDescent="0.25">
      <c r="A24" s="998" t="s">
        <v>453</v>
      </c>
      <c r="B24" s="1086">
        <v>8600</v>
      </c>
      <c r="C24" s="467">
        <v>12800</v>
      </c>
      <c r="D24" s="1303">
        <f>'2.sz.tábla   (2)'!P88</f>
        <v>43348</v>
      </c>
      <c r="E24" s="296">
        <f t="shared" si="0"/>
        <v>30548</v>
      </c>
      <c r="F24" s="1091"/>
      <c r="G24" s="1093"/>
      <c r="H24" s="837"/>
      <c r="I24" s="837"/>
      <c r="J24" s="296">
        <f t="shared" si="1"/>
        <v>0</v>
      </c>
    </row>
    <row r="25" spans="1:10" s="8" customFormat="1" ht="14.4" thickBot="1" x14ac:dyDescent="0.3">
      <c r="A25" s="574" t="s">
        <v>189</v>
      </c>
      <c r="B25" s="1089">
        <f>B17+B19+B21</f>
        <v>3417858</v>
      </c>
      <c r="C25" s="381">
        <f>C17+C19+C21</f>
        <v>4625536</v>
      </c>
      <c r="D25" s="381">
        <f>D17+D19+D21</f>
        <v>4674505</v>
      </c>
      <c r="E25" s="299">
        <f t="shared" si="0"/>
        <v>48969</v>
      </c>
      <c r="F25" s="574" t="s">
        <v>190</v>
      </c>
      <c r="G25" s="1094">
        <f>G19+G17</f>
        <v>2525474</v>
      </c>
      <c r="H25" s="381">
        <f>H19+H17</f>
        <v>5091534</v>
      </c>
      <c r="I25" s="381">
        <f>I19+I17</f>
        <v>5145604</v>
      </c>
      <c r="J25" s="299">
        <f t="shared" si="1"/>
        <v>54070</v>
      </c>
    </row>
    <row r="26" spans="1:10" ht="14.4" thickBot="1" x14ac:dyDescent="0.3">
      <c r="A26" s="575"/>
      <c r="B26" s="576"/>
      <c r="C26" s="576"/>
      <c r="D26" s="576"/>
      <c r="E26" s="1007"/>
      <c r="F26" s="575"/>
      <c r="G26" s="577"/>
      <c r="H26" s="576"/>
      <c r="I26" s="576"/>
      <c r="J26" s="577"/>
    </row>
    <row r="27" spans="1:10" ht="15.75" customHeight="1" x14ac:dyDescent="0.3">
      <c r="A27" s="1661" t="s">
        <v>526</v>
      </c>
      <c r="B27" s="1661"/>
      <c r="C27" s="1661"/>
      <c r="D27" s="1661"/>
      <c r="E27" s="1661"/>
      <c r="F27" s="1661"/>
      <c r="G27" s="1661"/>
      <c r="H27" s="1661"/>
      <c r="I27" s="1661"/>
      <c r="J27" s="1661"/>
    </row>
    <row r="28" spans="1:10" ht="13.8" thickBot="1" x14ac:dyDescent="0.3"/>
    <row r="29" spans="1:10" s="195" customFormat="1" ht="42" thickBot="1" x14ac:dyDescent="0.3">
      <c r="A29" s="995" t="s">
        <v>191</v>
      </c>
      <c r="B29" s="1071" t="s">
        <v>659</v>
      </c>
      <c r="C29" s="347" t="s">
        <v>52</v>
      </c>
      <c r="D29" s="347" t="s">
        <v>800</v>
      </c>
      <c r="E29" s="346" t="s">
        <v>660</v>
      </c>
      <c r="F29" s="995" t="s">
        <v>192</v>
      </c>
      <c r="G29" s="817" t="s">
        <v>659</v>
      </c>
      <c r="H29" s="347" t="s">
        <v>52</v>
      </c>
      <c r="I29" s="347" t="s">
        <v>800</v>
      </c>
      <c r="J29" s="346" t="s">
        <v>660</v>
      </c>
    </row>
    <row r="30" spans="1:10" ht="27.6" x14ac:dyDescent="0.25">
      <c r="A30" s="1076" t="s">
        <v>193</v>
      </c>
      <c r="B30" s="1077">
        <v>287821</v>
      </c>
      <c r="C30" s="471">
        <v>1546019</v>
      </c>
      <c r="D30" s="1291">
        <f>'2.sz.tábla   (2)'!P20</f>
        <v>1547416</v>
      </c>
      <c r="E30" s="296">
        <f>D30-C30</f>
        <v>1397</v>
      </c>
      <c r="F30" s="427" t="s">
        <v>194</v>
      </c>
      <c r="G30" s="1092">
        <v>1146034</v>
      </c>
      <c r="H30" s="471">
        <v>1812767</v>
      </c>
      <c r="I30" s="1291">
        <f>'7. sz. tábla 1'!D109</f>
        <v>1809868</v>
      </c>
      <c r="J30" s="296">
        <f>I30-H30</f>
        <v>-2899</v>
      </c>
    </row>
    <row r="31" spans="1:10" ht="13.8" x14ac:dyDescent="0.25">
      <c r="A31" s="571" t="s">
        <v>195</v>
      </c>
      <c r="B31" s="1078">
        <v>2000</v>
      </c>
      <c r="C31" s="101">
        <v>788369</v>
      </c>
      <c r="D31" s="1001">
        <f>'2.sz.tábla   (2)'!P56</f>
        <v>788369</v>
      </c>
      <c r="E31" s="296">
        <f t="shared" ref="E31:E45" si="2">D31-C31</f>
        <v>0</v>
      </c>
      <c r="F31" s="571" t="s">
        <v>196</v>
      </c>
      <c r="G31" s="1003">
        <v>9719</v>
      </c>
      <c r="H31" s="834">
        <v>11688</v>
      </c>
      <c r="I31" s="1304">
        <f>'4a. sz. tábla  (3)'!E77</f>
        <v>10883</v>
      </c>
      <c r="J31" s="296">
        <f t="shared" ref="J31:J45" si="3">I31-H31</f>
        <v>-805</v>
      </c>
    </row>
    <row r="32" spans="1:10" ht="13.8" x14ac:dyDescent="0.25">
      <c r="A32" s="571" t="s">
        <v>197</v>
      </c>
      <c r="B32" s="1078">
        <v>100873</v>
      </c>
      <c r="C32" s="101">
        <v>100873</v>
      </c>
      <c r="D32" s="1001">
        <f>'2.sz.tábla   (2)'!P68</f>
        <v>100873</v>
      </c>
      <c r="E32" s="296">
        <f t="shared" si="2"/>
        <v>0</v>
      </c>
      <c r="F32" s="571" t="s">
        <v>198</v>
      </c>
      <c r="G32" s="1003">
        <v>93225</v>
      </c>
      <c r="H32" s="101">
        <v>91016</v>
      </c>
      <c r="I32" s="1001">
        <f>'6.sz.tábla  (3)'!D140</f>
        <v>91016</v>
      </c>
      <c r="J32" s="296">
        <f t="shared" si="3"/>
        <v>0</v>
      </c>
    </row>
    <row r="33" spans="1:10" ht="13.8" x14ac:dyDescent="0.25">
      <c r="A33" s="571"/>
      <c r="B33" s="1078"/>
      <c r="C33" s="101"/>
      <c r="D33" s="101"/>
      <c r="E33" s="296">
        <f t="shared" si="2"/>
        <v>0</v>
      </c>
      <c r="F33" s="571" t="s">
        <v>199</v>
      </c>
      <c r="G33" s="1003">
        <f>SUM(G34:G37)</f>
        <v>459290</v>
      </c>
      <c r="H33" s="94">
        <f>SUM(H34:H37)</f>
        <v>607522</v>
      </c>
      <c r="I33" s="94">
        <f>SUM(I34:I37)</f>
        <v>607522</v>
      </c>
      <c r="J33" s="296">
        <f t="shared" si="3"/>
        <v>0</v>
      </c>
    </row>
    <row r="34" spans="1:10" ht="27.6" x14ac:dyDescent="0.25">
      <c r="A34" s="571"/>
      <c r="B34" s="1078"/>
      <c r="C34" s="834"/>
      <c r="D34" s="834"/>
      <c r="E34" s="296">
        <f t="shared" si="2"/>
        <v>0</v>
      </c>
      <c r="F34" s="571" t="s">
        <v>200</v>
      </c>
      <c r="G34" s="1003">
        <f>254138+5000</f>
        <v>259138</v>
      </c>
      <c r="H34" s="834">
        <v>380634</v>
      </c>
      <c r="I34" s="1304">
        <f>'7. sz. tábla 1'!D129</f>
        <v>380634</v>
      </c>
      <c r="J34" s="296">
        <f t="shared" si="3"/>
        <v>0</v>
      </c>
    </row>
    <row r="35" spans="1:10" ht="27" customHeight="1" x14ac:dyDescent="0.25">
      <c r="A35" s="571"/>
      <c r="B35" s="1078"/>
      <c r="C35" s="834"/>
      <c r="D35" s="834"/>
      <c r="E35" s="296">
        <f t="shared" si="2"/>
        <v>0</v>
      </c>
      <c r="F35" s="572" t="s">
        <v>201</v>
      </c>
      <c r="G35" s="1003">
        <v>2150</v>
      </c>
      <c r="H35" s="838">
        <v>3326</v>
      </c>
      <c r="I35" s="1306">
        <f>'7. sz. tábla 1'!D124</f>
        <v>3326</v>
      </c>
      <c r="J35" s="296">
        <f t="shared" si="3"/>
        <v>0</v>
      </c>
    </row>
    <row r="36" spans="1:10" ht="27.6" x14ac:dyDescent="0.25">
      <c r="A36" s="571"/>
      <c r="B36" s="1078"/>
      <c r="C36" s="101"/>
      <c r="D36" s="101"/>
      <c r="E36" s="296">
        <f t="shared" si="2"/>
        <v>0</v>
      </c>
      <c r="F36" s="571" t="s">
        <v>474</v>
      </c>
      <c r="G36" s="1003"/>
      <c r="H36" s="101"/>
      <c r="I36" s="101"/>
      <c r="J36" s="296">
        <f t="shared" si="3"/>
        <v>0</v>
      </c>
    </row>
    <row r="37" spans="1:10" ht="27.6" x14ac:dyDescent="0.25">
      <c r="A37" s="571"/>
      <c r="B37" s="1078"/>
      <c r="C37" s="101"/>
      <c r="D37" s="101"/>
      <c r="E37" s="296">
        <f t="shared" si="2"/>
        <v>0</v>
      </c>
      <c r="F37" s="571" t="s">
        <v>202</v>
      </c>
      <c r="G37" s="1003">
        <v>198002</v>
      </c>
      <c r="H37" s="101">
        <v>223562</v>
      </c>
      <c r="I37" s="1001">
        <f>'7. sz. tábla 1'!D112</f>
        <v>223562</v>
      </c>
      <c r="J37" s="296">
        <f t="shared" si="3"/>
        <v>0</v>
      </c>
    </row>
    <row r="38" spans="1:10" s="8" customFormat="1" ht="13.8" x14ac:dyDescent="0.25">
      <c r="A38" s="573" t="s">
        <v>203</v>
      </c>
      <c r="B38" s="1079">
        <f>SUM(B30:B36)</f>
        <v>390694</v>
      </c>
      <c r="C38" s="97">
        <f>SUM(C30:C36)</f>
        <v>2435261</v>
      </c>
      <c r="D38" s="97">
        <f>SUM(D30:D36)</f>
        <v>2436658</v>
      </c>
      <c r="E38" s="289">
        <f t="shared" si="2"/>
        <v>1397</v>
      </c>
      <c r="F38" s="573" t="s">
        <v>204</v>
      </c>
      <c r="G38" s="1009">
        <f>SUM(G30:G33)</f>
        <v>1708268</v>
      </c>
      <c r="H38" s="97">
        <f>H30+H31+H32+H33</f>
        <v>2522993</v>
      </c>
      <c r="I38" s="97">
        <f>I30+I31+I32+I33</f>
        <v>2519289</v>
      </c>
      <c r="J38" s="289">
        <f t="shared" si="3"/>
        <v>-3704</v>
      </c>
    </row>
    <row r="39" spans="1:10" s="8" customFormat="1" ht="13.8" x14ac:dyDescent="0.25">
      <c r="A39" s="573" t="s">
        <v>205</v>
      </c>
      <c r="B39" s="1079"/>
      <c r="C39" s="100"/>
      <c r="D39" s="100"/>
      <c r="E39" s="289">
        <f t="shared" si="2"/>
        <v>0</v>
      </c>
      <c r="F39" s="573" t="s">
        <v>208</v>
      </c>
      <c r="G39" s="1009">
        <f>B38-G38</f>
        <v>-1317574</v>
      </c>
      <c r="H39" s="97">
        <f>C38-H38</f>
        <v>-87732</v>
      </c>
      <c r="I39" s="97">
        <f>D38-I38</f>
        <v>-82631</v>
      </c>
      <c r="J39" s="289">
        <f t="shared" si="3"/>
        <v>5101</v>
      </c>
    </row>
    <row r="40" spans="1:10" s="8" customFormat="1" ht="27.6" x14ac:dyDescent="0.25">
      <c r="A40" s="573" t="s">
        <v>209</v>
      </c>
      <c r="B40" s="1079">
        <f>SUM(B41)</f>
        <v>599432</v>
      </c>
      <c r="C40" s="97">
        <f>SUM(C41)</f>
        <v>727973</v>
      </c>
      <c r="D40" s="97">
        <f>SUM(D41)</f>
        <v>727973</v>
      </c>
      <c r="E40" s="289">
        <f t="shared" si="2"/>
        <v>0</v>
      </c>
      <c r="F40" s="573" t="s">
        <v>210</v>
      </c>
      <c r="G40" s="1009">
        <f>SUM(G41:G42)</f>
        <v>174242</v>
      </c>
      <c r="H40" s="97">
        <f>SUM(H41:H42)</f>
        <v>174243</v>
      </c>
      <c r="I40" s="97">
        <f>SUM(I41:I42)</f>
        <v>174243</v>
      </c>
      <c r="J40" s="289">
        <f t="shared" si="3"/>
        <v>0</v>
      </c>
    </row>
    <row r="41" spans="1:10" ht="13.8" x14ac:dyDescent="0.25">
      <c r="A41" s="571" t="s">
        <v>211</v>
      </c>
      <c r="B41" s="1078">
        <v>599432</v>
      </c>
      <c r="C41" s="101">
        <v>727973</v>
      </c>
      <c r="D41" s="1001">
        <f>'2.sz.tábla   (2)'!P76</f>
        <v>727973</v>
      </c>
      <c r="E41" s="296">
        <f t="shared" si="2"/>
        <v>0</v>
      </c>
      <c r="F41" s="571" t="s">
        <v>212</v>
      </c>
      <c r="G41" s="1003"/>
      <c r="H41" s="94"/>
      <c r="I41" s="101"/>
      <c r="J41" s="296">
        <f t="shared" si="3"/>
        <v>0</v>
      </c>
    </row>
    <row r="42" spans="1:10" s="8" customFormat="1" ht="27.6" x14ac:dyDescent="0.25">
      <c r="A42" s="573" t="s">
        <v>213</v>
      </c>
      <c r="B42" s="1079">
        <f>SUM(B43:B44)</f>
        <v>0</v>
      </c>
      <c r="C42" s="100"/>
      <c r="D42" s="100"/>
      <c r="E42" s="289">
        <f t="shared" si="2"/>
        <v>0</v>
      </c>
      <c r="F42" s="571" t="s">
        <v>214</v>
      </c>
      <c r="G42" s="1003">
        <v>174242</v>
      </c>
      <c r="H42" s="94">
        <v>174243</v>
      </c>
      <c r="I42" s="1001">
        <f>'7. sz. tábla 1'!D179</f>
        <v>174243</v>
      </c>
      <c r="J42" s="296">
        <f t="shared" si="3"/>
        <v>0</v>
      </c>
    </row>
    <row r="43" spans="1:10" ht="13.8" x14ac:dyDescent="0.25">
      <c r="A43" s="998" t="s">
        <v>215</v>
      </c>
      <c r="B43" s="1078"/>
      <c r="C43" s="101"/>
      <c r="D43" s="101"/>
      <c r="E43" s="296">
        <f t="shared" si="2"/>
        <v>0</v>
      </c>
      <c r="F43" s="571" t="s">
        <v>379</v>
      </c>
      <c r="G43" s="1003"/>
      <c r="H43" s="101"/>
      <c r="I43" s="101"/>
      <c r="J43" s="296">
        <f t="shared" si="3"/>
        <v>0</v>
      </c>
    </row>
    <row r="44" spans="1:10" ht="13.8" x14ac:dyDescent="0.25">
      <c r="A44" s="571" t="s">
        <v>216</v>
      </c>
      <c r="B44" s="1078"/>
      <c r="C44" s="101"/>
      <c r="D44" s="101"/>
      <c r="E44" s="296">
        <f t="shared" si="2"/>
        <v>0</v>
      </c>
      <c r="F44" s="571"/>
      <c r="G44" s="1003"/>
      <c r="H44" s="101"/>
      <c r="I44" s="101"/>
      <c r="J44" s="296">
        <f t="shared" si="3"/>
        <v>0</v>
      </c>
    </row>
    <row r="45" spans="1:10" s="8" customFormat="1" ht="14.4" thickBot="1" x14ac:dyDescent="0.3">
      <c r="A45" s="574" t="s">
        <v>217</v>
      </c>
      <c r="B45" s="1080">
        <f>B38+B40+B42</f>
        <v>990126</v>
      </c>
      <c r="C45" s="381">
        <f>C38+C40+C42</f>
        <v>3163234</v>
      </c>
      <c r="D45" s="381">
        <f>D38+D40+D42</f>
        <v>3164631</v>
      </c>
      <c r="E45" s="299">
        <f t="shared" si="2"/>
        <v>1397</v>
      </c>
      <c r="F45" s="574" t="s">
        <v>218</v>
      </c>
      <c r="G45" s="1094">
        <f>G38+G40</f>
        <v>1882510</v>
      </c>
      <c r="H45" s="381">
        <f>H38+H40</f>
        <v>2697236</v>
      </c>
      <c r="I45" s="381">
        <f>I38+I40</f>
        <v>2693532</v>
      </c>
      <c r="J45" s="299">
        <f t="shared" si="3"/>
        <v>-3704</v>
      </c>
    </row>
    <row r="46" spans="1:10" x14ac:dyDescent="0.25">
      <c r="A46" s="31"/>
      <c r="B46" s="32"/>
      <c r="C46" s="32"/>
      <c r="D46" s="32"/>
      <c r="E46" s="32"/>
      <c r="F46" s="31"/>
      <c r="G46" s="32"/>
      <c r="H46" s="32"/>
      <c r="I46" s="32"/>
      <c r="J46" s="32"/>
    </row>
    <row r="47" spans="1:10" ht="15.75" customHeight="1" x14ac:dyDescent="0.3">
      <c r="A47" s="1661" t="s">
        <v>525</v>
      </c>
      <c r="B47" s="1661"/>
      <c r="C47" s="1661"/>
      <c r="D47" s="1661"/>
      <c r="E47" s="1661"/>
      <c r="F47" s="1661"/>
      <c r="G47" s="1661"/>
      <c r="H47" s="1661"/>
      <c r="I47" s="1661"/>
      <c r="J47" s="1661"/>
    </row>
    <row r="48" spans="1:10" ht="13.8" thickBot="1" x14ac:dyDescent="0.3"/>
    <row r="49" spans="1:10" s="195" customFormat="1" ht="42" thickBot="1" x14ac:dyDescent="0.3">
      <c r="A49" s="995" t="s">
        <v>219</v>
      </c>
      <c r="B49" s="817" t="s">
        <v>659</v>
      </c>
      <c r="C49" s="347" t="s">
        <v>52</v>
      </c>
      <c r="D49" s="347" t="s">
        <v>800</v>
      </c>
      <c r="E49" s="346" t="s">
        <v>660</v>
      </c>
      <c r="F49" s="995" t="s">
        <v>220</v>
      </c>
      <c r="G49" s="817" t="s">
        <v>659</v>
      </c>
      <c r="H49" s="347" t="s">
        <v>52</v>
      </c>
      <c r="I49" s="347" t="s">
        <v>800</v>
      </c>
      <c r="J49" s="346" t="s">
        <v>660</v>
      </c>
    </row>
    <row r="50" spans="1:10" ht="13.8" x14ac:dyDescent="0.25">
      <c r="A50" s="997" t="s">
        <v>221</v>
      </c>
      <c r="B50" s="999">
        <f>B17</f>
        <v>3325770</v>
      </c>
      <c r="C50" s="472">
        <f>C17</f>
        <v>3787823</v>
      </c>
      <c r="D50" s="472">
        <f>D17</f>
        <v>3806244</v>
      </c>
      <c r="E50" s="841">
        <f>D50-C50</f>
        <v>18421</v>
      </c>
      <c r="F50" s="427" t="s">
        <v>222</v>
      </c>
      <c r="G50" s="1092">
        <f>G17</f>
        <v>2479171</v>
      </c>
      <c r="H50" s="472">
        <f>H17</f>
        <v>2909851</v>
      </c>
      <c r="I50" s="472">
        <f>I17</f>
        <v>2964664</v>
      </c>
      <c r="J50" s="359">
        <f>I50-H50</f>
        <v>54813</v>
      </c>
    </row>
    <row r="51" spans="1:10" ht="13.8" x14ac:dyDescent="0.25">
      <c r="A51" s="571" t="s">
        <v>223</v>
      </c>
      <c r="B51" s="101">
        <f>B38</f>
        <v>390694</v>
      </c>
      <c r="C51" s="94">
        <f>C38</f>
        <v>2435261</v>
      </c>
      <c r="D51" s="94">
        <f>D38</f>
        <v>2436658</v>
      </c>
      <c r="E51" s="841">
        <f t="shared" ref="E51:E60" si="4">D51-C51</f>
        <v>1397</v>
      </c>
      <c r="F51" s="571" t="s">
        <v>224</v>
      </c>
      <c r="G51" s="1003">
        <f>G38</f>
        <v>1708268</v>
      </c>
      <c r="H51" s="94">
        <f>H38</f>
        <v>2522993</v>
      </c>
      <c r="I51" s="94">
        <f>I38</f>
        <v>2519289</v>
      </c>
      <c r="J51" s="359">
        <f t="shared" ref="J51:J60" si="5">I51-H51</f>
        <v>-3704</v>
      </c>
    </row>
    <row r="52" spans="1:10" s="8" customFormat="1" ht="13.8" x14ac:dyDescent="0.25">
      <c r="A52" s="573" t="s">
        <v>689</v>
      </c>
      <c r="B52" s="1000">
        <f>SUM(B50:B51)</f>
        <v>3716464</v>
      </c>
      <c r="C52" s="839">
        <f>SUM(C50:C51)</f>
        <v>6223084</v>
      </c>
      <c r="D52" s="839">
        <f>SUM(D50:D51)</f>
        <v>6242902</v>
      </c>
      <c r="E52" s="1261">
        <f t="shared" si="4"/>
        <v>19818</v>
      </c>
      <c r="F52" s="573" t="s">
        <v>705</v>
      </c>
      <c r="G52" s="1004">
        <f>SUM(G50:G51)</f>
        <v>4187439</v>
      </c>
      <c r="H52" s="839">
        <f>SUM(H50:H51)</f>
        <v>5432844</v>
      </c>
      <c r="I52" s="839">
        <f>SUM(I50:I51)</f>
        <v>5483953</v>
      </c>
      <c r="J52" s="1262">
        <f t="shared" si="5"/>
        <v>51109</v>
      </c>
    </row>
    <row r="53" spans="1:10" s="8" customFormat="1" ht="13.8" x14ac:dyDescent="0.25">
      <c r="A53" s="573" t="s">
        <v>225</v>
      </c>
      <c r="B53" s="1000"/>
      <c r="C53" s="839"/>
      <c r="D53" s="839"/>
      <c r="E53" s="1261">
        <f t="shared" si="4"/>
        <v>0</v>
      </c>
      <c r="F53" s="573" t="s">
        <v>226</v>
      </c>
      <c r="G53" s="1004">
        <f>B52-G52</f>
        <v>-470975</v>
      </c>
      <c r="H53" s="839">
        <f>C52-H52</f>
        <v>790240</v>
      </c>
      <c r="I53" s="839">
        <f>D52-I52</f>
        <v>758949</v>
      </c>
      <c r="J53" s="1262">
        <f t="shared" si="5"/>
        <v>-31291</v>
      </c>
    </row>
    <row r="54" spans="1:10" s="8" customFormat="1" ht="27.6" x14ac:dyDescent="0.25">
      <c r="A54" s="573" t="s">
        <v>227</v>
      </c>
      <c r="B54" s="1000">
        <f>SUM(B55:B56)</f>
        <v>682920</v>
      </c>
      <c r="C54" s="839">
        <f>SUM(C55:C56)</f>
        <v>902886</v>
      </c>
      <c r="D54" s="839">
        <f>SUM(D55:D56)</f>
        <v>902886</v>
      </c>
      <c r="E54" s="1261">
        <f t="shared" si="4"/>
        <v>0</v>
      </c>
      <c r="F54" s="573" t="s">
        <v>228</v>
      </c>
      <c r="G54" s="1004">
        <f>SUM(G55:G56)</f>
        <v>220545</v>
      </c>
      <c r="H54" s="839">
        <f>SUM(H55:H56)</f>
        <v>2355926</v>
      </c>
      <c r="I54" s="839">
        <f>SUM(I55:I56)</f>
        <v>2355183</v>
      </c>
      <c r="J54" s="1262">
        <f t="shared" si="5"/>
        <v>-743</v>
      </c>
    </row>
    <row r="55" spans="1:10" ht="27.6" x14ac:dyDescent="0.25">
      <c r="A55" s="571" t="s">
        <v>183</v>
      </c>
      <c r="B55" s="1001">
        <f>B19</f>
        <v>83488</v>
      </c>
      <c r="C55" s="545">
        <f>C19</f>
        <v>174913</v>
      </c>
      <c r="D55" s="545">
        <f>D19</f>
        <v>174913</v>
      </c>
      <c r="E55" s="841">
        <f t="shared" si="4"/>
        <v>0</v>
      </c>
      <c r="F55" s="571" t="s">
        <v>229</v>
      </c>
      <c r="G55" s="1005">
        <f>G19</f>
        <v>46303</v>
      </c>
      <c r="H55" s="545">
        <f>H19</f>
        <v>2181683</v>
      </c>
      <c r="I55" s="545">
        <f>I19</f>
        <v>2180940</v>
      </c>
      <c r="J55" s="359">
        <f t="shared" si="5"/>
        <v>-743</v>
      </c>
    </row>
    <row r="56" spans="1:10" ht="27.6" x14ac:dyDescent="0.25">
      <c r="A56" s="571" t="s">
        <v>209</v>
      </c>
      <c r="B56" s="1001">
        <f>B40</f>
        <v>599432</v>
      </c>
      <c r="C56" s="545">
        <f>C40</f>
        <v>727973</v>
      </c>
      <c r="D56" s="545">
        <f>D40</f>
        <v>727973</v>
      </c>
      <c r="E56" s="841">
        <f t="shared" si="4"/>
        <v>0</v>
      </c>
      <c r="F56" s="571" t="s">
        <v>230</v>
      </c>
      <c r="G56" s="1005">
        <f>G40</f>
        <v>174242</v>
      </c>
      <c r="H56" s="545">
        <f>H40</f>
        <v>174243</v>
      </c>
      <c r="I56" s="545">
        <f>I40</f>
        <v>174243</v>
      </c>
      <c r="J56" s="359">
        <f t="shared" si="5"/>
        <v>0</v>
      </c>
    </row>
    <row r="57" spans="1:10" s="8" customFormat="1" ht="13.8" x14ac:dyDescent="0.25">
      <c r="A57" s="573" t="s">
        <v>231</v>
      </c>
      <c r="B57" s="1000">
        <f>SUM(B58:B59)</f>
        <v>8600</v>
      </c>
      <c r="C57" s="839">
        <f>SUM(C58:C59)</f>
        <v>662800</v>
      </c>
      <c r="D57" s="839">
        <f>SUM(D58:D59)</f>
        <v>693348</v>
      </c>
      <c r="E57" s="1261">
        <f t="shared" si="4"/>
        <v>30548</v>
      </c>
      <c r="F57" s="573"/>
      <c r="G57" s="1008"/>
      <c r="H57" s="387"/>
      <c r="I57" s="387"/>
      <c r="J57" s="1262">
        <f t="shared" si="5"/>
        <v>0</v>
      </c>
    </row>
    <row r="58" spans="1:10" ht="27.6" x14ac:dyDescent="0.25">
      <c r="A58" s="571" t="s">
        <v>186</v>
      </c>
      <c r="B58" s="1001">
        <f>B24</f>
        <v>8600</v>
      </c>
      <c r="C58" s="545">
        <f>C21</f>
        <v>662800</v>
      </c>
      <c r="D58" s="545">
        <f>D21</f>
        <v>693348</v>
      </c>
      <c r="E58" s="841">
        <f t="shared" si="4"/>
        <v>30548</v>
      </c>
      <c r="F58" s="571"/>
      <c r="G58" s="1003"/>
      <c r="H58" s="94"/>
      <c r="I58" s="94"/>
      <c r="J58" s="359">
        <f t="shared" si="5"/>
        <v>0</v>
      </c>
    </row>
    <row r="59" spans="1:10" ht="27.6" x14ac:dyDescent="0.25">
      <c r="A59" s="998" t="s">
        <v>213</v>
      </c>
      <c r="B59" s="1001">
        <f>B42</f>
        <v>0</v>
      </c>
      <c r="C59" s="545">
        <f>C42</f>
        <v>0</v>
      </c>
      <c r="D59" s="545">
        <f>D42</f>
        <v>0</v>
      </c>
      <c r="E59" s="841">
        <f t="shared" si="4"/>
        <v>0</v>
      </c>
      <c r="F59" s="996"/>
      <c r="G59" s="1009"/>
      <c r="H59" s="97"/>
      <c r="I59" s="97"/>
      <c r="J59" s="359">
        <f t="shared" si="5"/>
        <v>0</v>
      </c>
    </row>
    <row r="60" spans="1:10" s="8" customFormat="1" ht="14.4" thickBot="1" x14ac:dyDescent="0.3">
      <c r="A60" s="574" t="s">
        <v>823</v>
      </c>
      <c r="B60" s="1002">
        <f>B52+B54+B57</f>
        <v>4407984</v>
      </c>
      <c r="C60" s="840">
        <f>C52+C54+C57</f>
        <v>7788770</v>
      </c>
      <c r="D60" s="840">
        <f>D52+D54+D57</f>
        <v>7839136</v>
      </c>
      <c r="E60" s="994">
        <f t="shared" si="4"/>
        <v>50366</v>
      </c>
      <c r="F60" s="574" t="s">
        <v>232</v>
      </c>
      <c r="G60" s="1006">
        <f>G52+G54</f>
        <v>4407984</v>
      </c>
      <c r="H60" s="840">
        <f>H52+H54</f>
        <v>7788770</v>
      </c>
      <c r="I60" s="840">
        <f>I52+I54</f>
        <v>7839136</v>
      </c>
      <c r="J60" s="299">
        <f t="shared" si="5"/>
        <v>50366</v>
      </c>
    </row>
    <row r="61" spans="1:10" x14ac:dyDescent="0.25">
      <c r="A61" s="195" t="s">
        <v>233</v>
      </c>
    </row>
  </sheetData>
  <sheetProtection selectLockedCells="1" selectUnlockedCells="1"/>
  <mergeCells count="3">
    <mergeCell ref="A4:J4"/>
    <mergeCell ref="A27:J27"/>
    <mergeCell ref="A47:J47"/>
  </mergeCells>
  <phoneticPr fontId="28" type="noConversion"/>
  <pageMargins left="0.74791666666666667" right="0.74791666666666667" top="0.98402777777777772" bottom="0.98402777777777772" header="0.51180555555555551" footer="0.51180555555555551"/>
  <pageSetup paperSize="9" scale="57" firstPageNumber="0" orientation="landscape" r:id="rId1"/>
  <headerFooter alignWithMargins="0">
    <oddHeader>&amp;C8. melléklet
az önkormányzat 2016. évi költségvetéséről szóló 8/2016. (II.26.) önkormányzati rendelet
módosításáról szóló 7/2017.(II.24.) önkormányzati rendelethez&amp;R
&amp;P. oldal
ezer forint</oddHeader>
  </headerFooter>
  <rowBreaks count="2" manualBreakCount="2">
    <brk id="25" max="9" man="1"/>
    <brk id="61"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L61"/>
  <sheetViews>
    <sheetView view="pageLayout" zoomScaleNormal="100" zoomScaleSheetLayoutView="89" workbookViewId="0">
      <selection activeCell="E21" sqref="E21"/>
    </sheetView>
  </sheetViews>
  <sheetFormatPr defaultColWidth="9.109375" defaultRowHeight="13.2" x14ac:dyDescent="0.25"/>
  <cols>
    <col min="1" max="1" width="45.6640625" style="195" customWidth="1"/>
    <col min="2" max="2" width="12.44140625" style="93" customWidth="1"/>
    <col min="3" max="4" width="13.6640625" style="93" customWidth="1"/>
    <col min="5" max="5" width="45.88671875" style="195" customWidth="1"/>
    <col min="6" max="6" width="12.5546875" style="93" customWidth="1"/>
    <col min="7" max="8" width="13" style="93" customWidth="1"/>
    <col min="9" max="9" width="9.109375" style="93"/>
    <col min="10" max="10" width="10.5546875" style="93" customWidth="1"/>
    <col min="11" max="11" width="9.109375" style="93"/>
    <col min="12" max="12" width="12.33203125" style="93" customWidth="1"/>
    <col min="13" max="16384" width="9.109375" style="93"/>
  </cols>
  <sheetData>
    <row r="2" spans="1:12" x14ac:dyDescent="0.25">
      <c r="E2" s="196"/>
      <c r="F2" s="164"/>
      <c r="G2" s="164"/>
      <c r="H2" s="164"/>
    </row>
    <row r="4" spans="1:12" ht="15.75" customHeight="1" x14ac:dyDescent="0.3">
      <c r="A4" s="1661" t="s">
        <v>524</v>
      </c>
      <c r="B4" s="1661"/>
      <c r="C4" s="1661"/>
      <c r="D4" s="1661"/>
      <c r="E4" s="1661"/>
      <c r="F4" s="1661"/>
      <c r="G4" s="1661"/>
      <c r="H4" s="1661"/>
    </row>
    <row r="5" spans="1:12" ht="13.8" thickBot="1" x14ac:dyDescent="0.3"/>
    <row r="6" spans="1:12" s="195" customFormat="1" ht="42" thickBot="1" x14ac:dyDescent="0.3">
      <c r="A6" s="358" t="s">
        <v>169</v>
      </c>
      <c r="B6" s="459" t="s">
        <v>380</v>
      </c>
      <c r="C6" s="460" t="s">
        <v>381</v>
      </c>
      <c r="D6" s="461" t="s">
        <v>382</v>
      </c>
      <c r="E6" s="360" t="s">
        <v>170</v>
      </c>
      <c r="F6" s="459" t="s">
        <v>380</v>
      </c>
      <c r="G6" s="460" t="s">
        <v>381</v>
      </c>
      <c r="H6" s="461" t="s">
        <v>382</v>
      </c>
    </row>
    <row r="7" spans="1:12" ht="26.25" customHeight="1" x14ac:dyDescent="0.25">
      <c r="A7" s="249" t="s">
        <v>171</v>
      </c>
      <c r="B7" s="1307">
        <f>'2.sz.tábla   (2)'!H5+'2.sz.tábla   (2)'!L5</f>
        <v>120833</v>
      </c>
      <c r="C7" s="1307">
        <f>'2.sz.tábla   (2)'!D5</f>
        <v>1244481</v>
      </c>
      <c r="D7" s="279">
        <f>SUM(B7:C7)</f>
        <v>1365314</v>
      </c>
      <c r="E7" s="34" t="s">
        <v>995</v>
      </c>
      <c r="F7" s="1309">
        <f>'4.sz.tábla '!D15</f>
        <v>403866</v>
      </c>
      <c r="G7" s="1307">
        <f>'4.sz.tábla '!D16</f>
        <v>81379</v>
      </c>
      <c r="H7" s="279">
        <f>SUM(F7:G7)</f>
        <v>485245</v>
      </c>
    </row>
    <row r="8" spans="1:12" ht="13.8" x14ac:dyDescent="0.25">
      <c r="A8" s="280" t="s">
        <v>172</v>
      </c>
      <c r="B8" s="1307">
        <f>'2.sz.tábla   (2)'!H28+'2.sz.tábla   (2)'!L28</f>
        <v>500</v>
      </c>
      <c r="C8" s="1307">
        <f>'2.sz.tábla   (2)'!D28</f>
        <v>1606200</v>
      </c>
      <c r="D8" s="279">
        <f t="shared" ref="D8:D13" si="0">SUM(B8:C8)</f>
        <v>1606700</v>
      </c>
      <c r="E8" s="30" t="s">
        <v>173</v>
      </c>
      <c r="F8" s="3">
        <f>'4.sz.tábla '!H15</f>
        <v>113687</v>
      </c>
      <c r="G8" s="1310">
        <f>'4.sz.tábla '!H16</f>
        <v>23804</v>
      </c>
      <c r="H8" s="279">
        <f t="shared" ref="H8:H15" si="1">SUM(F8:G8)</f>
        <v>137491</v>
      </c>
    </row>
    <row r="9" spans="1:12" ht="15" x14ac:dyDescent="0.25">
      <c r="A9" s="281" t="s">
        <v>174</v>
      </c>
      <c r="B9" s="1307">
        <f>'2.sz.tábla   (2)'!H41+'2.sz.tábla   (2)'!L41</f>
        <v>122034</v>
      </c>
      <c r="C9" s="1307">
        <f>'2.sz.tábla   (2)'!D41</f>
        <v>705789</v>
      </c>
      <c r="D9" s="279">
        <f t="shared" si="0"/>
        <v>827823</v>
      </c>
      <c r="E9" s="30" t="s">
        <v>177</v>
      </c>
      <c r="F9" s="3">
        <f>'4.sz.tábla '!L15</f>
        <v>316402</v>
      </c>
      <c r="G9" s="1307">
        <f>'4.sz.tábla '!L16</f>
        <v>920922</v>
      </c>
      <c r="H9" s="279">
        <f t="shared" si="1"/>
        <v>1237324</v>
      </c>
      <c r="I9" s="93">
        <f>SUM(G7:G9)</f>
        <v>1026105</v>
      </c>
      <c r="J9" s="20"/>
      <c r="K9" s="21"/>
      <c r="L9" s="21"/>
    </row>
    <row r="10" spans="1:12" ht="27.6" x14ac:dyDescent="0.25">
      <c r="A10" s="280" t="s">
        <v>178</v>
      </c>
      <c r="B10" s="1307">
        <f>'2.sz.tábla   (2)'!H62+'2.sz.tábla   (2)'!L62</f>
        <v>0</v>
      </c>
      <c r="C10" s="1307">
        <f>'2.sz.tábla   (2)'!D62</f>
        <v>6407</v>
      </c>
      <c r="D10" s="279">
        <f t="shared" si="0"/>
        <v>6407</v>
      </c>
      <c r="E10" s="34" t="s">
        <v>1017</v>
      </c>
      <c r="F10" s="3">
        <f>'4.sz.tábla '!P15</f>
        <v>2439</v>
      </c>
      <c r="G10" s="1307">
        <f>'4.sz.tábla '!P16</f>
        <v>30254</v>
      </c>
      <c r="H10" s="279">
        <f t="shared" si="1"/>
        <v>32693</v>
      </c>
    </row>
    <row r="11" spans="1:12" ht="13.8" x14ac:dyDescent="0.25">
      <c r="A11" s="282"/>
      <c r="B11" s="16"/>
      <c r="C11" s="16"/>
      <c r="D11" s="279">
        <f t="shared" si="0"/>
        <v>0</v>
      </c>
      <c r="E11" s="30" t="s">
        <v>991</v>
      </c>
      <c r="F11" s="17">
        <f>F12+F13+F14+F15</f>
        <v>11829</v>
      </c>
      <c r="G11" s="17">
        <f>G12+G13+G14+G15</f>
        <v>966923</v>
      </c>
      <c r="H11" s="279">
        <f t="shared" si="1"/>
        <v>978752</v>
      </c>
      <c r="I11" s="93" t="e">
        <f>SUM(#REF!)</f>
        <v>#REF!</v>
      </c>
    </row>
    <row r="12" spans="1:12" ht="13.8" x14ac:dyDescent="0.25">
      <c r="A12" s="282"/>
      <c r="B12" s="16"/>
      <c r="C12" s="16"/>
      <c r="D12" s="279">
        <f t="shared" si="0"/>
        <v>0</v>
      </c>
      <c r="E12" s="30" t="s">
        <v>375</v>
      </c>
      <c r="F12" s="17"/>
      <c r="G12" s="1307">
        <f>'5.tábla (2)'!D101</f>
        <v>35</v>
      </c>
      <c r="H12" s="279">
        <f t="shared" si="1"/>
        <v>35</v>
      </c>
    </row>
    <row r="13" spans="1:12" ht="27.6" x14ac:dyDescent="0.25">
      <c r="A13" s="280"/>
      <c r="B13" s="16"/>
      <c r="C13" s="16"/>
      <c r="D13" s="279">
        <f t="shared" si="0"/>
        <v>0</v>
      </c>
      <c r="E13" s="30" t="s">
        <v>376</v>
      </c>
      <c r="F13" s="3">
        <f>'4.sz.tábla '!Y15</f>
        <v>11829</v>
      </c>
      <c r="G13" s="1307">
        <f>'5.tábla (2)'!D105</f>
        <v>473748</v>
      </c>
      <c r="H13" s="279">
        <f t="shared" si="1"/>
        <v>485577</v>
      </c>
      <c r="I13" s="93">
        <f>SUM(G13:G15)</f>
        <v>966888</v>
      </c>
    </row>
    <row r="14" spans="1:12" ht="27.6" x14ac:dyDescent="0.25">
      <c r="A14" s="284"/>
      <c r="B14" s="16"/>
      <c r="C14" s="16"/>
      <c r="D14" s="279"/>
      <c r="E14" s="285" t="s">
        <v>377</v>
      </c>
      <c r="F14" s="4"/>
      <c r="G14" s="1310">
        <f>'5.tábla (2)'!D113</f>
        <v>486540</v>
      </c>
      <c r="H14" s="279">
        <f t="shared" si="1"/>
        <v>486540</v>
      </c>
    </row>
    <row r="15" spans="1:12" ht="27.6" x14ac:dyDescent="0.25">
      <c r="A15" s="280"/>
      <c r="B15" s="16"/>
      <c r="C15" s="16"/>
      <c r="D15" s="279"/>
      <c r="E15" s="30" t="s">
        <v>378</v>
      </c>
      <c r="F15" s="4"/>
      <c r="G15" s="1307">
        <f>'5.tábla (2)'!D107</f>
        <v>6600</v>
      </c>
      <c r="H15" s="279">
        <f t="shared" si="1"/>
        <v>6600</v>
      </c>
    </row>
    <row r="16" spans="1:12" ht="13.8" x14ac:dyDescent="0.25">
      <c r="A16" s="282"/>
      <c r="B16" s="16"/>
      <c r="C16" s="16"/>
      <c r="D16" s="279"/>
      <c r="E16" s="286" t="s">
        <v>331</v>
      </c>
      <c r="F16" s="4"/>
      <c r="G16" s="1308">
        <f>'4.sz.tábla '!AT16</f>
        <v>93159</v>
      </c>
      <c r="H16" s="279">
        <f>SUM(F16:G16)</f>
        <v>93159</v>
      </c>
    </row>
    <row r="17" spans="1:9" ht="13.8" x14ac:dyDescent="0.25">
      <c r="A17" s="287" t="s">
        <v>179</v>
      </c>
      <c r="B17" s="23">
        <f>SUM(B7:B16)</f>
        <v>243367</v>
      </c>
      <c r="C17" s="23">
        <f>SUM(C7:C16)</f>
        <v>3562877</v>
      </c>
      <c r="D17" s="288">
        <f>SUM(D7:D16)</f>
        <v>3806244</v>
      </c>
      <c r="E17" s="38" t="s">
        <v>180</v>
      </c>
      <c r="F17" s="289">
        <f>F7+F8+F9+F10+F11+F16</f>
        <v>848223</v>
      </c>
      <c r="G17" s="289">
        <f>G7+G8+G9+G10+G11+G16</f>
        <v>2116441</v>
      </c>
      <c r="H17" s="289">
        <f>H7+H8+H9+H10+H11+H16</f>
        <v>2964664</v>
      </c>
      <c r="I17" s="93">
        <f>SUM(F17:G17)</f>
        <v>2964664</v>
      </c>
    </row>
    <row r="18" spans="1:9" ht="13.8" x14ac:dyDescent="0.25">
      <c r="A18" s="287" t="s">
        <v>181</v>
      </c>
      <c r="B18" s="23">
        <f>B17-F17</f>
        <v>-604856</v>
      </c>
      <c r="C18" s="23">
        <f>C17-G17</f>
        <v>1446436</v>
      </c>
      <c r="D18" s="288">
        <f>D17-H17</f>
        <v>841580</v>
      </c>
      <c r="E18" s="29" t="s">
        <v>182</v>
      </c>
      <c r="F18" s="4"/>
      <c r="G18" s="25"/>
      <c r="H18" s="290"/>
    </row>
    <row r="19" spans="1:9" ht="27.6" x14ac:dyDescent="0.25">
      <c r="A19" s="291" t="s">
        <v>183</v>
      </c>
      <c r="B19" s="25">
        <f>SUM(B20)</f>
        <v>49550</v>
      </c>
      <c r="C19" s="25">
        <f>SUM(C20)</f>
        <v>125363</v>
      </c>
      <c r="D19" s="290">
        <f>SUM(B19:C19)</f>
        <v>174913</v>
      </c>
      <c r="E19" s="29" t="s">
        <v>184</v>
      </c>
      <c r="F19" s="26">
        <f>SUM(F20:F20)</f>
        <v>0</v>
      </c>
      <c r="G19" s="23">
        <f>SUM(G20:G24)</f>
        <v>2180940</v>
      </c>
      <c r="H19" s="288">
        <f>G19-F19</f>
        <v>2180940</v>
      </c>
    </row>
    <row r="20" spans="1:9" ht="13.8" x14ac:dyDescent="0.25">
      <c r="A20" s="282" t="s">
        <v>185</v>
      </c>
      <c r="B20" s="1307">
        <f>'2.sz.tábla   (2)'!H75+'2.sz.tábla   (2)'!L75</f>
        <v>49550</v>
      </c>
      <c r="C20" s="1307">
        <f>'2.sz.tábla   (2)'!D75</f>
        <v>125363</v>
      </c>
      <c r="D20" s="279">
        <f>SUM(B20:C20)</f>
        <v>174913</v>
      </c>
      <c r="E20" s="282" t="s">
        <v>384</v>
      </c>
      <c r="F20" s="4"/>
      <c r="G20" s="1307">
        <f>'7. sz. tábla 1'!D181</f>
        <v>49760</v>
      </c>
      <c r="H20" s="279">
        <f>SUM(F20:G20)</f>
        <v>49760</v>
      </c>
    </row>
    <row r="21" spans="1:9" ht="27.6" x14ac:dyDescent="0.25">
      <c r="A21" s="287" t="s">
        <v>186</v>
      </c>
      <c r="B21" s="16"/>
      <c r="C21" s="27">
        <f>SUM(C22:C24)</f>
        <v>693348</v>
      </c>
      <c r="D21" s="292">
        <f>SUM(B21:C21)</f>
        <v>693348</v>
      </c>
      <c r="E21" s="30" t="s">
        <v>385</v>
      </c>
      <c r="F21" s="4"/>
      <c r="G21" s="16"/>
      <c r="H21" s="279">
        <f>SUM(F21:G21)</f>
        <v>0</v>
      </c>
    </row>
    <row r="22" spans="1:9" ht="13.8" x14ac:dyDescent="0.25">
      <c r="A22" s="293" t="s">
        <v>187</v>
      </c>
      <c r="B22" s="16"/>
      <c r="C22" s="1307">
        <f>'2.sz.tábla   (2)'!D83</f>
        <v>650000</v>
      </c>
      <c r="D22" s="279">
        <f>SUM(B22:C22)</f>
        <v>650000</v>
      </c>
      <c r="E22" s="282" t="s">
        <v>454</v>
      </c>
      <c r="F22" s="4"/>
      <c r="G22" s="294"/>
      <c r="H22" s="279">
        <f>SUM(F22:G22)</f>
        <v>0</v>
      </c>
    </row>
    <row r="23" spans="1:9" ht="13.8" x14ac:dyDescent="0.25">
      <c r="A23" s="282" t="s">
        <v>188</v>
      </c>
      <c r="B23" s="16"/>
      <c r="C23" s="453"/>
      <c r="D23" s="449"/>
      <c r="E23" s="426" t="s">
        <v>448</v>
      </c>
      <c r="F23" s="17"/>
      <c r="G23" s="1311">
        <f>'7. sz. tábla 1'!D180</f>
        <v>2131180</v>
      </c>
      <c r="H23" s="279">
        <f>SUM(F23:G23)</f>
        <v>2131180</v>
      </c>
    </row>
    <row r="24" spans="1:9" ht="28.2" thickBot="1" x14ac:dyDescent="0.3">
      <c r="A24" s="293" t="s">
        <v>453</v>
      </c>
      <c r="B24" s="28"/>
      <c r="C24" s="1308">
        <f>'2.sz.tábla   (2)'!D88</f>
        <v>43348</v>
      </c>
      <c r="D24" s="295">
        <f>SUM(B24:C24)</f>
        <v>43348</v>
      </c>
      <c r="E24" s="450"/>
      <c r="F24" s="451"/>
      <c r="G24" s="448"/>
      <c r="H24" s="452"/>
    </row>
    <row r="25" spans="1:9" ht="14.4" thickBot="1" x14ac:dyDescent="0.3">
      <c r="A25" s="358" t="s">
        <v>189</v>
      </c>
      <c r="B25" s="462">
        <f>B17+B19+B21</f>
        <v>292917</v>
      </c>
      <c r="C25" s="462">
        <f>C17+C19+C21</f>
        <v>4381588</v>
      </c>
      <c r="D25" s="463">
        <f>D17+D19+D21</f>
        <v>4674505</v>
      </c>
      <c r="E25" s="360" t="s">
        <v>190</v>
      </c>
      <c r="F25" s="464">
        <f>F17+F19</f>
        <v>848223</v>
      </c>
      <c r="G25" s="462">
        <f>G17+G19</f>
        <v>4297381</v>
      </c>
      <c r="H25" s="463">
        <f>H17+H19</f>
        <v>5145604</v>
      </c>
    </row>
    <row r="27" spans="1:9" ht="15.75" customHeight="1" x14ac:dyDescent="0.3">
      <c r="A27" s="1661" t="s">
        <v>526</v>
      </c>
      <c r="B27" s="1661"/>
      <c r="C27" s="1661"/>
      <c r="D27" s="1661"/>
      <c r="E27" s="1661"/>
      <c r="F27" s="1661"/>
      <c r="G27" s="1661"/>
      <c r="H27" s="1661"/>
    </row>
    <row r="28" spans="1:9" ht="13.8" thickBot="1" x14ac:dyDescent="0.3"/>
    <row r="29" spans="1:9" s="195" customFormat="1" ht="42" thickBot="1" x14ac:dyDescent="0.3">
      <c r="A29" s="358" t="s">
        <v>191</v>
      </c>
      <c r="B29" s="459" t="s">
        <v>380</v>
      </c>
      <c r="C29" s="460" t="s">
        <v>381</v>
      </c>
      <c r="D29" s="461" t="s">
        <v>382</v>
      </c>
      <c r="E29" s="360" t="s">
        <v>192</v>
      </c>
      <c r="F29" s="459" t="s">
        <v>380</v>
      </c>
      <c r="G29" s="460" t="s">
        <v>381</v>
      </c>
      <c r="H29" s="461" t="s">
        <v>382</v>
      </c>
    </row>
    <row r="30" spans="1:9" ht="27.6" x14ac:dyDescent="0.25">
      <c r="A30" s="465" t="s">
        <v>193</v>
      </c>
      <c r="B30" s="1307">
        <f>'2.sz.tábla   (2)'!H25+'2.sz.tábla   (2)'!L25</f>
        <v>246</v>
      </c>
      <c r="C30" s="1307">
        <f>'2.sz.tábla   (2)'!D20</f>
        <v>1547170</v>
      </c>
      <c r="D30" s="359">
        <f>SUM(B30:C30)</f>
        <v>1547416</v>
      </c>
      <c r="E30" s="34" t="s">
        <v>194</v>
      </c>
      <c r="F30" s="33"/>
      <c r="G30" s="1307">
        <f>'7. sz. tábla 1'!D109</f>
        <v>1809868</v>
      </c>
      <c r="H30" s="279">
        <f>SUM(F30:G30)</f>
        <v>1809868</v>
      </c>
    </row>
    <row r="31" spans="1:9" ht="13.8" x14ac:dyDescent="0.25">
      <c r="A31" s="282" t="s">
        <v>195</v>
      </c>
      <c r="B31" s="16">
        <v>0</v>
      </c>
      <c r="C31" s="1307">
        <f>'2.sz.tábla   (2)'!D56</f>
        <v>788369</v>
      </c>
      <c r="D31" s="296">
        <f>SUM(B31:C31)</f>
        <v>788369</v>
      </c>
      <c r="E31" s="30" t="s">
        <v>196</v>
      </c>
      <c r="F31" s="3">
        <f>'4a. sz. tábla  (3)'!E77</f>
        <v>10883</v>
      </c>
      <c r="G31" s="22"/>
      <c r="H31" s="279">
        <f t="shared" ref="H31:H37" si="2">SUM(F31:G31)</f>
        <v>10883</v>
      </c>
    </row>
    <row r="32" spans="1:9" ht="13.8" x14ac:dyDescent="0.25">
      <c r="A32" s="282" t="s">
        <v>197</v>
      </c>
      <c r="B32" s="16"/>
      <c r="C32" s="1307">
        <f>'2.sz.tábla   (2)'!D68</f>
        <v>100873</v>
      </c>
      <c r="D32" s="296">
        <f>SUM(B32:C32)</f>
        <v>100873</v>
      </c>
      <c r="E32" s="30" t="s">
        <v>198</v>
      </c>
      <c r="F32" s="4"/>
      <c r="G32" s="545">
        <f>'6.sz.tábla  (3)'!D140</f>
        <v>91016</v>
      </c>
      <c r="H32" s="279">
        <f t="shared" si="2"/>
        <v>91016</v>
      </c>
    </row>
    <row r="33" spans="1:11" ht="13.8" x14ac:dyDescent="0.25">
      <c r="A33" s="282"/>
      <c r="B33" s="16"/>
      <c r="C33" s="16"/>
      <c r="D33" s="296"/>
      <c r="E33" s="30" t="s">
        <v>199</v>
      </c>
      <c r="F33" s="17"/>
      <c r="G33" s="94">
        <f>SUM(G34:G37)</f>
        <v>607522</v>
      </c>
      <c r="H33" s="279">
        <f t="shared" si="2"/>
        <v>607522</v>
      </c>
      <c r="I33" s="93" t="e">
        <f>SUM(#REF!)</f>
        <v>#REF!</v>
      </c>
    </row>
    <row r="34" spans="1:11" ht="27.6" x14ac:dyDescent="0.25">
      <c r="A34" s="282"/>
      <c r="B34" s="16"/>
      <c r="C34" s="22"/>
      <c r="D34" s="297"/>
      <c r="E34" s="30" t="s">
        <v>200</v>
      </c>
      <c r="F34" s="380"/>
      <c r="G34" s="1311">
        <f>'7. sz. tábla 1'!D129</f>
        <v>380634</v>
      </c>
      <c r="H34" s="279">
        <f t="shared" si="2"/>
        <v>380634</v>
      </c>
    </row>
    <row r="35" spans="1:11" ht="27" customHeight="1" x14ac:dyDescent="0.25">
      <c r="A35" s="282"/>
      <c r="B35" s="16"/>
      <c r="C35" s="22"/>
      <c r="D35" s="297"/>
      <c r="E35" s="298" t="s">
        <v>201</v>
      </c>
      <c r="F35" s="4"/>
      <c r="G35" s="1312">
        <f>'7. sz. tábla 1'!D124</f>
        <v>3326</v>
      </c>
      <c r="H35" s="279">
        <f t="shared" si="2"/>
        <v>3326</v>
      </c>
    </row>
    <row r="36" spans="1:11" ht="27.6" x14ac:dyDescent="0.25">
      <c r="A36" s="282"/>
      <c r="B36" s="16"/>
      <c r="C36" s="482"/>
      <c r="D36" s="296"/>
      <c r="E36" s="30" t="s">
        <v>474</v>
      </c>
      <c r="F36" s="466"/>
      <c r="G36" s="94">
        <v>0</v>
      </c>
      <c r="H36" s="279">
        <f t="shared" si="2"/>
        <v>0</v>
      </c>
    </row>
    <row r="37" spans="1:11" ht="27.6" x14ac:dyDescent="0.25">
      <c r="A37" s="282"/>
      <c r="B37" s="16"/>
      <c r="C37" s="28"/>
      <c r="D37" s="296"/>
      <c r="E37" s="388" t="s">
        <v>248</v>
      </c>
      <c r="F37" s="94"/>
      <c r="G37" s="545">
        <f>'7. sz. tábla 1'!D112</f>
        <v>223562</v>
      </c>
      <c r="H37" s="279">
        <f t="shared" si="2"/>
        <v>223562</v>
      </c>
    </row>
    <row r="38" spans="1:11" ht="13.8" x14ac:dyDescent="0.25">
      <c r="A38" s="287" t="s">
        <v>203</v>
      </c>
      <c r="B38" s="26">
        <f>SUM(B30:B36)</f>
        <v>246</v>
      </c>
      <c r="C38" s="24">
        <f>SUM(C30:C36)</f>
        <v>2436412</v>
      </c>
      <c r="D38" s="289">
        <f>SUM(D30:D36)</f>
        <v>2436658</v>
      </c>
      <c r="E38" s="29" t="s">
        <v>204</v>
      </c>
      <c r="F38" s="25">
        <f>SUM(F30:F33)</f>
        <v>10883</v>
      </c>
      <c r="G38" s="23">
        <f>SUM(G30:G33)</f>
        <v>2508406</v>
      </c>
      <c r="H38" s="288">
        <f>SUM(H30:H33)</f>
        <v>2519289</v>
      </c>
      <c r="K38" s="8"/>
    </row>
    <row r="39" spans="1:11" ht="13.8" x14ac:dyDescent="0.25">
      <c r="A39" s="287" t="s">
        <v>205</v>
      </c>
      <c r="B39" s="4"/>
      <c r="C39" s="100"/>
      <c r="D39" s="289"/>
      <c r="E39" s="29" t="s">
        <v>208</v>
      </c>
      <c r="F39" s="26">
        <f>B38-F38</f>
        <v>-10637</v>
      </c>
      <c r="G39" s="26">
        <f>C38-G38</f>
        <v>-71994</v>
      </c>
      <c r="H39" s="288">
        <f>D38-H38</f>
        <v>-82631</v>
      </c>
    </row>
    <row r="40" spans="1:11" ht="27.6" x14ac:dyDescent="0.25">
      <c r="A40" s="287" t="s">
        <v>209</v>
      </c>
      <c r="B40" s="26">
        <f>SUM(B41)</f>
        <v>1031</v>
      </c>
      <c r="C40" s="24">
        <f>SUM(C41)</f>
        <v>726942</v>
      </c>
      <c r="D40" s="289">
        <f>SUM(D41)</f>
        <v>727973</v>
      </c>
      <c r="E40" s="29" t="s">
        <v>210</v>
      </c>
      <c r="F40" s="26">
        <f>SUM(F41:F42)</f>
        <v>0</v>
      </c>
      <c r="G40" s="26">
        <f>SUM(G41:G42)</f>
        <v>174243</v>
      </c>
      <c r="H40" s="288">
        <f>SUM(H41:H43)</f>
        <v>174243</v>
      </c>
    </row>
    <row r="41" spans="1:11" ht="13.8" x14ac:dyDescent="0.25">
      <c r="A41" s="282" t="s">
        <v>211</v>
      </c>
      <c r="B41" s="3">
        <f>'2.sz.tábla   (2)'!H76+'2.sz.tábla   (2)'!L76</f>
        <v>1031</v>
      </c>
      <c r="C41" s="1001">
        <f>'2.sz.tábla   (2)'!D76</f>
        <v>726942</v>
      </c>
      <c r="D41" s="296">
        <f>SUM(B41:C41)</f>
        <v>727973</v>
      </c>
      <c r="E41" s="30" t="s">
        <v>212</v>
      </c>
      <c r="F41" s="4"/>
      <c r="G41" s="16">
        <v>0</v>
      </c>
      <c r="H41" s="279"/>
    </row>
    <row r="42" spans="1:11" ht="27.6" x14ac:dyDescent="0.25">
      <c r="A42" s="287" t="s">
        <v>213</v>
      </c>
      <c r="B42" s="26">
        <f>SUM(B43:B44)</f>
        <v>0</v>
      </c>
      <c r="C42" s="23">
        <f>SUM(C43:C44)</f>
        <v>0</v>
      </c>
      <c r="D42" s="289">
        <f>SUM(D43:D44)</f>
        <v>0</v>
      </c>
      <c r="E42" s="30" t="s">
        <v>214</v>
      </c>
      <c r="F42" s="4"/>
      <c r="G42" s="1307">
        <f>'7. sz. tábla 1'!D179</f>
        <v>174243</v>
      </c>
      <c r="H42" s="279">
        <f>SUM(F42:G42)</f>
        <v>174243</v>
      </c>
    </row>
    <row r="43" spans="1:11" ht="13.8" x14ac:dyDescent="0.25">
      <c r="A43" s="293" t="s">
        <v>215</v>
      </c>
      <c r="B43" s="4"/>
      <c r="C43" s="101"/>
      <c r="D43" s="296"/>
      <c r="E43" s="30" t="s">
        <v>379</v>
      </c>
      <c r="F43" s="4"/>
      <c r="G43" s="28"/>
      <c r="H43" s="279"/>
    </row>
    <row r="44" spans="1:11" ht="14.4" thickBot="1" x14ac:dyDescent="0.3">
      <c r="A44" s="293" t="s">
        <v>216</v>
      </c>
      <c r="B44" s="466"/>
      <c r="C44" s="467"/>
      <c r="D44" s="447"/>
      <c r="E44" s="468"/>
      <c r="F44" s="451"/>
      <c r="G44" s="446"/>
      <c r="H44" s="469"/>
    </row>
    <row r="45" spans="1:11" ht="14.4" thickBot="1" x14ac:dyDescent="0.3">
      <c r="A45" s="358" t="s">
        <v>217</v>
      </c>
      <c r="B45" s="464">
        <f>B38+B40+B42</f>
        <v>1277</v>
      </c>
      <c r="C45" s="462">
        <f>C38+C40+C42</f>
        <v>3163354</v>
      </c>
      <c r="D45" s="470">
        <f>D38+D40+D42</f>
        <v>3164631</v>
      </c>
      <c r="E45" s="360" t="s">
        <v>218</v>
      </c>
      <c r="F45" s="464">
        <f>F38+F40</f>
        <v>10883</v>
      </c>
      <c r="G45" s="462">
        <f>G38+G40</f>
        <v>2682649</v>
      </c>
      <c r="H45" s="463">
        <f>H38+H40</f>
        <v>2693532</v>
      </c>
    </row>
    <row r="46" spans="1:11" x14ac:dyDescent="0.25">
      <c r="A46" s="31"/>
      <c r="B46" s="32"/>
      <c r="C46" s="32"/>
      <c r="D46" s="32"/>
      <c r="E46" s="31"/>
      <c r="F46" s="32"/>
      <c r="G46" s="32"/>
      <c r="H46" s="32"/>
    </row>
    <row r="47" spans="1:11" ht="15.75" customHeight="1" x14ac:dyDescent="0.3">
      <c r="A47" s="1661" t="s">
        <v>525</v>
      </c>
      <c r="B47" s="1661"/>
      <c r="C47" s="1661"/>
      <c r="D47" s="1661"/>
      <c r="E47" s="1661"/>
      <c r="F47" s="1661"/>
      <c r="G47" s="1661"/>
      <c r="H47" s="1661"/>
    </row>
    <row r="48" spans="1:11" ht="13.8" thickBot="1" x14ac:dyDescent="0.3"/>
    <row r="49" spans="1:8" s="195" customFormat="1" ht="42" thickBot="1" x14ac:dyDescent="0.3">
      <c r="A49" s="358" t="s">
        <v>219</v>
      </c>
      <c r="B49" s="459" t="s">
        <v>380</v>
      </c>
      <c r="C49" s="460" t="s">
        <v>381</v>
      </c>
      <c r="D49" s="461" t="s">
        <v>382</v>
      </c>
      <c r="E49" s="360" t="s">
        <v>220</v>
      </c>
      <c r="F49" s="459" t="s">
        <v>380</v>
      </c>
      <c r="G49" s="460" t="s">
        <v>381</v>
      </c>
      <c r="H49" s="461" t="s">
        <v>382</v>
      </c>
    </row>
    <row r="50" spans="1:8" ht="13.8" x14ac:dyDescent="0.25">
      <c r="A50" s="281" t="s">
        <v>221</v>
      </c>
      <c r="B50" s="33">
        <f>B17</f>
        <v>243367</v>
      </c>
      <c r="C50" s="471">
        <f>C17</f>
        <v>3562877</v>
      </c>
      <c r="D50" s="359">
        <f>D17</f>
        <v>3806244</v>
      </c>
      <c r="E50" s="34" t="s">
        <v>222</v>
      </c>
      <c r="F50" s="33">
        <f>F17</f>
        <v>848223</v>
      </c>
      <c r="G50" s="472">
        <f>G17</f>
        <v>2116441</v>
      </c>
      <c r="H50" s="359">
        <f>H17</f>
        <v>2964664</v>
      </c>
    </row>
    <row r="51" spans="1:8" ht="13.8" x14ac:dyDescent="0.25">
      <c r="A51" s="282" t="s">
        <v>223</v>
      </c>
      <c r="B51" s="4">
        <f>B38</f>
        <v>246</v>
      </c>
      <c r="C51" s="16">
        <f>C38</f>
        <v>2436412</v>
      </c>
      <c r="D51" s="296">
        <f>D38</f>
        <v>2436658</v>
      </c>
      <c r="E51" s="30" t="s">
        <v>224</v>
      </c>
      <c r="F51" s="4">
        <f>F38</f>
        <v>10883</v>
      </c>
      <c r="G51" s="16">
        <f>G38</f>
        <v>2508406</v>
      </c>
      <c r="H51" s="279">
        <f>H38</f>
        <v>2519289</v>
      </c>
    </row>
    <row r="52" spans="1:8" ht="13.8" x14ac:dyDescent="0.25">
      <c r="A52" s="287" t="s">
        <v>689</v>
      </c>
      <c r="B52" s="35">
        <f>SUM(B50:B51)</f>
        <v>243613</v>
      </c>
      <c r="C52" s="36">
        <f>SUM(C50:C51)</f>
        <v>5999289</v>
      </c>
      <c r="D52" s="300">
        <f>SUM(D50:D51)</f>
        <v>6242902</v>
      </c>
      <c r="E52" s="29" t="s">
        <v>705</v>
      </c>
      <c r="F52" s="35">
        <f>SUM(F50:F51)</f>
        <v>859106</v>
      </c>
      <c r="G52" s="36">
        <f>SUM(G50:G51)</f>
        <v>4624847</v>
      </c>
      <c r="H52" s="301">
        <f>SUM(H50:H51)</f>
        <v>5483953</v>
      </c>
    </row>
    <row r="53" spans="1:8" ht="13.8" x14ac:dyDescent="0.25">
      <c r="A53" s="287" t="s">
        <v>225</v>
      </c>
      <c r="B53" s="36"/>
      <c r="C53" s="36"/>
      <c r="D53" s="300"/>
      <c r="E53" s="29" t="s">
        <v>226</v>
      </c>
      <c r="F53" s="35">
        <f>B52-F52</f>
        <v>-615493</v>
      </c>
      <c r="G53" s="35">
        <f>C52-G52</f>
        <v>1374442</v>
      </c>
      <c r="H53" s="35">
        <f>D52-H52</f>
        <v>758949</v>
      </c>
    </row>
    <row r="54" spans="1:8" ht="27.6" x14ac:dyDescent="0.25">
      <c r="A54" s="287" t="s">
        <v>227</v>
      </c>
      <c r="B54" s="35">
        <f>SUM(B55:B56)</f>
        <v>50581</v>
      </c>
      <c r="C54" s="36">
        <f>SUM(C55:C56)</f>
        <v>852305</v>
      </c>
      <c r="D54" s="300">
        <f>SUM(D55:D56)</f>
        <v>902886</v>
      </c>
      <c r="E54" s="29" t="s">
        <v>228</v>
      </c>
      <c r="F54" s="35">
        <f>SUM(F55:F56)</f>
        <v>0</v>
      </c>
      <c r="G54" s="36">
        <f>SUM(G55:G56)</f>
        <v>2355183</v>
      </c>
      <c r="H54" s="301">
        <f>SUM(H55:H56)</f>
        <v>2355183</v>
      </c>
    </row>
    <row r="55" spans="1:8" ht="27.6" x14ac:dyDescent="0.25">
      <c r="A55" s="282" t="s">
        <v>183</v>
      </c>
      <c r="B55" s="3">
        <f>B19</f>
        <v>49550</v>
      </c>
      <c r="C55" s="2">
        <f>C19</f>
        <v>125363</v>
      </c>
      <c r="D55" s="302">
        <f>D19</f>
        <v>174913</v>
      </c>
      <c r="E55" s="30" t="s">
        <v>229</v>
      </c>
      <c r="F55" s="2">
        <f>F19</f>
        <v>0</v>
      </c>
      <c r="G55" s="2">
        <f>G19</f>
        <v>2180940</v>
      </c>
      <c r="H55" s="303">
        <f>H19</f>
        <v>2180940</v>
      </c>
    </row>
    <row r="56" spans="1:8" ht="27.6" x14ac:dyDescent="0.25">
      <c r="A56" s="282" t="s">
        <v>209</v>
      </c>
      <c r="B56" s="3">
        <f>B40</f>
        <v>1031</v>
      </c>
      <c r="C56" s="2">
        <f>C40</f>
        <v>726942</v>
      </c>
      <c r="D56" s="302">
        <f>D40</f>
        <v>727973</v>
      </c>
      <c r="E56" s="30" t="s">
        <v>230</v>
      </c>
      <c r="F56" s="2">
        <f>F40</f>
        <v>0</v>
      </c>
      <c r="G56" s="2">
        <f>G40</f>
        <v>174243</v>
      </c>
      <c r="H56" s="303">
        <f>H40</f>
        <v>174243</v>
      </c>
    </row>
    <row r="57" spans="1:8" ht="13.8" x14ac:dyDescent="0.25">
      <c r="A57" s="287" t="s">
        <v>231</v>
      </c>
      <c r="B57" s="35">
        <f>SUM(B58:B59)</f>
        <v>0</v>
      </c>
      <c r="C57" s="36">
        <f>SUM(C58:C59)</f>
        <v>693348</v>
      </c>
      <c r="D57" s="300">
        <f>SUM(D58:D59)</f>
        <v>693348</v>
      </c>
      <c r="E57" s="30"/>
      <c r="F57" s="19"/>
      <c r="G57" s="19"/>
      <c r="H57" s="304"/>
    </row>
    <row r="58" spans="1:8" ht="27.6" x14ac:dyDescent="0.25">
      <c r="A58" s="282" t="s">
        <v>186</v>
      </c>
      <c r="B58" s="3">
        <f>B21</f>
        <v>0</v>
      </c>
      <c r="C58" s="2">
        <f>C21</f>
        <v>693348</v>
      </c>
      <c r="D58" s="302">
        <f>D21</f>
        <v>693348</v>
      </c>
      <c r="E58" s="30"/>
      <c r="F58" s="17"/>
      <c r="G58" s="17"/>
      <c r="H58" s="283"/>
    </row>
    <row r="59" spans="1:8" ht="28.2" thickBot="1" x14ac:dyDescent="0.3">
      <c r="A59" s="293" t="s">
        <v>213</v>
      </c>
      <c r="B59" s="37">
        <f>B42</f>
        <v>0</v>
      </c>
      <c r="C59" s="102">
        <f>C42</f>
        <v>0</v>
      </c>
      <c r="D59" s="473">
        <f>D42</f>
        <v>0</v>
      </c>
      <c r="E59" s="38"/>
      <c r="F59" s="24"/>
      <c r="G59" s="24"/>
      <c r="H59" s="305"/>
    </row>
    <row r="60" spans="1:8" ht="14.4" thickBot="1" x14ac:dyDescent="0.3">
      <c r="A60" s="358" t="s">
        <v>823</v>
      </c>
      <c r="B60" s="474">
        <f>B52+B54+B57</f>
        <v>294194</v>
      </c>
      <c r="C60" s="475">
        <f>C52+C54+C57</f>
        <v>7544942</v>
      </c>
      <c r="D60" s="476">
        <f>D52+D54+D57</f>
        <v>7839136</v>
      </c>
      <c r="E60" s="360" t="s">
        <v>232</v>
      </c>
      <c r="F60" s="475">
        <f>F52+F54</f>
        <v>859106</v>
      </c>
      <c r="G60" s="475">
        <f>G52+G54</f>
        <v>6980030</v>
      </c>
      <c r="H60" s="477">
        <f>H52+H54</f>
        <v>7839136</v>
      </c>
    </row>
    <row r="61" spans="1:8" ht="13.8" x14ac:dyDescent="0.25">
      <c r="A61" s="310" t="s">
        <v>383</v>
      </c>
      <c r="B61" s="311">
        <f>B60-F60</f>
        <v>-564912</v>
      </c>
      <c r="C61" s="311">
        <f>C60-G60</f>
        <v>564912</v>
      </c>
      <c r="D61" s="311">
        <f>D60-H60</f>
        <v>0</v>
      </c>
    </row>
  </sheetData>
  <sheetProtection selectLockedCells="1" selectUnlockedCells="1"/>
  <mergeCells count="3">
    <mergeCell ref="A4:H4"/>
    <mergeCell ref="A27:H27"/>
    <mergeCell ref="A47:H47"/>
  </mergeCells>
  <phoneticPr fontId="28" type="noConversion"/>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az önkormányzat 2016. évi költségvetéséről szóló 8/2016. (II.26.) önkormányzati rendelet
módosításáról szóló 7/2017.(II.24.) önkormányzati rendelethez&amp;R
&amp;P. oldal
ezer forint</oddHeader>
  </headerFooter>
  <rowBreaks count="2" manualBreakCount="2">
    <brk id="26" max="16383" man="1"/>
    <brk id="61"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M91"/>
  <sheetViews>
    <sheetView view="pageLayout" zoomScaleNormal="100" zoomScaleSheetLayoutView="89" workbookViewId="0">
      <selection activeCell="D54" sqref="D54"/>
    </sheetView>
  </sheetViews>
  <sheetFormatPr defaultColWidth="9.109375" defaultRowHeight="13.8" x14ac:dyDescent="0.25"/>
  <cols>
    <col min="1" max="1" width="45.6640625" style="197" customWidth="1"/>
    <col min="2" max="2" width="13.109375" style="198" customWidth="1"/>
    <col min="3" max="3" width="14.5546875" style="198" customWidth="1"/>
    <col min="4" max="4" width="13.88671875" style="198" customWidth="1"/>
    <col min="5" max="5" width="14.5546875" style="198" customWidth="1"/>
    <col min="6" max="6" width="45.88671875" style="198" customWidth="1"/>
    <col min="7" max="7" width="12.88671875" style="1020" customWidth="1"/>
    <col min="8" max="8" width="14.33203125" style="1020" customWidth="1"/>
    <col min="9" max="9" width="13.6640625" style="1020" customWidth="1"/>
    <col min="10" max="10" width="13" style="1020" customWidth="1"/>
    <col min="11" max="12" width="9.109375" style="198"/>
    <col min="13" max="13" width="12.5546875" style="198" customWidth="1"/>
    <col min="14" max="16384" width="9.109375" style="198"/>
  </cols>
  <sheetData>
    <row r="2" spans="1:10" x14ac:dyDescent="0.25">
      <c r="F2" s="199"/>
    </row>
    <row r="4" spans="1:10" ht="15.75" customHeight="1" x14ac:dyDescent="0.3">
      <c r="A4" s="1662" t="s">
        <v>527</v>
      </c>
      <c r="B4" s="1662"/>
      <c r="C4" s="1662"/>
      <c r="D4" s="1662"/>
      <c r="E4" s="1662"/>
      <c r="F4" s="1662"/>
      <c r="G4" s="1662"/>
    </row>
    <row r="6" spans="1:10" s="197" customFormat="1" ht="27.6" x14ac:dyDescent="0.25">
      <c r="A6" s="39" t="s">
        <v>169</v>
      </c>
      <c r="B6" s="212" t="s">
        <v>697</v>
      </c>
      <c r="C6" s="312" t="s">
        <v>950</v>
      </c>
      <c r="D6" s="317" t="s">
        <v>695</v>
      </c>
      <c r="E6" s="322" t="s">
        <v>386</v>
      </c>
      <c r="F6" s="40" t="s">
        <v>170</v>
      </c>
      <c r="G6" s="1021" t="s">
        <v>697</v>
      </c>
      <c r="H6" s="1022" t="s">
        <v>950</v>
      </c>
      <c r="I6" s="1023" t="s">
        <v>695</v>
      </c>
      <c r="J6" s="1024" t="s">
        <v>386</v>
      </c>
    </row>
    <row r="7" spans="1:10" s="197" customFormat="1" x14ac:dyDescent="0.25">
      <c r="A7" s="41" t="s">
        <v>234</v>
      </c>
      <c r="B7" s="200"/>
      <c r="C7" s="200"/>
      <c r="D7" s="318"/>
      <c r="E7" s="323"/>
      <c r="F7" s="40" t="s">
        <v>694</v>
      </c>
      <c r="G7" s="65"/>
      <c r="H7" s="65"/>
      <c r="I7" s="51"/>
      <c r="J7" s="1025"/>
    </row>
    <row r="8" spans="1:10" ht="27.6" x14ac:dyDescent="0.25">
      <c r="A8" s="42" t="s">
        <v>235</v>
      </c>
      <c r="B8" s="43">
        <f>98101-B37+100568</f>
        <v>164608</v>
      </c>
      <c r="C8" s="201">
        <f>17099*0.6635+182890*0.7302+914+2689+302+1703*0.6635+25</f>
        <v>149951.405</v>
      </c>
      <c r="D8" s="319">
        <f>1160656-100568-182890+2050+6037-2827-1480+10808-5222-2619+17234+3905-4697</f>
        <v>900387</v>
      </c>
      <c r="E8" s="324">
        <f>SUM(B8:D8)</f>
        <v>1214946.405</v>
      </c>
      <c r="F8" s="44" t="s">
        <v>995</v>
      </c>
      <c r="G8" s="43">
        <f>'4.sz.tábla '!D13-G37</f>
        <v>146797</v>
      </c>
      <c r="H8" s="43">
        <v>161440</v>
      </c>
      <c r="I8" s="320">
        <f>'5.tábla (2)'!D34-'9. sz. tábla (2)'!I37</f>
        <v>46981</v>
      </c>
      <c r="J8" s="325">
        <f>SUM(G8:I8)</f>
        <v>355218</v>
      </c>
    </row>
    <row r="9" spans="1:10" ht="17.25" customHeight="1" x14ac:dyDescent="0.25">
      <c r="A9" s="45" t="s">
        <v>172</v>
      </c>
      <c r="B9" s="16"/>
      <c r="C9" s="16"/>
      <c r="D9" s="16">
        <v>1606200</v>
      </c>
      <c r="E9" s="324">
        <f>SUM(B9:D9)</f>
        <v>1606200</v>
      </c>
      <c r="F9" s="46" t="s">
        <v>981</v>
      </c>
      <c r="G9" s="43">
        <f>'4.sz.tábla '!H13-G38</f>
        <v>38933</v>
      </c>
      <c r="H9" s="43">
        <v>47043</v>
      </c>
      <c r="I9" s="320">
        <f>'5.tábla (2)'!D44-'9. sz. tábla (2)'!I38</f>
        <v>10041</v>
      </c>
      <c r="J9" s="325">
        <f t="shared" ref="J9:J17" si="0">SUM(G9:I9)</f>
        <v>96017</v>
      </c>
    </row>
    <row r="10" spans="1:10" x14ac:dyDescent="0.25">
      <c r="A10" s="47" t="s">
        <v>174</v>
      </c>
      <c r="B10" s="43">
        <f>102883-B39</f>
        <v>80978</v>
      </c>
      <c r="C10" s="43">
        <v>19151</v>
      </c>
      <c r="D10" s="320">
        <f>481851-20000-10000-14570-15000+202022+21719+15065-16067</f>
        <v>645020</v>
      </c>
      <c r="E10" s="324">
        <f>SUM(B10:D10)</f>
        <v>745149</v>
      </c>
      <c r="F10" s="46" t="s">
        <v>982</v>
      </c>
      <c r="G10" s="43">
        <f>'4.sz.tábla '!L13-G39</f>
        <v>200994</v>
      </c>
      <c r="H10" s="43">
        <v>61651</v>
      </c>
      <c r="I10" s="320">
        <f>'5.tábla (2)'!D53-'9. sz. tábla (2)'!I39</f>
        <v>704548</v>
      </c>
      <c r="J10" s="325">
        <f t="shared" si="0"/>
        <v>967193</v>
      </c>
    </row>
    <row r="11" spans="1:10" ht="27.6" x14ac:dyDescent="0.25">
      <c r="A11" s="18" t="s">
        <v>178</v>
      </c>
      <c r="B11" s="43"/>
      <c r="C11" s="202"/>
      <c r="D11" s="321"/>
      <c r="E11" s="324">
        <f>SUM(B11:D11)</f>
        <v>0</v>
      </c>
      <c r="F11" s="44" t="s">
        <v>1017</v>
      </c>
      <c r="G11" s="43"/>
      <c r="H11" s="43">
        <v>2439</v>
      </c>
      <c r="I11" s="320">
        <v>30254</v>
      </c>
      <c r="J11" s="325">
        <f t="shared" si="0"/>
        <v>32693</v>
      </c>
    </row>
    <row r="12" spans="1:10" x14ac:dyDescent="0.25">
      <c r="A12" s="45"/>
      <c r="B12" s="43"/>
      <c r="C12" s="43"/>
      <c r="D12" s="320"/>
      <c r="E12" s="325"/>
      <c r="F12" s="46" t="s">
        <v>991</v>
      </c>
      <c r="G12" s="43"/>
      <c r="H12" s="43"/>
      <c r="I12" s="320"/>
      <c r="J12" s="325">
        <f t="shared" si="0"/>
        <v>0</v>
      </c>
    </row>
    <row r="13" spans="1:10" x14ac:dyDescent="0.25">
      <c r="A13" s="47"/>
      <c r="B13" s="43"/>
      <c r="C13" s="43"/>
      <c r="D13" s="320"/>
      <c r="E13" s="325"/>
      <c r="F13" s="30" t="s">
        <v>375</v>
      </c>
      <c r="G13" s="43"/>
      <c r="H13" s="43"/>
      <c r="I13" s="320">
        <v>35</v>
      </c>
      <c r="J13" s="325">
        <f t="shared" si="0"/>
        <v>35</v>
      </c>
    </row>
    <row r="14" spans="1:10" ht="27.6" x14ac:dyDescent="0.25">
      <c r="A14" s="47"/>
      <c r="B14" s="43"/>
      <c r="C14" s="43"/>
      <c r="D14" s="320"/>
      <c r="E14" s="325"/>
      <c r="F14" s="30" t="s">
        <v>376</v>
      </c>
      <c r="G14" s="43">
        <f>'4.sz.tábla '!Y13</f>
        <v>10793</v>
      </c>
      <c r="H14" s="43">
        <v>687</v>
      </c>
      <c r="I14" s="320">
        <f>'5.tábla (2)'!D105-'9. sz. tábla (2)'!I43</f>
        <v>454945</v>
      </c>
      <c r="J14" s="325">
        <f t="shared" si="0"/>
        <v>466425</v>
      </c>
    </row>
    <row r="15" spans="1:10" ht="27.6" x14ac:dyDescent="0.25">
      <c r="A15" s="42"/>
      <c r="B15" s="43"/>
      <c r="C15" s="202"/>
      <c r="D15" s="321"/>
      <c r="E15" s="326"/>
      <c r="F15" s="285" t="s">
        <v>377</v>
      </c>
      <c r="G15" s="43"/>
      <c r="H15" s="43"/>
      <c r="I15" s="320">
        <f>'5.tábla (2)'!D113-'9. sz. tábla (2)'!I44</f>
        <v>147044</v>
      </c>
      <c r="J15" s="325">
        <f t="shared" si="0"/>
        <v>147044</v>
      </c>
    </row>
    <row r="16" spans="1:10" ht="27.6" x14ac:dyDescent="0.25">
      <c r="A16" s="48"/>
      <c r="B16" s="43"/>
      <c r="C16" s="43"/>
      <c r="D16" s="320"/>
      <c r="E16" s="325"/>
      <c r="F16" s="30" t="s">
        <v>378</v>
      </c>
      <c r="G16" s="43"/>
      <c r="H16" s="43"/>
      <c r="I16" s="320"/>
      <c r="J16" s="325">
        <f t="shared" si="0"/>
        <v>0</v>
      </c>
    </row>
    <row r="17" spans="1:10" x14ac:dyDescent="0.25">
      <c r="A17" s="45"/>
      <c r="B17" s="43"/>
      <c r="C17" s="43"/>
      <c r="D17" s="320"/>
      <c r="E17" s="325"/>
      <c r="F17" s="286" t="s">
        <v>331</v>
      </c>
      <c r="G17" s="43"/>
      <c r="H17" s="43"/>
      <c r="I17" s="1308">
        <f>'8. sz. tábla  (3)'!I16</f>
        <v>93159</v>
      </c>
      <c r="J17" s="325">
        <f t="shared" si="0"/>
        <v>93159</v>
      </c>
    </row>
    <row r="18" spans="1:10" s="50" customFormat="1" ht="27.6" x14ac:dyDescent="0.25">
      <c r="A18" s="39" t="s">
        <v>236</v>
      </c>
      <c r="B18" s="49">
        <f>SUM(B8:B17)</f>
        <v>245586</v>
      </c>
      <c r="C18" s="49">
        <f>SUM(C8:C17)</f>
        <v>169102.405</v>
      </c>
      <c r="D18" s="103">
        <f>SUM(D8:D17)</f>
        <v>3151607</v>
      </c>
      <c r="E18" s="103">
        <f>SUM(E8:E17)</f>
        <v>3566295.4050000003</v>
      </c>
      <c r="F18" s="40" t="s">
        <v>797</v>
      </c>
      <c r="G18" s="49">
        <f>SUM(G8:G17)</f>
        <v>397517</v>
      </c>
      <c r="H18" s="49">
        <f>SUM(H8:H17)</f>
        <v>273260</v>
      </c>
      <c r="I18" s="103">
        <f>SUM(I8:I17)</f>
        <v>1487007</v>
      </c>
      <c r="J18" s="327">
        <f>SUM(J8:J17)</f>
        <v>2157784</v>
      </c>
    </row>
    <row r="19" spans="1:10" x14ac:dyDescent="0.25">
      <c r="A19" s="51" t="s">
        <v>238</v>
      </c>
      <c r="B19" s="43">
        <f>29271-B48</f>
        <v>20957</v>
      </c>
      <c r="C19" s="43">
        <f>(20305-26-1776)*0.7302+1776*0.6635</f>
        <v>14689.266599999999</v>
      </c>
      <c r="D19" s="320">
        <f>5031+37703+5+13500+1066+37539+962800-300000+30548</f>
        <v>788192</v>
      </c>
      <c r="E19" s="325">
        <f>SUM(B19:D19)</f>
        <v>823838.26659999997</v>
      </c>
      <c r="F19" s="52" t="s">
        <v>239</v>
      </c>
      <c r="G19" s="43"/>
      <c r="H19" s="43"/>
      <c r="I19" s="320">
        <f>2181683-743</f>
        <v>2180940</v>
      </c>
      <c r="J19" s="325">
        <f>SUM(G19:I19)</f>
        <v>2180940</v>
      </c>
    </row>
    <row r="20" spans="1:10" ht="41.4" x14ac:dyDescent="0.25">
      <c r="A20" s="39" t="s">
        <v>240</v>
      </c>
      <c r="B20" s="49">
        <f>B18+B19</f>
        <v>266543</v>
      </c>
      <c r="C20" s="49">
        <f>C18+C19</f>
        <v>183791.6716</v>
      </c>
      <c r="D20" s="103">
        <f>D18+D19</f>
        <v>3939799</v>
      </c>
      <c r="E20" s="327">
        <f>E18+E19</f>
        <v>4390133.6716</v>
      </c>
      <c r="F20" s="40" t="s">
        <v>241</v>
      </c>
      <c r="G20" s="49">
        <f>G18+G19</f>
        <v>397517</v>
      </c>
      <c r="H20" s="49">
        <f>H18+H19</f>
        <v>273260</v>
      </c>
      <c r="I20" s="103">
        <f>I18+I19</f>
        <v>3667947</v>
      </c>
      <c r="J20" s="327">
        <f>J18+J19</f>
        <v>4338724</v>
      </c>
    </row>
    <row r="21" spans="1:10" x14ac:dyDescent="0.25">
      <c r="A21" s="53" t="s">
        <v>242</v>
      </c>
      <c r="B21" s="54"/>
      <c r="C21" s="54"/>
      <c r="D21" s="54"/>
      <c r="E21" s="328"/>
      <c r="F21" s="55" t="s">
        <v>698</v>
      </c>
      <c r="G21" s="1026"/>
      <c r="H21" s="1026"/>
      <c r="I21" s="1026"/>
      <c r="J21" s="1027"/>
    </row>
    <row r="22" spans="1:10" ht="27.6" x14ac:dyDescent="0.25">
      <c r="A22" s="18" t="s">
        <v>193</v>
      </c>
      <c r="B22" s="43">
        <f>246-B51</f>
        <v>155</v>
      </c>
      <c r="C22" s="43"/>
      <c r="D22" s="320">
        <f>22000+14893-3905+1600+1908+1397</f>
        <v>37893</v>
      </c>
      <c r="E22" s="325">
        <f>SUM(B22:D22)</f>
        <v>38048</v>
      </c>
      <c r="F22" s="44" t="s">
        <v>194</v>
      </c>
      <c r="G22" s="43"/>
      <c r="H22" s="43"/>
      <c r="I22" s="320">
        <f>444874-2899</f>
        <v>441975</v>
      </c>
      <c r="J22" s="325">
        <f t="shared" ref="J22:J27" si="1">SUM(G22:I22)</f>
        <v>441975</v>
      </c>
    </row>
    <row r="23" spans="1:10" x14ac:dyDescent="0.25">
      <c r="A23" s="15" t="s">
        <v>243</v>
      </c>
      <c r="B23" s="43"/>
      <c r="C23" s="43"/>
      <c r="D23" s="320">
        <v>0</v>
      </c>
      <c r="E23" s="325">
        <f>SUM(B23:D23)</f>
        <v>0</v>
      </c>
      <c r="F23" s="46" t="s">
        <v>196</v>
      </c>
      <c r="G23" s="43">
        <f>'4.sz.tábla '!AC13-G52</f>
        <v>7331</v>
      </c>
      <c r="H23" s="43">
        <v>2104</v>
      </c>
      <c r="I23" s="320"/>
      <c r="J23" s="325">
        <f t="shared" si="1"/>
        <v>9435</v>
      </c>
    </row>
    <row r="24" spans="1:10" ht="27.6" x14ac:dyDescent="0.25">
      <c r="A24" s="15" t="s">
        <v>244</v>
      </c>
      <c r="B24" s="43"/>
      <c r="C24" s="43"/>
      <c r="D24" s="320" t="s">
        <v>655</v>
      </c>
      <c r="E24" s="325">
        <f>SUM(B24:D24)</f>
        <v>0</v>
      </c>
      <c r="F24" s="46" t="s">
        <v>198</v>
      </c>
      <c r="G24" s="43"/>
      <c r="H24" s="43"/>
      <c r="I24" s="320">
        <v>91016</v>
      </c>
      <c r="J24" s="325">
        <f t="shared" si="1"/>
        <v>91016</v>
      </c>
    </row>
    <row r="25" spans="1:10" x14ac:dyDescent="0.25">
      <c r="A25" s="45"/>
      <c r="B25" s="43"/>
      <c r="C25" s="43"/>
      <c r="D25" s="320"/>
      <c r="E25" s="325"/>
      <c r="F25" s="46" t="s">
        <v>245</v>
      </c>
      <c r="G25" s="43"/>
      <c r="H25" s="43"/>
      <c r="I25" s="320"/>
      <c r="J25" s="325">
        <f t="shared" si="1"/>
        <v>0</v>
      </c>
    </row>
    <row r="26" spans="1:10" ht="27.6" x14ac:dyDescent="0.25">
      <c r="A26" s="45"/>
      <c r="B26" s="43"/>
      <c r="C26" s="43"/>
      <c r="D26" s="320"/>
      <c r="E26" s="325"/>
      <c r="F26" s="46" t="s">
        <v>246</v>
      </c>
      <c r="G26" s="43"/>
      <c r="H26" s="43"/>
      <c r="I26" s="320">
        <v>35508</v>
      </c>
      <c r="J26" s="325">
        <f t="shared" si="1"/>
        <v>35508</v>
      </c>
    </row>
    <row r="27" spans="1:10" ht="27.6" x14ac:dyDescent="0.25">
      <c r="A27" s="45"/>
      <c r="B27" s="43"/>
      <c r="C27" s="43"/>
      <c r="D27" s="320"/>
      <c r="E27" s="325"/>
      <c r="F27" s="56" t="s">
        <v>247</v>
      </c>
      <c r="G27" s="43"/>
      <c r="H27" s="43"/>
      <c r="I27" s="320">
        <v>2065</v>
      </c>
      <c r="J27" s="325">
        <f t="shared" si="1"/>
        <v>2065</v>
      </c>
    </row>
    <row r="28" spans="1:10" ht="27.6" x14ac:dyDescent="0.25">
      <c r="A28" s="57"/>
      <c r="B28" s="43"/>
      <c r="C28" s="43"/>
      <c r="D28" s="320"/>
      <c r="E28" s="325"/>
      <c r="F28" s="46" t="s">
        <v>248</v>
      </c>
      <c r="G28" s="43"/>
      <c r="H28" s="43"/>
      <c r="I28" s="320"/>
      <c r="J28" s="1027"/>
    </row>
    <row r="29" spans="1:10" s="50" customFormat="1" ht="27.6" x14ac:dyDescent="0.25">
      <c r="A29" s="39" t="s">
        <v>249</v>
      </c>
      <c r="B29" s="49">
        <f>SUM(B22:B28)</f>
        <v>155</v>
      </c>
      <c r="C29" s="49">
        <f>SUM(C22:C28)</f>
        <v>0</v>
      </c>
      <c r="D29" s="103">
        <f>SUM(D22:D28)</f>
        <v>37893</v>
      </c>
      <c r="E29" s="327">
        <f>SUM(E22:E28)</f>
        <v>38048</v>
      </c>
      <c r="F29" s="40" t="s">
        <v>237</v>
      </c>
      <c r="G29" s="49">
        <f>SUM(G22:G28)</f>
        <v>7331</v>
      </c>
      <c r="H29" s="49">
        <f>SUM(H22:H28)</f>
        <v>2104</v>
      </c>
      <c r="I29" s="103">
        <f>SUM(I22:I28)</f>
        <v>570564</v>
      </c>
      <c r="J29" s="103">
        <f>SUM(J22:J28)</f>
        <v>579999</v>
      </c>
    </row>
    <row r="30" spans="1:10" ht="15" customHeight="1" x14ac:dyDescent="0.25">
      <c r="A30" s="51" t="s">
        <v>238</v>
      </c>
      <c r="B30" s="43">
        <f>1005-B60</f>
        <v>931</v>
      </c>
      <c r="C30" s="43">
        <f>26*0.7302</f>
        <v>18.985199999999999</v>
      </c>
      <c r="D30" s="320">
        <f>599432-100474-9164+1836+49474</f>
        <v>541104</v>
      </c>
      <c r="E30" s="325">
        <f>SUM(B30:D30)</f>
        <v>542053.9852</v>
      </c>
      <c r="F30" s="52" t="s">
        <v>239</v>
      </c>
      <c r="G30" s="43"/>
      <c r="H30" s="43"/>
      <c r="I30" s="320">
        <v>174243</v>
      </c>
      <c r="J30" s="325">
        <f>SUM(G30:I30)</f>
        <v>174243</v>
      </c>
    </row>
    <row r="31" spans="1:10" ht="41.4" x14ac:dyDescent="0.25">
      <c r="A31" s="53" t="s">
        <v>250</v>
      </c>
      <c r="B31" s="49">
        <f>B29+B30</f>
        <v>1086</v>
      </c>
      <c r="C31" s="49">
        <f>C29+C30</f>
        <v>18.985199999999999</v>
      </c>
      <c r="D31" s="103">
        <f>D29+D30</f>
        <v>578997</v>
      </c>
      <c r="E31" s="327">
        <f>E29+E30</f>
        <v>580101.9852</v>
      </c>
      <c r="F31" s="58" t="s">
        <v>251</v>
      </c>
      <c r="G31" s="49">
        <f>G29+G30</f>
        <v>7331</v>
      </c>
      <c r="H31" s="49">
        <f>H29+H30</f>
        <v>2104</v>
      </c>
      <c r="I31" s="103">
        <f>I29+I30</f>
        <v>744807</v>
      </c>
      <c r="J31" s="327">
        <f>J29+J30</f>
        <v>754242</v>
      </c>
    </row>
    <row r="32" spans="1:10" x14ac:dyDescent="0.25">
      <c r="B32" s="203">
        <f>B31+B20</f>
        <v>267629</v>
      </c>
      <c r="C32" s="203">
        <f>C31+C20</f>
        <v>183810.6568</v>
      </c>
      <c r="D32" s="203">
        <f>D31+D20</f>
        <v>4518796</v>
      </c>
      <c r="E32" s="203">
        <f>E31+E20</f>
        <v>4970235.6568</v>
      </c>
      <c r="G32" s="1028">
        <f>G31+G20</f>
        <v>404848</v>
      </c>
      <c r="H32" s="1028">
        <f>H31+H20</f>
        <v>275364</v>
      </c>
      <c r="I32" s="1028">
        <f>I31+I20</f>
        <v>4412754</v>
      </c>
      <c r="J32" s="1028">
        <f>J31+J20</f>
        <v>5092966</v>
      </c>
    </row>
    <row r="33" spans="1:13" ht="15.75" customHeight="1" x14ac:dyDescent="0.3">
      <c r="A33" s="1662" t="s">
        <v>528</v>
      </c>
      <c r="B33" s="1662"/>
      <c r="C33" s="1662"/>
      <c r="D33" s="1662"/>
      <c r="E33" s="1662"/>
      <c r="F33" s="1662"/>
      <c r="G33" s="1662"/>
    </row>
    <row r="35" spans="1:13" s="197" customFormat="1" ht="27.6" x14ac:dyDescent="0.25">
      <c r="A35" s="59" t="s">
        <v>169</v>
      </c>
      <c r="B35" s="212" t="s">
        <v>697</v>
      </c>
      <c r="C35" s="312" t="s">
        <v>950</v>
      </c>
      <c r="D35" s="317" t="s">
        <v>695</v>
      </c>
      <c r="E35" s="322" t="s">
        <v>386</v>
      </c>
      <c r="F35" s="60" t="s">
        <v>170</v>
      </c>
      <c r="G35" s="1021" t="s">
        <v>697</v>
      </c>
      <c r="H35" s="1022" t="s">
        <v>950</v>
      </c>
      <c r="I35" s="1023" t="s">
        <v>695</v>
      </c>
      <c r="J35" s="1024" t="s">
        <v>386</v>
      </c>
    </row>
    <row r="36" spans="1:13" x14ac:dyDescent="0.25">
      <c r="A36" s="41" t="s">
        <v>234</v>
      </c>
      <c r="B36" s="200"/>
      <c r="C36" s="200"/>
      <c r="D36" s="318"/>
      <c r="E36" s="323"/>
      <c r="F36" s="40" t="s">
        <v>694</v>
      </c>
      <c r="G36" s="1029"/>
      <c r="H36" s="1029"/>
      <c r="I36" s="1030"/>
      <c r="J36" s="1027"/>
      <c r="L36" s="1199"/>
      <c r="M36" s="1199" t="s">
        <v>796</v>
      </c>
    </row>
    <row r="37" spans="1:13" ht="27.6" x14ac:dyDescent="0.25">
      <c r="A37" s="42" t="s">
        <v>235</v>
      </c>
      <c r="B37" s="43">
        <v>34061</v>
      </c>
      <c r="C37" s="43"/>
      <c r="D37" s="320">
        <f>13000+3500+7269+10000+17494+29+6579+791+928+1046</f>
        <v>60636</v>
      </c>
      <c r="E37" s="325">
        <f>SUM(B37:D37)</f>
        <v>94697</v>
      </c>
      <c r="F37" s="44" t="s">
        <v>995</v>
      </c>
      <c r="G37" s="43">
        <v>34316</v>
      </c>
      <c r="H37" s="43"/>
      <c r="I37" s="320">
        <v>34398</v>
      </c>
      <c r="J37" s="325">
        <f>SUM(G37:I37)</f>
        <v>68714</v>
      </c>
      <c r="M37" s="198">
        <v>34316</v>
      </c>
    </row>
    <row r="38" spans="1:13" x14ac:dyDescent="0.25">
      <c r="A38" s="45" t="s">
        <v>172</v>
      </c>
      <c r="B38" s="43"/>
      <c r="C38" s="43"/>
      <c r="D38" s="320"/>
      <c r="E38" s="325">
        <f>SUM(B38:D38)</f>
        <v>0</v>
      </c>
      <c r="F38" s="46" t="s">
        <v>981</v>
      </c>
      <c r="G38" s="43">
        <v>9837</v>
      </c>
      <c r="H38" s="43"/>
      <c r="I38" s="320">
        <v>13763</v>
      </c>
      <c r="J38" s="325">
        <f t="shared" ref="J38:J45" si="2">SUM(G38:I38)</f>
        <v>23600</v>
      </c>
      <c r="M38" s="198">
        <v>9837</v>
      </c>
    </row>
    <row r="39" spans="1:13" x14ac:dyDescent="0.25">
      <c r="A39" s="47" t="s">
        <v>174</v>
      </c>
      <c r="B39" s="43">
        <v>21905</v>
      </c>
      <c r="C39" s="43"/>
      <c r="D39" s="320">
        <f>20000+10000+14570-6770+15000+5511+60000+2458-60000</f>
        <v>60769</v>
      </c>
      <c r="E39" s="325">
        <f>SUM(B39:D39)</f>
        <v>82674</v>
      </c>
      <c r="F39" s="46" t="s">
        <v>982</v>
      </c>
      <c r="G39" s="43">
        <v>36197</v>
      </c>
      <c r="H39" s="43"/>
      <c r="I39" s="320">
        <v>216374</v>
      </c>
      <c r="J39" s="325">
        <f t="shared" si="2"/>
        <v>252571</v>
      </c>
      <c r="M39" s="198">
        <v>36197</v>
      </c>
    </row>
    <row r="40" spans="1:13" ht="27.6" x14ac:dyDescent="0.25">
      <c r="A40" s="18" t="s">
        <v>178</v>
      </c>
      <c r="B40" s="43"/>
      <c r="C40" s="43"/>
      <c r="D40" s="320">
        <v>6407</v>
      </c>
      <c r="E40" s="325">
        <f>SUM(B40:D40)</f>
        <v>6407</v>
      </c>
      <c r="F40" s="44" t="s">
        <v>1017</v>
      </c>
      <c r="G40" s="43"/>
      <c r="H40" s="43"/>
      <c r="I40" s="320"/>
      <c r="J40" s="325">
        <f t="shared" si="2"/>
        <v>0</v>
      </c>
    </row>
    <row r="41" spans="1:13" x14ac:dyDescent="0.25">
      <c r="A41" s="45"/>
      <c r="B41" s="43"/>
      <c r="C41" s="43"/>
      <c r="D41" s="320"/>
      <c r="E41" s="325">
        <f>SUM(B41:D41)</f>
        <v>0</v>
      </c>
      <c r="F41" s="46" t="s">
        <v>991</v>
      </c>
      <c r="G41" s="43"/>
      <c r="H41" s="43"/>
      <c r="I41" s="320"/>
      <c r="J41" s="325">
        <f t="shared" si="2"/>
        <v>0</v>
      </c>
    </row>
    <row r="42" spans="1:13" x14ac:dyDescent="0.25">
      <c r="A42" s="47"/>
      <c r="B42" s="43"/>
      <c r="C42" s="43"/>
      <c r="D42" s="320"/>
      <c r="E42" s="325"/>
      <c r="F42" s="30" t="s">
        <v>375</v>
      </c>
      <c r="G42" s="43"/>
      <c r="H42" s="43"/>
      <c r="I42" s="320"/>
      <c r="J42" s="325">
        <f t="shared" si="2"/>
        <v>0</v>
      </c>
    </row>
    <row r="43" spans="1:13" ht="27.6" x14ac:dyDescent="0.25">
      <c r="A43" s="47"/>
      <c r="B43" s="43"/>
      <c r="C43" s="43"/>
      <c r="D43" s="320"/>
      <c r="E43" s="325"/>
      <c r="F43" s="30" t="s">
        <v>376</v>
      </c>
      <c r="G43" s="43"/>
      <c r="H43" s="43"/>
      <c r="I43" s="320">
        <v>18803</v>
      </c>
      <c r="J43" s="325">
        <f t="shared" si="2"/>
        <v>18803</v>
      </c>
    </row>
    <row r="44" spans="1:13" ht="27.6" x14ac:dyDescent="0.25">
      <c r="A44" s="42"/>
      <c r="B44" s="43"/>
      <c r="C44" s="202"/>
      <c r="D44" s="321"/>
      <c r="E44" s="326"/>
      <c r="F44" s="285" t="s">
        <v>377</v>
      </c>
      <c r="G44" s="43"/>
      <c r="H44" s="43"/>
      <c r="I44" s="320">
        <v>339496</v>
      </c>
      <c r="J44" s="325">
        <f t="shared" si="2"/>
        <v>339496</v>
      </c>
    </row>
    <row r="45" spans="1:13" ht="27.6" x14ac:dyDescent="0.25">
      <c r="A45" s="48"/>
      <c r="B45" s="43"/>
      <c r="C45" s="43"/>
      <c r="D45" s="320"/>
      <c r="E45" s="325"/>
      <c r="F45" s="30" t="s">
        <v>378</v>
      </c>
      <c r="G45" s="43"/>
      <c r="H45" s="43"/>
      <c r="I45" s="320">
        <v>6600</v>
      </c>
      <c r="J45" s="325">
        <f t="shared" si="2"/>
        <v>6600</v>
      </c>
    </row>
    <row r="46" spans="1:13" x14ac:dyDescent="0.25">
      <c r="A46" s="45"/>
      <c r="B46" s="43"/>
      <c r="C46" s="43"/>
      <c r="D46" s="320"/>
      <c r="E46" s="325"/>
      <c r="F46" s="286" t="s">
        <v>331</v>
      </c>
      <c r="G46" s="43"/>
      <c r="H46" s="43"/>
      <c r="I46" s="320"/>
      <c r="J46" s="1027"/>
    </row>
    <row r="47" spans="1:13" ht="27.6" x14ac:dyDescent="0.25">
      <c r="A47" s="39" t="s">
        <v>252</v>
      </c>
      <c r="B47" s="49">
        <f>SUM(B37:B46)</f>
        <v>55966</v>
      </c>
      <c r="C47" s="49">
        <f>SUM(C37:C46)</f>
        <v>0</v>
      </c>
      <c r="D47" s="103">
        <f>SUM(D37:D46)</f>
        <v>127812</v>
      </c>
      <c r="E47" s="327">
        <f>SUM(E37:E46)</f>
        <v>183778</v>
      </c>
      <c r="F47" s="40" t="s">
        <v>253</v>
      </c>
      <c r="G47" s="49">
        <f>SUM(G37:G46)</f>
        <v>80350</v>
      </c>
      <c r="H47" s="49">
        <f>SUM(H37:H46)</f>
        <v>0</v>
      </c>
      <c r="I47" s="103">
        <f>SUM(I37:I46)</f>
        <v>629434</v>
      </c>
      <c r="J47" s="327">
        <f>SUM(J37:J46)</f>
        <v>709784</v>
      </c>
      <c r="M47" s="203">
        <f>I18+I47</f>
        <v>2116441</v>
      </c>
    </row>
    <row r="48" spans="1:13" x14ac:dyDescent="0.25">
      <c r="A48" s="51" t="s">
        <v>238</v>
      </c>
      <c r="B48" s="43">
        <v>8314</v>
      </c>
      <c r="C48" s="43"/>
      <c r="D48" s="320">
        <f>25539-13500+15210-1066+406+1419+1611+900</f>
        <v>30519</v>
      </c>
      <c r="E48" s="325">
        <f>SUM(B48:D48)</f>
        <v>38833</v>
      </c>
      <c r="F48" s="52" t="s">
        <v>239</v>
      </c>
      <c r="G48" s="43"/>
      <c r="H48" s="43"/>
      <c r="I48" s="320"/>
      <c r="J48" s="1027"/>
    </row>
    <row r="49" spans="1:10" ht="41.4" x14ac:dyDescent="0.25">
      <c r="A49" s="39" t="s">
        <v>254</v>
      </c>
      <c r="B49" s="49">
        <f>B47+B48</f>
        <v>64280</v>
      </c>
      <c r="C49" s="49">
        <f>C47+C48</f>
        <v>0</v>
      </c>
      <c r="D49" s="103">
        <f>D47+D48</f>
        <v>158331</v>
      </c>
      <c r="E49" s="327">
        <f>E47+E48</f>
        <v>222611</v>
      </c>
      <c r="F49" s="40" t="s">
        <v>255</v>
      </c>
      <c r="G49" s="49">
        <f>G47+G48</f>
        <v>80350</v>
      </c>
      <c r="H49" s="49">
        <f>H47+H48</f>
        <v>0</v>
      </c>
      <c r="I49" s="103">
        <f>I47+I48</f>
        <v>629434</v>
      </c>
      <c r="J49" s="327">
        <f>J47+J48</f>
        <v>709784</v>
      </c>
    </row>
    <row r="50" spans="1:10" x14ac:dyDescent="0.25">
      <c r="A50" s="39" t="s">
        <v>242</v>
      </c>
      <c r="B50" s="54"/>
      <c r="C50" s="54"/>
      <c r="D50" s="54"/>
      <c r="E50" s="328"/>
      <c r="F50" s="62" t="s">
        <v>698</v>
      </c>
      <c r="G50" s="1026"/>
      <c r="H50" s="1026"/>
      <c r="I50" s="1026"/>
      <c r="J50" s="1027"/>
    </row>
    <row r="51" spans="1:10" ht="27.6" x14ac:dyDescent="0.25">
      <c r="A51" s="18" t="s">
        <v>193</v>
      </c>
      <c r="B51" s="43">
        <v>91</v>
      </c>
      <c r="C51" s="43"/>
      <c r="D51" s="320">
        <f>50000+200000+928-928+356751+167026+735500</f>
        <v>1509277</v>
      </c>
      <c r="E51" s="325">
        <f>SUM(B51:D51)</f>
        <v>1509368</v>
      </c>
      <c r="F51" s="44" t="s">
        <v>194</v>
      </c>
      <c r="G51" s="43"/>
      <c r="H51" s="43"/>
      <c r="I51" s="320">
        <v>1367893</v>
      </c>
      <c r="J51" s="325">
        <f>SUM(G51:I51)</f>
        <v>1367893</v>
      </c>
    </row>
    <row r="52" spans="1:10" x14ac:dyDescent="0.25">
      <c r="A52" s="15" t="s">
        <v>243</v>
      </c>
      <c r="B52" s="43"/>
      <c r="C52" s="43"/>
      <c r="D52" s="320">
        <v>788369</v>
      </c>
      <c r="E52" s="325">
        <f>SUM(B52:D52)</f>
        <v>788369</v>
      </c>
      <c r="F52" s="46" t="s">
        <v>196</v>
      </c>
      <c r="G52" s="43">
        <v>670</v>
      </c>
      <c r="H52" s="43"/>
      <c r="I52" s="320"/>
      <c r="J52" s="325">
        <f t="shared" ref="J52:J58" si="3">SUM(G52:I52)</f>
        <v>670</v>
      </c>
    </row>
    <row r="53" spans="1:10" ht="27.6" x14ac:dyDescent="0.25">
      <c r="A53" s="15" t="s">
        <v>244</v>
      </c>
      <c r="B53" s="43"/>
      <c r="C53" s="61"/>
      <c r="D53" s="329">
        <v>100873</v>
      </c>
      <c r="E53" s="325">
        <f>SUM(B53:D53)</f>
        <v>100873</v>
      </c>
      <c r="F53" s="46" t="s">
        <v>198</v>
      </c>
      <c r="G53" s="43"/>
      <c r="H53" s="43"/>
      <c r="I53" s="320"/>
      <c r="J53" s="325">
        <f t="shared" si="3"/>
        <v>0</v>
      </c>
    </row>
    <row r="54" spans="1:10" x14ac:dyDescent="0.25">
      <c r="A54" s="63"/>
      <c r="B54" s="43"/>
      <c r="C54" s="43"/>
      <c r="D54" s="320"/>
      <c r="E54" s="325"/>
      <c r="F54" s="46" t="s">
        <v>245</v>
      </c>
      <c r="G54" s="43"/>
      <c r="H54" s="43"/>
      <c r="I54" s="320"/>
      <c r="J54" s="325">
        <f t="shared" si="3"/>
        <v>0</v>
      </c>
    </row>
    <row r="55" spans="1:10" ht="27.6" x14ac:dyDescent="0.25">
      <c r="A55" s="63"/>
      <c r="B55" s="43"/>
      <c r="C55" s="43"/>
      <c r="D55" s="320"/>
      <c r="E55" s="325"/>
      <c r="F55" s="46" t="s">
        <v>246</v>
      </c>
      <c r="G55" s="43"/>
      <c r="H55" s="43"/>
      <c r="I55" s="320">
        <v>345126</v>
      </c>
      <c r="J55" s="325">
        <f t="shared" si="3"/>
        <v>345126</v>
      </c>
    </row>
    <row r="56" spans="1:10" ht="27.6" x14ac:dyDescent="0.25">
      <c r="A56" s="63"/>
      <c r="B56" s="43"/>
      <c r="C56" s="43"/>
      <c r="D56" s="320"/>
      <c r="E56" s="325"/>
      <c r="F56" s="56" t="s">
        <v>247</v>
      </c>
      <c r="G56" s="43"/>
      <c r="H56" s="43"/>
      <c r="I56" s="320">
        <v>1261</v>
      </c>
      <c r="J56" s="325">
        <f t="shared" si="3"/>
        <v>1261</v>
      </c>
    </row>
    <row r="57" spans="1:10" ht="27.6" x14ac:dyDescent="0.25">
      <c r="A57" s="64"/>
      <c r="B57" s="43"/>
      <c r="C57" s="43"/>
      <c r="D57" s="320"/>
      <c r="E57" s="325"/>
      <c r="F57" s="30" t="s">
        <v>474</v>
      </c>
      <c r="G57" s="43"/>
      <c r="H57" s="43"/>
      <c r="I57" s="320">
        <v>0</v>
      </c>
      <c r="J57" s="325">
        <f t="shared" si="3"/>
        <v>0</v>
      </c>
    </row>
    <row r="58" spans="1:10" ht="27.6" x14ac:dyDescent="0.25">
      <c r="A58" s="64"/>
      <c r="B58" s="43"/>
      <c r="C58" s="43"/>
      <c r="D58" s="320"/>
      <c r="E58" s="325"/>
      <c r="F58" s="30" t="s">
        <v>248</v>
      </c>
      <c r="G58" s="43"/>
      <c r="H58" s="43"/>
      <c r="I58" s="320">
        <v>223562</v>
      </c>
      <c r="J58" s="325">
        <f t="shared" si="3"/>
        <v>223562</v>
      </c>
    </row>
    <row r="59" spans="1:10" ht="27.6" x14ac:dyDescent="0.25">
      <c r="A59" s="59" t="s">
        <v>256</v>
      </c>
      <c r="B59" s="49">
        <f>SUM(B51:B57)</f>
        <v>91</v>
      </c>
      <c r="C59" s="49">
        <f>SUM(C51:C57)</f>
        <v>0</v>
      </c>
      <c r="D59" s="103">
        <f>SUM(D51:D57)</f>
        <v>2398519</v>
      </c>
      <c r="E59" s="327">
        <f>SUM(E51:E57)</f>
        <v>2398610</v>
      </c>
      <c r="F59" s="40" t="s">
        <v>257</v>
      </c>
      <c r="G59" s="49">
        <f>SUM(G51:G57)</f>
        <v>670</v>
      </c>
      <c r="H59" s="49">
        <f>SUM(H51:H57)</f>
        <v>0</v>
      </c>
      <c r="I59" s="103">
        <f>SUM(I51:I58)</f>
        <v>1937842</v>
      </c>
      <c r="J59" s="327">
        <f>SUM(J51:J58)</f>
        <v>1938512</v>
      </c>
    </row>
    <row r="60" spans="1:10" x14ac:dyDescent="0.25">
      <c r="A60" s="65" t="s">
        <v>238</v>
      </c>
      <c r="B60" s="43">
        <v>74</v>
      </c>
      <c r="C60" s="43"/>
      <c r="D60" s="320">
        <f>100474+9164+76200</f>
        <v>185838</v>
      </c>
      <c r="E60" s="325">
        <f>SUM(B60:D60)</f>
        <v>185912</v>
      </c>
      <c r="F60" s="52" t="s">
        <v>239</v>
      </c>
      <c r="G60" s="43"/>
      <c r="H60" s="43"/>
      <c r="I60" s="320"/>
      <c r="J60" s="1027"/>
    </row>
    <row r="61" spans="1:10" x14ac:dyDescent="0.25">
      <c r="A61" s="65"/>
      <c r="B61" s="43"/>
      <c r="C61" s="43"/>
      <c r="D61" s="320"/>
      <c r="E61" s="325"/>
      <c r="F61" s="46"/>
      <c r="G61" s="43"/>
      <c r="H61" s="43"/>
      <c r="I61" s="320"/>
      <c r="J61" s="1027"/>
    </row>
    <row r="62" spans="1:10" ht="41.4" x14ac:dyDescent="0.25">
      <c r="A62" s="66" t="s">
        <v>258</v>
      </c>
      <c r="B62" s="49">
        <f>B59+B60</f>
        <v>165</v>
      </c>
      <c r="C62" s="49">
        <f>C59+C60</f>
        <v>0</v>
      </c>
      <c r="D62" s="103">
        <f>D59+D60</f>
        <v>2584357</v>
      </c>
      <c r="E62" s="327">
        <f>E59+E60</f>
        <v>2584522</v>
      </c>
      <c r="F62" s="58" t="s">
        <v>259</v>
      </c>
      <c r="G62" s="49">
        <f>G59+G60</f>
        <v>670</v>
      </c>
      <c r="H62" s="49">
        <f>H59+H60</f>
        <v>0</v>
      </c>
      <c r="I62" s="103">
        <f>I59+I60</f>
        <v>1937842</v>
      </c>
      <c r="J62" s="327">
        <f>J59+J60</f>
        <v>1938512</v>
      </c>
    </row>
    <row r="63" spans="1:10" x14ac:dyDescent="0.25">
      <c r="A63" s="67"/>
      <c r="B63" s="215">
        <f>B62+B49</f>
        <v>64445</v>
      </c>
      <c r="C63" s="215">
        <f>C62+C49</f>
        <v>0</v>
      </c>
      <c r="D63" s="215">
        <f>D62+D49</f>
        <v>2742688</v>
      </c>
      <c r="E63" s="215">
        <f>E62+E49</f>
        <v>2807133</v>
      </c>
      <c r="F63" s="68"/>
      <c r="G63" s="1028">
        <f>G62+G49</f>
        <v>81020</v>
      </c>
      <c r="H63" s="1028">
        <f>H62+H49</f>
        <v>0</v>
      </c>
      <c r="I63" s="1028">
        <f>I62+I49</f>
        <v>2567276</v>
      </c>
      <c r="J63" s="1028">
        <f>J62+J49</f>
        <v>2648296</v>
      </c>
    </row>
    <row r="64" spans="1:10" ht="15.75" customHeight="1" x14ac:dyDescent="0.3">
      <c r="A64" s="1662" t="s">
        <v>449</v>
      </c>
      <c r="B64" s="1662"/>
      <c r="C64" s="1662"/>
      <c r="D64" s="1662"/>
      <c r="E64" s="1662"/>
      <c r="F64" s="1662"/>
      <c r="G64" s="1662"/>
    </row>
    <row r="66" spans="1:10" s="197" customFormat="1" ht="27.6" x14ac:dyDescent="0.25">
      <c r="A66" s="59" t="s">
        <v>169</v>
      </c>
      <c r="B66" s="212" t="s">
        <v>697</v>
      </c>
      <c r="C66" s="312" t="s">
        <v>950</v>
      </c>
      <c r="D66" s="317" t="s">
        <v>695</v>
      </c>
      <c r="E66" s="322" t="s">
        <v>386</v>
      </c>
      <c r="F66" s="60" t="s">
        <v>170</v>
      </c>
      <c r="G66" s="1021" t="s">
        <v>697</v>
      </c>
      <c r="H66" s="1022" t="s">
        <v>950</v>
      </c>
      <c r="I66" s="1023" t="s">
        <v>695</v>
      </c>
      <c r="J66" s="1024" t="s">
        <v>386</v>
      </c>
    </row>
    <row r="67" spans="1:10" x14ac:dyDescent="0.25">
      <c r="A67" s="69" t="s">
        <v>234</v>
      </c>
      <c r="B67" s="200"/>
      <c r="C67" s="200"/>
      <c r="D67" s="318"/>
      <c r="E67" s="323"/>
      <c r="F67" s="60" t="s">
        <v>694</v>
      </c>
      <c r="G67" s="1029"/>
      <c r="H67" s="1029"/>
      <c r="I67" s="1030"/>
      <c r="J67" s="1027"/>
    </row>
    <row r="68" spans="1:10" ht="27.6" x14ac:dyDescent="0.25">
      <c r="A68" s="70" t="s">
        <v>235</v>
      </c>
      <c r="B68" s="43"/>
      <c r="C68" s="43">
        <f>17099*0.3365+182890*0.2698+1703*0.3365</f>
        <v>55670.595000000001</v>
      </c>
      <c r="D68" s="320"/>
      <c r="E68" s="325">
        <f>SUM(B68:D68)</f>
        <v>55670.595000000001</v>
      </c>
      <c r="F68" s="44" t="s">
        <v>995</v>
      </c>
      <c r="G68" s="43"/>
      <c r="H68" s="43">
        <v>61313</v>
      </c>
      <c r="I68" s="320"/>
      <c r="J68" s="325">
        <f t="shared" ref="J68:J74" si="4">SUM(G68:I68)</f>
        <v>61313</v>
      </c>
    </row>
    <row r="69" spans="1:10" x14ac:dyDescent="0.25">
      <c r="A69" s="63" t="s">
        <v>172</v>
      </c>
      <c r="B69" s="43"/>
      <c r="C69" s="43">
        <v>500</v>
      </c>
      <c r="D69" s="320"/>
      <c r="E69" s="325">
        <f>SUM(B69:D69)</f>
        <v>500</v>
      </c>
      <c r="F69" s="331" t="s">
        <v>981</v>
      </c>
      <c r="G69" s="43"/>
      <c r="H69" s="43">
        <v>17874</v>
      </c>
      <c r="I69" s="320"/>
      <c r="J69" s="325">
        <f t="shared" si="4"/>
        <v>17874</v>
      </c>
    </row>
    <row r="70" spans="1:10" x14ac:dyDescent="0.25">
      <c r="A70" s="47" t="s">
        <v>174</v>
      </c>
      <c r="B70" s="43">
        <v>0</v>
      </c>
      <c r="C70" s="43"/>
      <c r="D70" s="320"/>
      <c r="E70" s="325">
        <f>SUM(B70:D70)</f>
        <v>0</v>
      </c>
      <c r="F70" s="331" t="s">
        <v>177</v>
      </c>
      <c r="G70" s="43"/>
      <c r="H70" s="43">
        <v>17560</v>
      </c>
      <c r="I70" s="320"/>
      <c r="J70" s="325">
        <f t="shared" si="4"/>
        <v>17560</v>
      </c>
    </row>
    <row r="71" spans="1:10" ht="27.6" x14ac:dyDescent="0.25">
      <c r="A71" s="18" t="s">
        <v>178</v>
      </c>
      <c r="B71" s="43"/>
      <c r="C71" s="43"/>
      <c r="D71" s="320"/>
      <c r="E71" s="325"/>
      <c r="F71" s="332" t="s">
        <v>1017</v>
      </c>
      <c r="G71" s="43"/>
      <c r="H71" s="43"/>
      <c r="I71" s="320"/>
      <c r="J71" s="325">
        <f t="shared" si="4"/>
        <v>0</v>
      </c>
    </row>
    <row r="72" spans="1:10" x14ac:dyDescent="0.25">
      <c r="A72" s="63"/>
      <c r="B72" s="43"/>
      <c r="C72" s="43"/>
      <c r="D72" s="320"/>
      <c r="E72" s="325"/>
      <c r="F72" s="331" t="s">
        <v>991</v>
      </c>
      <c r="G72" s="43"/>
      <c r="H72" s="43"/>
      <c r="I72" s="320"/>
      <c r="J72" s="325">
        <f t="shared" si="4"/>
        <v>0</v>
      </c>
    </row>
    <row r="73" spans="1:10" x14ac:dyDescent="0.25">
      <c r="A73" s="71"/>
      <c r="B73" s="43"/>
      <c r="C73" s="43"/>
      <c r="D73" s="320"/>
      <c r="E73" s="325"/>
      <c r="F73" s="30" t="s">
        <v>375</v>
      </c>
      <c r="G73" s="43"/>
      <c r="H73" s="43"/>
      <c r="I73" s="320"/>
      <c r="J73" s="325">
        <f t="shared" si="4"/>
        <v>0</v>
      </c>
    </row>
    <row r="74" spans="1:10" ht="27.6" x14ac:dyDescent="0.25">
      <c r="A74" s="71"/>
      <c r="B74" s="43"/>
      <c r="C74" s="43"/>
      <c r="D74" s="320"/>
      <c r="E74" s="325"/>
      <c r="F74" s="30" t="s">
        <v>376</v>
      </c>
      <c r="G74" s="43"/>
      <c r="H74" s="43">
        <v>349</v>
      </c>
      <c r="I74" s="320"/>
      <c r="J74" s="325">
        <f t="shared" si="4"/>
        <v>349</v>
      </c>
    </row>
    <row r="75" spans="1:10" ht="27.6" x14ac:dyDescent="0.25">
      <c r="A75" s="70"/>
      <c r="B75" s="43"/>
      <c r="C75" s="202"/>
      <c r="D75" s="321"/>
      <c r="E75" s="326"/>
      <c r="F75" s="285" t="s">
        <v>377</v>
      </c>
      <c r="G75" s="43"/>
      <c r="H75" s="43"/>
      <c r="I75" s="320"/>
      <c r="J75" s="1027"/>
    </row>
    <row r="76" spans="1:10" ht="27.6" x14ac:dyDescent="0.25">
      <c r="A76" s="18"/>
      <c r="B76" s="43"/>
      <c r="C76" s="43"/>
      <c r="D76" s="320"/>
      <c r="E76" s="325"/>
      <c r="F76" s="30" t="s">
        <v>378</v>
      </c>
      <c r="G76" s="43"/>
      <c r="H76" s="43"/>
      <c r="I76" s="320"/>
      <c r="J76" s="1027"/>
    </row>
    <row r="77" spans="1:10" x14ac:dyDescent="0.25">
      <c r="A77" s="72"/>
      <c r="B77" s="43"/>
      <c r="C77" s="43"/>
      <c r="D77" s="320"/>
      <c r="E77" s="325"/>
      <c r="F77" s="286" t="s">
        <v>331</v>
      </c>
      <c r="G77" s="43"/>
      <c r="H77" s="43"/>
      <c r="I77" s="320"/>
      <c r="J77" s="1027"/>
    </row>
    <row r="78" spans="1:10" ht="41.4" x14ac:dyDescent="0.25">
      <c r="A78" s="59" t="s">
        <v>260</v>
      </c>
      <c r="B78" s="49">
        <f>SUM(B68:B77)</f>
        <v>0</v>
      </c>
      <c r="C78" s="49">
        <f>SUM(C68:C77)</f>
        <v>56170.595000000001</v>
      </c>
      <c r="D78" s="103">
        <f>SUM(D68:D77)</f>
        <v>0</v>
      </c>
      <c r="E78" s="327">
        <f>SUM(E68:E77)</f>
        <v>56170.595000000001</v>
      </c>
      <c r="F78" s="60" t="s">
        <v>261</v>
      </c>
      <c r="G78" s="49">
        <f>SUM(G68:G77)</f>
        <v>0</v>
      </c>
      <c r="H78" s="49">
        <f>SUM(H68:H77)</f>
        <v>97096</v>
      </c>
      <c r="I78" s="103">
        <f>SUM(I68:I77)</f>
        <v>0</v>
      </c>
      <c r="J78" s="327">
        <f>SUM(J68:J77)</f>
        <v>97096</v>
      </c>
    </row>
    <row r="79" spans="1:10" x14ac:dyDescent="0.25">
      <c r="A79" s="65" t="s">
        <v>238</v>
      </c>
      <c r="B79" s="43"/>
      <c r="C79" s="43">
        <f>(20305-26-1776)*0.2698+1776*0.3365</f>
        <v>5589.7333999999992</v>
      </c>
      <c r="D79" s="320"/>
      <c r="E79" s="325">
        <f>SUM(B79:D79)</f>
        <v>5589.7333999999992</v>
      </c>
      <c r="F79" s="333" t="s">
        <v>239</v>
      </c>
      <c r="G79" s="43"/>
      <c r="H79" s="43"/>
      <c r="I79" s="320"/>
      <c r="J79" s="1027"/>
    </row>
    <row r="80" spans="1:10" ht="41.4" x14ac:dyDescent="0.25">
      <c r="A80" s="59" t="s">
        <v>262</v>
      </c>
      <c r="B80" s="49">
        <f>B78+B79</f>
        <v>0</v>
      </c>
      <c r="C80" s="49">
        <f>C78+C79</f>
        <v>61760.328399999999</v>
      </c>
      <c r="D80" s="103">
        <f>D78+D79</f>
        <v>0</v>
      </c>
      <c r="E80" s="327">
        <f>E78+E79</f>
        <v>61760.328399999999</v>
      </c>
      <c r="F80" s="60" t="s">
        <v>263</v>
      </c>
      <c r="G80" s="49">
        <f>G78+G79</f>
        <v>0</v>
      </c>
      <c r="H80" s="49">
        <f>H78+H79</f>
        <v>97096</v>
      </c>
      <c r="I80" s="103">
        <f>I78+I79</f>
        <v>0</v>
      </c>
      <c r="J80" s="327">
        <f>J78+J79</f>
        <v>97096</v>
      </c>
    </row>
    <row r="81" spans="1:10" x14ac:dyDescent="0.25">
      <c r="A81" s="39" t="s">
        <v>242</v>
      </c>
      <c r="B81" s="54"/>
      <c r="C81" s="54"/>
      <c r="D81" s="54"/>
      <c r="E81" s="328"/>
      <c r="F81" s="62" t="s">
        <v>698</v>
      </c>
      <c r="G81" s="1026"/>
      <c r="H81" s="1026"/>
      <c r="I81" s="1026"/>
      <c r="J81" s="1027"/>
    </row>
    <row r="82" spans="1:10" ht="27.6" x14ac:dyDescent="0.25">
      <c r="A82" s="18" t="s">
        <v>193</v>
      </c>
      <c r="B82" s="49"/>
      <c r="C82" s="49"/>
      <c r="D82" s="103"/>
      <c r="E82" s="327"/>
      <c r="F82" s="44" t="s">
        <v>194</v>
      </c>
      <c r="G82" s="43"/>
      <c r="H82" s="43"/>
      <c r="I82" s="320"/>
      <c r="J82" s="325">
        <f t="shared" ref="J82:J87" si="5">SUM(G82:I82)</f>
        <v>0</v>
      </c>
    </row>
    <row r="83" spans="1:10" x14ac:dyDescent="0.25">
      <c r="A83" s="15" t="s">
        <v>243</v>
      </c>
      <c r="B83" s="43"/>
      <c r="C83" s="43"/>
      <c r="D83" s="320"/>
      <c r="E83" s="325"/>
      <c r="F83" s="46" t="s">
        <v>196</v>
      </c>
      <c r="G83" s="43"/>
      <c r="H83" s="43">
        <v>778</v>
      </c>
      <c r="I83" s="320"/>
      <c r="J83" s="325">
        <f t="shared" si="5"/>
        <v>778</v>
      </c>
    </row>
    <row r="84" spans="1:10" ht="27.6" x14ac:dyDescent="0.25">
      <c r="A84" s="15" t="s">
        <v>244</v>
      </c>
      <c r="B84" s="73"/>
      <c r="C84" s="73"/>
      <c r="D84" s="330"/>
      <c r="E84" s="334"/>
      <c r="F84" s="46" t="s">
        <v>198</v>
      </c>
      <c r="G84" s="43"/>
      <c r="H84" s="43"/>
      <c r="I84" s="320"/>
      <c r="J84" s="325">
        <f t="shared" si="5"/>
        <v>0</v>
      </c>
    </row>
    <row r="85" spans="1:10" x14ac:dyDescent="0.25">
      <c r="A85" s="45"/>
      <c r="B85" s="43"/>
      <c r="C85" s="43"/>
      <c r="D85" s="320"/>
      <c r="E85" s="325"/>
      <c r="F85" s="46" t="s">
        <v>245</v>
      </c>
      <c r="G85" s="43"/>
      <c r="H85" s="43"/>
      <c r="I85" s="320"/>
      <c r="J85" s="325">
        <f t="shared" si="5"/>
        <v>0</v>
      </c>
    </row>
    <row r="86" spans="1:10" ht="27.6" x14ac:dyDescent="0.25">
      <c r="A86" s="59" t="s">
        <v>256</v>
      </c>
      <c r="B86" s="49">
        <f>SUM(B82:B84)</f>
        <v>0</v>
      </c>
      <c r="C86" s="49">
        <f>SUM(C82:C84)</f>
        <v>0</v>
      </c>
      <c r="D86" s="103">
        <f>SUM(D82:D84)</f>
        <v>0</v>
      </c>
      <c r="E86" s="327">
        <f>SUM(E82:E84)</f>
        <v>0</v>
      </c>
      <c r="F86" s="46" t="s">
        <v>246</v>
      </c>
      <c r="G86" s="43"/>
      <c r="H86" s="43"/>
      <c r="I86" s="320"/>
      <c r="J86" s="325">
        <f t="shared" si="5"/>
        <v>0</v>
      </c>
    </row>
    <row r="87" spans="1:10" ht="27.6" x14ac:dyDescent="0.25">
      <c r="A87" s="65" t="s">
        <v>238</v>
      </c>
      <c r="B87" s="43"/>
      <c r="C87" s="43">
        <f>26*0.2698</f>
        <v>7.0147999999999993</v>
      </c>
      <c r="D87" s="320"/>
      <c r="E87" s="325">
        <f>SUM(B87:D87)</f>
        <v>7.0147999999999993</v>
      </c>
      <c r="F87" s="56" t="s">
        <v>247</v>
      </c>
      <c r="G87" s="43"/>
      <c r="H87" s="43"/>
      <c r="I87" s="320"/>
      <c r="J87" s="325">
        <f t="shared" si="5"/>
        <v>0</v>
      </c>
    </row>
    <row r="88" spans="1:10" ht="27.6" x14ac:dyDescent="0.25">
      <c r="A88" s="57"/>
      <c r="B88" s="43"/>
      <c r="C88" s="43"/>
      <c r="D88" s="320"/>
      <c r="E88" s="325"/>
      <c r="F88" s="30" t="s">
        <v>202</v>
      </c>
      <c r="G88" s="43"/>
      <c r="H88" s="43"/>
      <c r="I88" s="320"/>
      <c r="J88" s="1027"/>
    </row>
    <row r="89" spans="1:10" ht="41.4" x14ac:dyDescent="0.25">
      <c r="A89" s="53" t="s">
        <v>264</v>
      </c>
      <c r="B89" s="49">
        <f>SUM(B82:B88)</f>
        <v>0</v>
      </c>
      <c r="C89" s="103">
        <f>SUM(C82:C88)</f>
        <v>7.0147999999999993</v>
      </c>
      <c r="D89" s="103">
        <f>SUM(D82:D88)</f>
        <v>0</v>
      </c>
      <c r="E89" s="327">
        <f>SUM(E82:E88)</f>
        <v>7.0147999999999993</v>
      </c>
      <c r="F89" s="58" t="s">
        <v>265</v>
      </c>
      <c r="G89" s="49">
        <f>SUM(G82:G88)</f>
        <v>0</v>
      </c>
      <c r="H89" s="103">
        <f>SUM(H82:H88)</f>
        <v>778</v>
      </c>
      <c r="I89" s="103">
        <f>SUM(I82:I88)</f>
        <v>0</v>
      </c>
      <c r="J89" s="327">
        <f>SUM(J82:J88)</f>
        <v>778</v>
      </c>
    </row>
    <row r="90" spans="1:10" x14ac:dyDescent="0.25">
      <c r="B90" s="203">
        <f>B89+B80+B62+B49+B31+B20</f>
        <v>332074</v>
      </c>
      <c r="C90" s="203">
        <f>C89+C80+C62+C49+C31+C20</f>
        <v>245578</v>
      </c>
      <c r="D90" s="203">
        <f>D89+D80+D62+D49+D31+D20</f>
        <v>7261484</v>
      </c>
      <c r="E90" s="203">
        <f>E89+E80+E62+E49+E31+E20</f>
        <v>7839136</v>
      </c>
      <c r="G90" s="1028">
        <f>G89+G80+G62+G49+G31+G20</f>
        <v>485868</v>
      </c>
      <c r="H90" s="1028">
        <f>H89+H80+H62+H49+H31+H20</f>
        <v>373238</v>
      </c>
      <c r="I90" s="1028">
        <f>I89+I80+I62+I49+I31+I20</f>
        <v>6980030</v>
      </c>
      <c r="J90" s="1028">
        <f>SUM(G90:I90)</f>
        <v>7839136</v>
      </c>
    </row>
    <row r="91" spans="1:10" x14ac:dyDescent="0.25">
      <c r="A91" s="483" t="s">
        <v>476</v>
      </c>
      <c r="B91" s="203">
        <f>B90-G90</f>
        <v>-153794</v>
      </c>
      <c r="C91" s="203">
        <f>C90-H90</f>
        <v>-127660</v>
      </c>
      <c r="D91" s="203">
        <f>D90-I90</f>
        <v>281454</v>
      </c>
      <c r="E91" s="203">
        <f>J90-E90</f>
        <v>0</v>
      </c>
      <c r="J91" s="1028"/>
    </row>
  </sheetData>
  <sheetProtection selectLockedCells="1" selectUnlockedCells="1"/>
  <mergeCells count="3">
    <mergeCell ref="A4:G4"/>
    <mergeCell ref="A33:G33"/>
    <mergeCell ref="A64:G64"/>
  </mergeCells>
  <phoneticPr fontId="28" type="noConversion"/>
  <pageMargins left="0.75" right="0.75" top="1" bottom="1" header="0.5" footer="0.51180555555555551"/>
  <pageSetup paperSize="9" scale="64" firstPageNumber="0" orientation="landscape" r:id="rId1"/>
  <headerFooter alignWithMargins="0">
    <oddHeader>&amp;C9. melléklet
az önkormányzat 2016. évi költségvetéséről szóló 8/2016. (II.26.) önkormányzati rendelet
módosításáról szóló 7/2017.(II.24.) önkormányzati rendelethez&amp;R
&amp;P. oldal
ezer forint</oddHeader>
  </headerFooter>
  <rowBreaks count="2" manualBreakCount="2">
    <brk id="32" max="9" man="1"/>
    <brk id="63"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N87"/>
  <sheetViews>
    <sheetView view="pageLayout" topLeftCell="B1" zoomScaleNormal="100" workbookViewId="0">
      <selection activeCell="A3" sqref="A3:L3"/>
    </sheetView>
  </sheetViews>
  <sheetFormatPr defaultRowHeight="13.2" x14ac:dyDescent="0.25"/>
  <cols>
    <col min="1" max="1" width="10" style="204" customWidth="1"/>
    <col min="2" max="2" width="29" style="204" customWidth="1"/>
    <col min="3" max="3" width="12" style="204" customWidth="1"/>
    <col min="4" max="4" width="12.88671875" style="204" customWidth="1"/>
    <col min="5" max="5" width="11.88671875" style="204" customWidth="1"/>
    <col min="6" max="7" width="11.5546875" style="204" customWidth="1"/>
    <col min="8" max="8" width="11.33203125" style="204" customWidth="1"/>
    <col min="9" max="9" width="11" style="204" customWidth="1"/>
    <col min="10" max="10" width="10.5546875" style="204" customWidth="1"/>
    <col min="11" max="12" width="13.6640625" style="204" customWidth="1"/>
    <col min="257" max="257" width="10" customWidth="1"/>
    <col min="258" max="258" width="29" customWidth="1"/>
    <col min="259" max="259" width="12" customWidth="1"/>
    <col min="260" max="260" width="12.88671875" customWidth="1"/>
    <col min="261" max="261" width="11.88671875" customWidth="1"/>
    <col min="262" max="263" width="11.5546875" customWidth="1"/>
    <col min="264" max="264" width="11.33203125" customWidth="1"/>
    <col min="265" max="265" width="11" customWidth="1"/>
    <col min="266" max="266" width="10.5546875" customWidth="1"/>
    <col min="267" max="268" width="13.6640625" customWidth="1"/>
    <col min="513" max="513" width="10" customWidth="1"/>
    <col min="514" max="514" width="29" customWidth="1"/>
    <col min="515" max="515" width="12" customWidth="1"/>
    <col min="516" max="516" width="12.88671875" customWidth="1"/>
    <col min="517" max="517" width="11.88671875" customWidth="1"/>
    <col min="518" max="519" width="11.5546875" customWidth="1"/>
    <col min="520" max="520" width="11.33203125" customWidth="1"/>
    <col min="521" max="521" width="11" customWidth="1"/>
    <col min="522" max="522" width="10.5546875" customWidth="1"/>
    <col min="523" max="524" width="13.6640625" customWidth="1"/>
    <col min="769" max="769" width="10" customWidth="1"/>
    <col min="770" max="770" width="29" customWidth="1"/>
    <col min="771" max="771" width="12" customWidth="1"/>
    <col min="772" max="772" width="12.88671875" customWidth="1"/>
    <col min="773" max="773" width="11.88671875" customWidth="1"/>
    <col min="774" max="775" width="11.5546875" customWidth="1"/>
    <col min="776" max="776" width="11.33203125" customWidth="1"/>
    <col min="777" max="777" width="11" customWidth="1"/>
    <col min="778" max="778" width="10.5546875" customWidth="1"/>
    <col min="779" max="780" width="13.6640625" customWidth="1"/>
    <col min="1025" max="1025" width="10" customWidth="1"/>
    <col min="1026" max="1026" width="29" customWidth="1"/>
    <col min="1027" max="1027" width="12" customWidth="1"/>
    <col min="1028" max="1028" width="12.88671875" customWidth="1"/>
    <col min="1029" max="1029" width="11.88671875" customWidth="1"/>
    <col min="1030" max="1031" width="11.5546875" customWidth="1"/>
    <col min="1032" max="1032" width="11.33203125" customWidth="1"/>
    <col min="1033" max="1033" width="11" customWidth="1"/>
    <col min="1034" max="1034" width="10.5546875" customWidth="1"/>
    <col min="1035" max="1036" width="13.6640625" customWidth="1"/>
    <col min="1281" max="1281" width="10" customWidth="1"/>
    <col min="1282" max="1282" width="29" customWidth="1"/>
    <col min="1283" max="1283" width="12" customWidth="1"/>
    <col min="1284" max="1284" width="12.88671875" customWidth="1"/>
    <col min="1285" max="1285" width="11.88671875" customWidth="1"/>
    <col min="1286" max="1287" width="11.5546875" customWidth="1"/>
    <col min="1288" max="1288" width="11.33203125" customWidth="1"/>
    <col min="1289" max="1289" width="11" customWidth="1"/>
    <col min="1290" max="1290" width="10.5546875" customWidth="1"/>
    <col min="1291" max="1292" width="13.6640625" customWidth="1"/>
    <col min="1537" max="1537" width="10" customWidth="1"/>
    <col min="1538" max="1538" width="29" customWidth="1"/>
    <col min="1539" max="1539" width="12" customWidth="1"/>
    <col min="1540" max="1540" width="12.88671875" customWidth="1"/>
    <col min="1541" max="1541" width="11.88671875" customWidth="1"/>
    <col min="1542" max="1543" width="11.5546875" customWidth="1"/>
    <col min="1544" max="1544" width="11.33203125" customWidth="1"/>
    <col min="1545" max="1545" width="11" customWidth="1"/>
    <col min="1546" max="1546" width="10.5546875" customWidth="1"/>
    <col min="1547" max="1548" width="13.6640625" customWidth="1"/>
    <col min="1793" max="1793" width="10" customWidth="1"/>
    <col min="1794" max="1794" width="29" customWidth="1"/>
    <col min="1795" max="1795" width="12" customWidth="1"/>
    <col min="1796" max="1796" width="12.88671875" customWidth="1"/>
    <col min="1797" max="1797" width="11.88671875" customWidth="1"/>
    <col min="1798" max="1799" width="11.5546875" customWidth="1"/>
    <col min="1800" max="1800" width="11.33203125" customWidth="1"/>
    <col min="1801" max="1801" width="11" customWidth="1"/>
    <col min="1802" max="1802" width="10.5546875" customWidth="1"/>
    <col min="1803" max="1804" width="13.6640625" customWidth="1"/>
    <col min="2049" max="2049" width="10" customWidth="1"/>
    <col min="2050" max="2050" width="29" customWidth="1"/>
    <col min="2051" max="2051" width="12" customWidth="1"/>
    <col min="2052" max="2052" width="12.88671875" customWidth="1"/>
    <col min="2053" max="2053" width="11.88671875" customWidth="1"/>
    <col min="2054" max="2055" width="11.5546875" customWidth="1"/>
    <col min="2056" max="2056" width="11.33203125" customWidth="1"/>
    <col min="2057" max="2057" width="11" customWidth="1"/>
    <col min="2058" max="2058" width="10.5546875" customWidth="1"/>
    <col min="2059" max="2060" width="13.6640625" customWidth="1"/>
    <col min="2305" max="2305" width="10" customWidth="1"/>
    <col min="2306" max="2306" width="29" customWidth="1"/>
    <col min="2307" max="2307" width="12" customWidth="1"/>
    <col min="2308" max="2308" width="12.88671875" customWidth="1"/>
    <col min="2309" max="2309" width="11.88671875" customWidth="1"/>
    <col min="2310" max="2311" width="11.5546875" customWidth="1"/>
    <col min="2312" max="2312" width="11.33203125" customWidth="1"/>
    <col min="2313" max="2313" width="11" customWidth="1"/>
    <col min="2314" max="2314" width="10.5546875" customWidth="1"/>
    <col min="2315" max="2316" width="13.6640625" customWidth="1"/>
    <col min="2561" max="2561" width="10" customWidth="1"/>
    <col min="2562" max="2562" width="29" customWidth="1"/>
    <col min="2563" max="2563" width="12" customWidth="1"/>
    <col min="2564" max="2564" width="12.88671875" customWidth="1"/>
    <col min="2565" max="2565" width="11.88671875" customWidth="1"/>
    <col min="2566" max="2567" width="11.5546875" customWidth="1"/>
    <col min="2568" max="2568" width="11.33203125" customWidth="1"/>
    <col min="2569" max="2569" width="11" customWidth="1"/>
    <col min="2570" max="2570" width="10.5546875" customWidth="1"/>
    <col min="2571" max="2572" width="13.6640625" customWidth="1"/>
    <col min="2817" max="2817" width="10" customWidth="1"/>
    <col min="2818" max="2818" width="29" customWidth="1"/>
    <col min="2819" max="2819" width="12" customWidth="1"/>
    <col min="2820" max="2820" width="12.88671875" customWidth="1"/>
    <col min="2821" max="2821" width="11.88671875" customWidth="1"/>
    <col min="2822" max="2823" width="11.5546875" customWidth="1"/>
    <col min="2824" max="2824" width="11.33203125" customWidth="1"/>
    <col min="2825" max="2825" width="11" customWidth="1"/>
    <col min="2826" max="2826" width="10.5546875" customWidth="1"/>
    <col min="2827" max="2828" width="13.6640625" customWidth="1"/>
    <col min="3073" max="3073" width="10" customWidth="1"/>
    <col min="3074" max="3074" width="29" customWidth="1"/>
    <col min="3075" max="3075" width="12" customWidth="1"/>
    <col min="3076" max="3076" width="12.88671875" customWidth="1"/>
    <col min="3077" max="3077" width="11.88671875" customWidth="1"/>
    <col min="3078" max="3079" width="11.5546875" customWidth="1"/>
    <col min="3080" max="3080" width="11.33203125" customWidth="1"/>
    <col min="3081" max="3081" width="11" customWidth="1"/>
    <col min="3082" max="3082" width="10.5546875" customWidth="1"/>
    <col min="3083" max="3084" width="13.6640625" customWidth="1"/>
    <col min="3329" max="3329" width="10" customWidth="1"/>
    <col min="3330" max="3330" width="29" customWidth="1"/>
    <col min="3331" max="3331" width="12" customWidth="1"/>
    <col min="3332" max="3332" width="12.88671875" customWidth="1"/>
    <col min="3333" max="3333" width="11.88671875" customWidth="1"/>
    <col min="3334" max="3335" width="11.5546875" customWidth="1"/>
    <col min="3336" max="3336" width="11.33203125" customWidth="1"/>
    <col min="3337" max="3337" width="11" customWidth="1"/>
    <col min="3338" max="3338" width="10.5546875" customWidth="1"/>
    <col min="3339" max="3340" width="13.6640625" customWidth="1"/>
    <col min="3585" max="3585" width="10" customWidth="1"/>
    <col min="3586" max="3586" width="29" customWidth="1"/>
    <col min="3587" max="3587" width="12" customWidth="1"/>
    <col min="3588" max="3588" width="12.88671875" customWidth="1"/>
    <col min="3589" max="3589" width="11.88671875" customWidth="1"/>
    <col min="3590" max="3591" width="11.5546875" customWidth="1"/>
    <col min="3592" max="3592" width="11.33203125" customWidth="1"/>
    <col min="3593" max="3593" width="11" customWidth="1"/>
    <col min="3594" max="3594" width="10.5546875" customWidth="1"/>
    <col min="3595" max="3596" width="13.6640625" customWidth="1"/>
    <col min="3841" max="3841" width="10" customWidth="1"/>
    <col min="3842" max="3842" width="29" customWidth="1"/>
    <col min="3843" max="3843" width="12" customWidth="1"/>
    <col min="3844" max="3844" width="12.88671875" customWidth="1"/>
    <col min="3845" max="3845" width="11.88671875" customWidth="1"/>
    <col min="3846" max="3847" width="11.5546875" customWidth="1"/>
    <col min="3848" max="3848" width="11.33203125" customWidth="1"/>
    <col min="3849" max="3849" width="11" customWidth="1"/>
    <col min="3850" max="3850" width="10.5546875" customWidth="1"/>
    <col min="3851" max="3852" width="13.6640625" customWidth="1"/>
    <col min="4097" max="4097" width="10" customWidth="1"/>
    <col min="4098" max="4098" width="29" customWidth="1"/>
    <col min="4099" max="4099" width="12" customWidth="1"/>
    <col min="4100" max="4100" width="12.88671875" customWidth="1"/>
    <col min="4101" max="4101" width="11.88671875" customWidth="1"/>
    <col min="4102" max="4103" width="11.5546875" customWidth="1"/>
    <col min="4104" max="4104" width="11.33203125" customWidth="1"/>
    <col min="4105" max="4105" width="11" customWidth="1"/>
    <col min="4106" max="4106" width="10.5546875" customWidth="1"/>
    <col min="4107" max="4108" width="13.6640625" customWidth="1"/>
    <col min="4353" max="4353" width="10" customWidth="1"/>
    <col min="4354" max="4354" width="29" customWidth="1"/>
    <col min="4355" max="4355" width="12" customWidth="1"/>
    <col min="4356" max="4356" width="12.88671875" customWidth="1"/>
    <col min="4357" max="4357" width="11.88671875" customWidth="1"/>
    <col min="4358" max="4359" width="11.5546875" customWidth="1"/>
    <col min="4360" max="4360" width="11.33203125" customWidth="1"/>
    <col min="4361" max="4361" width="11" customWidth="1"/>
    <col min="4362" max="4362" width="10.5546875" customWidth="1"/>
    <col min="4363" max="4364" width="13.6640625" customWidth="1"/>
    <col min="4609" max="4609" width="10" customWidth="1"/>
    <col min="4610" max="4610" width="29" customWidth="1"/>
    <col min="4611" max="4611" width="12" customWidth="1"/>
    <col min="4612" max="4612" width="12.88671875" customWidth="1"/>
    <col min="4613" max="4613" width="11.88671875" customWidth="1"/>
    <col min="4614" max="4615" width="11.5546875" customWidth="1"/>
    <col min="4616" max="4616" width="11.33203125" customWidth="1"/>
    <col min="4617" max="4617" width="11" customWidth="1"/>
    <col min="4618" max="4618" width="10.5546875" customWidth="1"/>
    <col min="4619" max="4620" width="13.6640625" customWidth="1"/>
    <col min="4865" max="4865" width="10" customWidth="1"/>
    <col min="4866" max="4866" width="29" customWidth="1"/>
    <col min="4867" max="4867" width="12" customWidth="1"/>
    <col min="4868" max="4868" width="12.88671875" customWidth="1"/>
    <col min="4869" max="4869" width="11.88671875" customWidth="1"/>
    <col min="4870" max="4871" width="11.5546875" customWidth="1"/>
    <col min="4872" max="4872" width="11.33203125" customWidth="1"/>
    <col min="4873" max="4873" width="11" customWidth="1"/>
    <col min="4874" max="4874" width="10.5546875" customWidth="1"/>
    <col min="4875" max="4876" width="13.6640625" customWidth="1"/>
    <col min="5121" max="5121" width="10" customWidth="1"/>
    <col min="5122" max="5122" width="29" customWidth="1"/>
    <col min="5123" max="5123" width="12" customWidth="1"/>
    <col min="5124" max="5124" width="12.88671875" customWidth="1"/>
    <col min="5125" max="5125" width="11.88671875" customWidth="1"/>
    <col min="5126" max="5127" width="11.5546875" customWidth="1"/>
    <col min="5128" max="5128" width="11.33203125" customWidth="1"/>
    <col min="5129" max="5129" width="11" customWidth="1"/>
    <col min="5130" max="5130" width="10.5546875" customWidth="1"/>
    <col min="5131" max="5132" width="13.6640625" customWidth="1"/>
    <col min="5377" max="5377" width="10" customWidth="1"/>
    <col min="5378" max="5378" width="29" customWidth="1"/>
    <col min="5379" max="5379" width="12" customWidth="1"/>
    <col min="5380" max="5380" width="12.88671875" customWidth="1"/>
    <col min="5381" max="5381" width="11.88671875" customWidth="1"/>
    <col min="5382" max="5383" width="11.5546875" customWidth="1"/>
    <col min="5384" max="5384" width="11.33203125" customWidth="1"/>
    <col min="5385" max="5385" width="11" customWidth="1"/>
    <col min="5386" max="5386" width="10.5546875" customWidth="1"/>
    <col min="5387" max="5388" width="13.6640625" customWidth="1"/>
    <col min="5633" max="5633" width="10" customWidth="1"/>
    <col min="5634" max="5634" width="29" customWidth="1"/>
    <col min="5635" max="5635" width="12" customWidth="1"/>
    <col min="5636" max="5636" width="12.88671875" customWidth="1"/>
    <col min="5637" max="5637" width="11.88671875" customWidth="1"/>
    <col min="5638" max="5639" width="11.5546875" customWidth="1"/>
    <col min="5640" max="5640" width="11.33203125" customWidth="1"/>
    <col min="5641" max="5641" width="11" customWidth="1"/>
    <col min="5642" max="5642" width="10.5546875" customWidth="1"/>
    <col min="5643" max="5644" width="13.6640625" customWidth="1"/>
    <col min="5889" max="5889" width="10" customWidth="1"/>
    <col min="5890" max="5890" width="29" customWidth="1"/>
    <col min="5891" max="5891" width="12" customWidth="1"/>
    <col min="5892" max="5892" width="12.88671875" customWidth="1"/>
    <col min="5893" max="5893" width="11.88671875" customWidth="1"/>
    <col min="5894" max="5895" width="11.5546875" customWidth="1"/>
    <col min="5896" max="5896" width="11.33203125" customWidth="1"/>
    <col min="5897" max="5897" width="11" customWidth="1"/>
    <col min="5898" max="5898" width="10.5546875" customWidth="1"/>
    <col min="5899" max="5900" width="13.6640625" customWidth="1"/>
    <col min="6145" max="6145" width="10" customWidth="1"/>
    <col min="6146" max="6146" width="29" customWidth="1"/>
    <col min="6147" max="6147" width="12" customWidth="1"/>
    <col min="6148" max="6148" width="12.88671875" customWidth="1"/>
    <col min="6149" max="6149" width="11.88671875" customWidth="1"/>
    <col min="6150" max="6151" width="11.5546875" customWidth="1"/>
    <col min="6152" max="6152" width="11.33203125" customWidth="1"/>
    <col min="6153" max="6153" width="11" customWidth="1"/>
    <col min="6154" max="6154" width="10.5546875" customWidth="1"/>
    <col min="6155" max="6156" width="13.6640625" customWidth="1"/>
    <col min="6401" max="6401" width="10" customWidth="1"/>
    <col min="6402" max="6402" width="29" customWidth="1"/>
    <col min="6403" max="6403" width="12" customWidth="1"/>
    <col min="6404" max="6404" width="12.88671875" customWidth="1"/>
    <col min="6405" max="6405" width="11.88671875" customWidth="1"/>
    <col min="6406" max="6407" width="11.5546875" customWidth="1"/>
    <col min="6408" max="6408" width="11.33203125" customWidth="1"/>
    <col min="6409" max="6409" width="11" customWidth="1"/>
    <col min="6410" max="6410" width="10.5546875" customWidth="1"/>
    <col min="6411" max="6412" width="13.6640625" customWidth="1"/>
    <col min="6657" max="6657" width="10" customWidth="1"/>
    <col min="6658" max="6658" width="29" customWidth="1"/>
    <col min="6659" max="6659" width="12" customWidth="1"/>
    <col min="6660" max="6660" width="12.88671875" customWidth="1"/>
    <col min="6661" max="6661" width="11.88671875" customWidth="1"/>
    <col min="6662" max="6663" width="11.5546875" customWidth="1"/>
    <col min="6664" max="6664" width="11.33203125" customWidth="1"/>
    <col min="6665" max="6665" width="11" customWidth="1"/>
    <col min="6666" max="6666" width="10.5546875" customWidth="1"/>
    <col min="6667" max="6668" width="13.6640625" customWidth="1"/>
    <col min="6913" max="6913" width="10" customWidth="1"/>
    <col min="6914" max="6914" width="29" customWidth="1"/>
    <col min="6915" max="6915" width="12" customWidth="1"/>
    <col min="6916" max="6916" width="12.88671875" customWidth="1"/>
    <col min="6917" max="6917" width="11.88671875" customWidth="1"/>
    <col min="6918" max="6919" width="11.5546875" customWidth="1"/>
    <col min="6920" max="6920" width="11.33203125" customWidth="1"/>
    <col min="6921" max="6921" width="11" customWidth="1"/>
    <col min="6922" max="6922" width="10.5546875" customWidth="1"/>
    <col min="6923" max="6924" width="13.6640625" customWidth="1"/>
    <col min="7169" max="7169" width="10" customWidth="1"/>
    <col min="7170" max="7170" width="29" customWidth="1"/>
    <col min="7171" max="7171" width="12" customWidth="1"/>
    <col min="7172" max="7172" width="12.88671875" customWidth="1"/>
    <col min="7173" max="7173" width="11.88671875" customWidth="1"/>
    <col min="7174" max="7175" width="11.5546875" customWidth="1"/>
    <col min="7176" max="7176" width="11.33203125" customWidth="1"/>
    <col min="7177" max="7177" width="11" customWidth="1"/>
    <col min="7178" max="7178" width="10.5546875" customWidth="1"/>
    <col min="7179" max="7180" width="13.6640625" customWidth="1"/>
    <col min="7425" max="7425" width="10" customWidth="1"/>
    <col min="7426" max="7426" width="29" customWidth="1"/>
    <col min="7427" max="7427" width="12" customWidth="1"/>
    <col min="7428" max="7428" width="12.88671875" customWidth="1"/>
    <col min="7429" max="7429" width="11.88671875" customWidth="1"/>
    <col min="7430" max="7431" width="11.5546875" customWidth="1"/>
    <col min="7432" max="7432" width="11.33203125" customWidth="1"/>
    <col min="7433" max="7433" width="11" customWidth="1"/>
    <col min="7434" max="7434" width="10.5546875" customWidth="1"/>
    <col min="7435" max="7436" width="13.6640625" customWidth="1"/>
    <col min="7681" max="7681" width="10" customWidth="1"/>
    <col min="7682" max="7682" width="29" customWidth="1"/>
    <col min="7683" max="7683" width="12" customWidth="1"/>
    <col min="7684" max="7684" width="12.88671875" customWidth="1"/>
    <col min="7685" max="7685" width="11.88671875" customWidth="1"/>
    <col min="7686" max="7687" width="11.5546875" customWidth="1"/>
    <col min="7688" max="7688" width="11.33203125" customWidth="1"/>
    <col min="7689" max="7689" width="11" customWidth="1"/>
    <col min="7690" max="7690" width="10.5546875" customWidth="1"/>
    <col min="7691" max="7692" width="13.6640625" customWidth="1"/>
    <col min="7937" max="7937" width="10" customWidth="1"/>
    <col min="7938" max="7938" width="29" customWidth="1"/>
    <col min="7939" max="7939" width="12" customWidth="1"/>
    <col min="7940" max="7940" width="12.88671875" customWidth="1"/>
    <col min="7941" max="7941" width="11.88671875" customWidth="1"/>
    <col min="7942" max="7943" width="11.5546875" customWidth="1"/>
    <col min="7944" max="7944" width="11.33203125" customWidth="1"/>
    <col min="7945" max="7945" width="11" customWidth="1"/>
    <col min="7946" max="7946" width="10.5546875" customWidth="1"/>
    <col min="7947" max="7948" width="13.6640625" customWidth="1"/>
    <col min="8193" max="8193" width="10" customWidth="1"/>
    <col min="8194" max="8194" width="29" customWidth="1"/>
    <col min="8195" max="8195" width="12" customWidth="1"/>
    <col min="8196" max="8196" width="12.88671875" customWidth="1"/>
    <col min="8197" max="8197" width="11.88671875" customWidth="1"/>
    <col min="8198" max="8199" width="11.5546875" customWidth="1"/>
    <col min="8200" max="8200" width="11.33203125" customWidth="1"/>
    <col min="8201" max="8201" width="11" customWidth="1"/>
    <col min="8202" max="8202" width="10.5546875" customWidth="1"/>
    <col min="8203" max="8204" width="13.6640625" customWidth="1"/>
    <col min="8449" max="8449" width="10" customWidth="1"/>
    <col min="8450" max="8450" width="29" customWidth="1"/>
    <col min="8451" max="8451" width="12" customWidth="1"/>
    <col min="8452" max="8452" width="12.88671875" customWidth="1"/>
    <col min="8453" max="8453" width="11.88671875" customWidth="1"/>
    <col min="8454" max="8455" width="11.5546875" customWidth="1"/>
    <col min="8456" max="8456" width="11.33203125" customWidth="1"/>
    <col min="8457" max="8457" width="11" customWidth="1"/>
    <col min="8458" max="8458" width="10.5546875" customWidth="1"/>
    <col min="8459" max="8460" width="13.6640625" customWidth="1"/>
    <col min="8705" max="8705" width="10" customWidth="1"/>
    <col min="8706" max="8706" width="29" customWidth="1"/>
    <col min="8707" max="8707" width="12" customWidth="1"/>
    <col min="8708" max="8708" width="12.88671875" customWidth="1"/>
    <col min="8709" max="8709" width="11.88671875" customWidth="1"/>
    <col min="8710" max="8711" width="11.5546875" customWidth="1"/>
    <col min="8712" max="8712" width="11.33203125" customWidth="1"/>
    <col min="8713" max="8713" width="11" customWidth="1"/>
    <col min="8714" max="8714" width="10.5546875" customWidth="1"/>
    <col min="8715" max="8716" width="13.6640625" customWidth="1"/>
    <col min="8961" max="8961" width="10" customWidth="1"/>
    <col min="8962" max="8962" width="29" customWidth="1"/>
    <col min="8963" max="8963" width="12" customWidth="1"/>
    <col min="8964" max="8964" width="12.88671875" customWidth="1"/>
    <col min="8965" max="8965" width="11.88671875" customWidth="1"/>
    <col min="8966" max="8967" width="11.5546875" customWidth="1"/>
    <col min="8968" max="8968" width="11.33203125" customWidth="1"/>
    <col min="8969" max="8969" width="11" customWidth="1"/>
    <col min="8970" max="8970" width="10.5546875" customWidth="1"/>
    <col min="8971" max="8972" width="13.6640625" customWidth="1"/>
    <col min="9217" max="9217" width="10" customWidth="1"/>
    <col min="9218" max="9218" width="29" customWidth="1"/>
    <col min="9219" max="9219" width="12" customWidth="1"/>
    <col min="9220" max="9220" width="12.88671875" customWidth="1"/>
    <col min="9221" max="9221" width="11.88671875" customWidth="1"/>
    <col min="9222" max="9223" width="11.5546875" customWidth="1"/>
    <col min="9224" max="9224" width="11.33203125" customWidth="1"/>
    <col min="9225" max="9225" width="11" customWidth="1"/>
    <col min="9226" max="9226" width="10.5546875" customWidth="1"/>
    <col min="9227" max="9228" width="13.6640625" customWidth="1"/>
    <col min="9473" max="9473" width="10" customWidth="1"/>
    <col min="9474" max="9474" width="29" customWidth="1"/>
    <col min="9475" max="9475" width="12" customWidth="1"/>
    <col min="9476" max="9476" width="12.88671875" customWidth="1"/>
    <col min="9477" max="9477" width="11.88671875" customWidth="1"/>
    <col min="9478" max="9479" width="11.5546875" customWidth="1"/>
    <col min="9480" max="9480" width="11.33203125" customWidth="1"/>
    <col min="9481" max="9481" width="11" customWidth="1"/>
    <col min="9482" max="9482" width="10.5546875" customWidth="1"/>
    <col min="9483" max="9484" width="13.6640625" customWidth="1"/>
    <col min="9729" max="9729" width="10" customWidth="1"/>
    <col min="9730" max="9730" width="29" customWidth="1"/>
    <col min="9731" max="9731" width="12" customWidth="1"/>
    <col min="9732" max="9732" width="12.88671875" customWidth="1"/>
    <col min="9733" max="9733" width="11.88671875" customWidth="1"/>
    <col min="9734" max="9735" width="11.5546875" customWidth="1"/>
    <col min="9736" max="9736" width="11.33203125" customWidth="1"/>
    <col min="9737" max="9737" width="11" customWidth="1"/>
    <col min="9738" max="9738" width="10.5546875" customWidth="1"/>
    <col min="9739" max="9740" width="13.6640625" customWidth="1"/>
    <col min="9985" max="9985" width="10" customWidth="1"/>
    <col min="9986" max="9986" width="29" customWidth="1"/>
    <col min="9987" max="9987" width="12" customWidth="1"/>
    <col min="9988" max="9988" width="12.88671875" customWidth="1"/>
    <col min="9989" max="9989" width="11.88671875" customWidth="1"/>
    <col min="9990" max="9991" width="11.5546875" customWidth="1"/>
    <col min="9992" max="9992" width="11.33203125" customWidth="1"/>
    <col min="9993" max="9993" width="11" customWidth="1"/>
    <col min="9994" max="9994" width="10.5546875" customWidth="1"/>
    <col min="9995" max="9996" width="13.6640625" customWidth="1"/>
    <col min="10241" max="10241" width="10" customWidth="1"/>
    <col min="10242" max="10242" width="29" customWidth="1"/>
    <col min="10243" max="10243" width="12" customWidth="1"/>
    <col min="10244" max="10244" width="12.88671875" customWidth="1"/>
    <col min="10245" max="10245" width="11.88671875" customWidth="1"/>
    <col min="10246" max="10247" width="11.5546875" customWidth="1"/>
    <col min="10248" max="10248" width="11.33203125" customWidth="1"/>
    <col min="10249" max="10249" width="11" customWidth="1"/>
    <col min="10250" max="10250" width="10.5546875" customWidth="1"/>
    <col min="10251" max="10252" width="13.6640625" customWidth="1"/>
    <col min="10497" max="10497" width="10" customWidth="1"/>
    <col min="10498" max="10498" width="29" customWidth="1"/>
    <col min="10499" max="10499" width="12" customWidth="1"/>
    <col min="10500" max="10500" width="12.88671875" customWidth="1"/>
    <col min="10501" max="10501" width="11.88671875" customWidth="1"/>
    <col min="10502" max="10503" width="11.5546875" customWidth="1"/>
    <col min="10504" max="10504" width="11.33203125" customWidth="1"/>
    <col min="10505" max="10505" width="11" customWidth="1"/>
    <col min="10506" max="10506" width="10.5546875" customWidth="1"/>
    <col min="10507" max="10508" width="13.6640625" customWidth="1"/>
    <col min="10753" max="10753" width="10" customWidth="1"/>
    <col min="10754" max="10754" width="29" customWidth="1"/>
    <col min="10755" max="10755" width="12" customWidth="1"/>
    <col min="10756" max="10756" width="12.88671875" customWidth="1"/>
    <col min="10757" max="10757" width="11.88671875" customWidth="1"/>
    <col min="10758" max="10759" width="11.5546875" customWidth="1"/>
    <col min="10760" max="10760" width="11.33203125" customWidth="1"/>
    <col min="10761" max="10761" width="11" customWidth="1"/>
    <col min="10762" max="10762" width="10.5546875" customWidth="1"/>
    <col min="10763" max="10764" width="13.6640625" customWidth="1"/>
    <col min="11009" max="11009" width="10" customWidth="1"/>
    <col min="11010" max="11010" width="29" customWidth="1"/>
    <col min="11011" max="11011" width="12" customWidth="1"/>
    <col min="11012" max="11012" width="12.88671875" customWidth="1"/>
    <col min="11013" max="11013" width="11.88671875" customWidth="1"/>
    <col min="11014" max="11015" width="11.5546875" customWidth="1"/>
    <col min="11016" max="11016" width="11.33203125" customWidth="1"/>
    <col min="11017" max="11017" width="11" customWidth="1"/>
    <col min="11018" max="11018" width="10.5546875" customWidth="1"/>
    <col min="11019" max="11020" width="13.6640625" customWidth="1"/>
    <col min="11265" max="11265" width="10" customWidth="1"/>
    <col min="11266" max="11266" width="29" customWidth="1"/>
    <col min="11267" max="11267" width="12" customWidth="1"/>
    <col min="11268" max="11268" width="12.88671875" customWidth="1"/>
    <col min="11269" max="11269" width="11.88671875" customWidth="1"/>
    <col min="11270" max="11271" width="11.5546875" customWidth="1"/>
    <col min="11272" max="11272" width="11.33203125" customWidth="1"/>
    <col min="11273" max="11273" width="11" customWidth="1"/>
    <col min="11274" max="11274" width="10.5546875" customWidth="1"/>
    <col min="11275" max="11276" width="13.6640625" customWidth="1"/>
    <col min="11521" max="11521" width="10" customWidth="1"/>
    <col min="11522" max="11522" width="29" customWidth="1"/>
    <col min="11523" max="11523" width="12" customWidth="1"/>
    <col min="11524" max="11524" width="12.88671875" customWidth="1"/>
    <col min="11525" max="11525" width="11.88671875" customWidth="1"/>
    <col min="11526" max="11527" width="11.5546875" customWidth="1"/>
    <col min="11528" max="11528" width="11.33203125" customWidth="1"/>
    <col min="11529" max="11529" width="11" customWidth="1"/>
    <col min="11530" max="11530" width="10.5546875" customWidth="1"/>
    <col min="11531" max="11532" width="13.6640625" customWidth="1"/>
    <col min="11777" max="11777" width="10" customWidth="1"/>
    <col min="11778" max="11778" width="29" customWidth="1"/>
    <col min="11779" max="11779" width="12" customWidth="1"/>
    <col min="11780" max="11780" width="12.88671875" customWidth="1"/>
    <col min="11781" max="11781" width="11.88671875" customWidth="1"/>
    <col min="11782" max="11783" width="11.5546875" customWidth="1"/>
    <col min="11784" max="11784" width="11.33203125" customWidth="1"/>
    <col min="11785" max="11785" width="11" customWidth="1"/>
    <col min="11786" max="11786" width="10.5546875" customWidth="1"/>
    <col min="11787" max="11788" width="13.6640625" customWidth="1"/>
    <col min="12033" max="12033" width="10" customWidth="1"/>
    <col min="12034" max="12034" width="29" customWidth="1"/>
    <col min="12035" max="12035" width="12" customWidth="1"/>
    <col min="12036" max="12036" width="12.88671875" customWidth="1"/>
    <col min="12037" max="12037" width="11.88671875" customWidth="1"/>
    <col min="12038" max="12039" width="11.5546875" customWidth="1"/>
    <col min="12040" max="12040" width="11.33203125" customWidth="1"/>
    <col min="12041" max="12041" width="11" customWidth="1"/>
    <col min="12042" max="12042" width="10.5546875" customWidth="1"/>
    <col min="12043" max="12044" width="13.6640625" customWidth="1"/>
    <col min="12289" max="12289" width="10" customWidth="1"/>
    <col min="12290" max="12290" width="29" customWidth="1"/>
    <col min="12291" max="12291" width="12" customWidth="1"/>
    <col min="12292" max="12292" width="12.88671875" customWidth="1"/>
    <col min="12293" max="12293" width="11.88671875" customWidth="1"/>
    <col min="12294" max="12295" width="11.5546875" customWidth="1"/>
    <col min="12296" max="12296" width="11.33203125" customWidth="1"/>
    <col min="12297" max="12297" width="11" customWidth="1"/>
    <col min="12298" max="12298" width="10.5546875" customWidth="1"/>
    <col min="12299" max="12300" width="13.6640625" customWidth="1"/>
    <col min="12545" max="12545" width="10" customWidth="1"/>
    <col min="12546" max="12546" width="29" customWidth="1"/>
    <col min="12547" max="12547" width="12" customWidth="1"/>
    <col min="12548" max="12548" width="12.88671875" customWidth="1"/>
    <col min="12549" max="12549" width="11.88671875" customWidth="1"/>
    <col min="12550" max="12551" width="11.5546875" customWidth="1"/>
    <col min="12552" max="12552" width="11.33203125" customWidth="1"/>
    <col min="12553" max="12553" width="11" customWidth="1"/>
    <col min="12554" max="12554" width="10.5546875" customWidth="1"/>
    <col min="12555" max="12556" width="13.6640625" customWidth="1"/>
    <col min="12801" max="12801" width="10" customWidth="1"/>
    <col min="12802" max="12802" width="29" customWidth="1"/>
    <col min="12803" max="12803" width="12" customWidth="1"/>
    <col min="12804" max="12804" width="12.88671875" customWidth="1"/>
    <col min="12805" max="12805" width="11.88671875" customWidth="1"/>
    <col min="12806" max="12807" width="11.5546875" customWidth="1"/>
    <col min="12808" max="12808" width="11.33203125" customWidth="1"/>
    <col min="12809" max="12809" width="11" customWidth="1"/>
    <col min="12810" max="12810" width="10.5546875" customWidth="1"/>
    <col min="12811" max="12812" width="13.6640625" customWidth="1"/>
    <col min="13057" max="13057" width="10" customWidth="1"/>
    <col min="13058" max="13058" width="29" customWidth="1"/>
    <col min="13059" max="13059" width="12" customWidth="1"/>
    <col min="13060" max="13060" width="12.88671875" customWidth="1"/>
    <col min="13061" max="13061" width="11.88671875" customWidth="1"/>
    <col min="13062" max="13063" width="11.5546875" customWidth="1"/>
    <col min="13064" max="13064" width="11.33203125" customWidth="1"/>
    <col min="13065" max="13065" width="11" customWidth="1"/>
    <col min="13066" max="13066" width="10.5546875" customWidth="1"/>
    <col min="13067" max="13068" width="13.6640625" customWidth="1"/>
    <col min="13313" max="13313" width="10" customWidth="1"/>
    <col min="13314" max="13314" width="29" customWidth="1"/>
    <col min="13315" max="13315" width="12" customWidth="1"/>
    <col min="13316" max="13316" width="12.88671875" customWidth="1"/>
    <col min="13317" max="13317" width="11.88671875" customWidth="1"/>
    <col min="13318" max="13319" width="11.5546875" customWidth="1"/>
    <col min="13320" max="13320" width="11.33203125" customWidth="1"/>
    <col min="13321" max="13321" width="11" customWidth="1"/>
    <col min="13322" max="13322" width="10.5546875" customWidth="1"/>
    <col min="13323" max="13324" width="13.6640625" customWidth="1"/>
    <col min="13569" max="13569" width="10" customWidth="1"/>
    <col min="13570" max="13570" width="29" customWidth="1"/>
    <col min="13571" max="13571" width="12" customWidth="1"/>
    <col min="13572" max="13572" width="12.88671875" customWidth="1"/>
    <col min="13573" max="13573" width="11.88671875" customWidth="1"/>
    <col min="13574" max="13575" width="11.5546875" customWidth="1"/>
    <col min="13576" max="13576" width="11.33203125" customWidth="1"/>
    <col min="13577" max="13577" width="11" customWidth="1"/>
    <col min="13578" max="13578" width="10.5546875" customWidth="1"/>
    <col min="13579" max="13580" width="13.6640625" customWidth="1"/>
    <col min="13825" max="13825" width="10" customWidth="1"/>
    <col min="13826" max="13826" width="29" customWidth="1"/>
    <col min="13827" max="13827" width="12" customWidth="1"/>
    <col min="13828" max="13828" width="12.88671875" customWidth="1"/>
    <col min="13829" max="13829" width="11.88671875" customWidth="1"/>
    <col min="13830" max="13831" width="11.5546875" customWidth="1"/>
    <col min="13832" max="13832" width="11.33203125" customWidth="1"/>
    <col min="13833" max="13833" width="11" customWidth="1"/>
    <col min="13834" max="13834" width="10.5546875" customWidth="1"/>
    <col min="13835" max="13836" width="13.6640625" customWidth="1"/>
    <col min="14081" max="14081" width="10" customWidth="1"/>
    <col min="14082" max="14082" width="29" customWidth="1"/>
    <col min="14083" max="14083" width="12" customWidth="1"/>
    <col min="14084" max="14084" width="12.88671875" customWidth="1"/>
    <col min="14085" max="14085" width="11.88671875" customWidth="1"/>
    <col min="14086" max="14087" width="11.5546875" customWidth="1"/>
    <col min="14088" max="14088" width="11.33203125" customWidth="1"/>
    <col min="14089" max="14089" width="11" customWidth="1"/>
    <col min="14090" max="14090" width="10.5546875" customWidth="1"/>
    <col min="14091" max="14092" width="13.6640625" customWidth="1"/>
    <col min="14337" max="14337" width="10" customWidth="1"/>
    <col min="14338" max="14338" width="29" customWidth="1"/>
    <col min="14339" max="14339" width="12" customWidth="1"/>
    <col min="14340" max="14340" width="12.88671875" customWidth="1"/>
    <col min="14341" max="14341" width="11.88671875" customWidth="1"/>
    <col min="14342" max="14343" width="11.5546875" customWidth="1"/>
    <col min="14344" max="14344" width="11.33203125" customWidth="1"/>
    <col min="14345" max="14345" width="11" customWidth="1"/>
    <col min="14346" max="14346" width="10.5546875" customWidth="1"/>
    <col min="14347" max="14348" width="13.6640625" customWidth="1"/>
    <col min="14593" max="14593" width="10" customWidth="1"/>
    <col min="14594" max="14594" width="29" customWidth="1"/>
    <col min="14595" max="14595" width="12" customWidth="1"/>
    <col min="14596" max="14596" width="12.88671875" customWidth="1"/>
    <col min="14597" max="14597" width="11.88671875" customWidth="1"/>
    <col min="14598" max="14599" width="11.5546875" customWidth="1"/>
    <col min="14600" max="14600" width="11.33203125" customWidth="1"/>
    <col min="14601" max="14601" width="11" customWidth="1"/>
    <col min="14602" max="14602" width="10.5546875" customWidth="1"/>
    <col min="14603" max="14604" width="13.6640625" customWidth="1"/>
    <col min="14849" max="14849" width="10" customWidth="1"/>
    <col min="14850" max="14850" width="29" customWidth="1"/>
    <col min="14851" max="14851" width="12" customWidth="1"/>
    <col min="14852" max="14852" width="12.88671875" customWidth="1"/>
    <col min="14853" max="14853" width="11.88671875" customWidth="1"/>
    <col min="14854" max="14855" width="11.5546875" customWidth="1"/>
    <col min="14856" max="14856" width="11.33203125" customWidth="1"/>
    <col min="14857" max="14857" width="11" customWidth="1"/>
    <col min="14858" max="14858" width="10.5546875" customWidth="1"/>
    <col min="14859" max="14860" width="13.6640625" customWidth="1"/>
    <col min="15105" max="15105" width="10" customWidth="1"/>
    <col min="15106" max="15106" width="29" customWidth="1"/>
    <col min="15107" max="15107" width="12" customWidth="1"/>
    <col min="15108" max="15108" width="12.88671875" customWidth="1"/>
    <col min="15109" max="15109" width="11.88671875" customWidth="1"/>
    <col min="15110" max="15111" width="11.5546875" customWidth="1"/>
    <col min="15112" max="15112" width="11.33203125" customWidth="1"/>
    <col min="15113" max="15113" width="11" customWidth="1"/>
    <col min="15114" max="15114" width="10.5546875" customWidth="1"/>
    <col min="15115" max="15116" width="13.6640625" customWidth="1"/>
    <col min="15361" max="15361" width="10" customWidth="1"/>
    <col min="15362" max="15362" width="29" customWidth="1"/>
    <col min="15363" max="15363" width="12" customWidth="1"/>
    <col min="15364" max="15364" width="12.88671875" customWidth="1"/>
    <col min="15365" max="15365" width="11.88671875" customWidth="1"/>
    <col min="15366" max="15367" width="11.5546875" customWidth="1"/>
    <col min="15368" max="15368" width="11.33203125" customWidth="1"/>
    <col min="15369" max="15369" width="11" customWidth="1"/>
    <col min="15370" max="15370" width="10.5546875" customWidth="1"/>
    <col min="15371" max="15372" width="13.6640625" customWidth="1"/>
    <col min="15617" max="15617" width="10" customWidth="1"/>
    <col min="15618" max="15618" width="29" customWidth="1"/>
    <col min="15619" max="15619" width="12" customWidth="1"/>
    <col min="15620" max="15620" width="12.88671875" customWidth="1"/>
    <col min="15621" max="15621" width="11.88671875" customWidth="1"/>
    <col min="15622" max="15623" width="11.5546875" customWidth="1"/>
    <col min="15624" max="15624" width="11.33203125" customWidth="1"/>
    <col min="15625" max="15625" width="11" customWidth="1"/>
    <col min="15626" max="15626" width="10.5546875" customWidth="1"/>
    <col min="15627" max="15628" width="13.6640625" customWidth="1"/>
    <col min="15873" max="15873" width="10" customWidth="1"/>
    <col min="15874" max="15874" width="29" customWidth="1"/>
    <col min="15875" max="15875" width="12" customWidth="1"/>
    <col min="15876" max="15876" width="12.88671875" customWidth="1"/>
    <col min="15877" max="15877" width="11.88671875" customWidth="1"/>
    <col min="15878" max="15879" width="11.5546875" customWidth="1"/>
    <col min="15880" max="15880" width="11.33203125" customWidth="1"/>
    <col min="15881" max="15881" width="11" customWidth="1"/>
    <col min="15882" max="15882" width="10.5546875" customWidth="1"/>
    <col min="15883" max="15884" width="13.6640625" customWidth="1"/>
    <col min="16129" max="16129" width="10" customWidth="1"/>
    <col min="16130" max="16130" width="29" customWidth="1"/>
    <col min="16131" max="16131" width="12" customWidth="1"/>
    <col min="16132" max="16132" width="12.88671875" customWidth="1"/>
    <col min="16133" max="16133" width="11.88671875" customWidth="1"/>
    <col min="16134" max="16135" width="11.5546875" customWidth="1"/>
    <col min="16136" max="16136" width="11.33203125" customWidth="1"/>
    <col min="16137" max="16137" width="11" customWidth="1"/>
    <col min="16138" max="16138" width="10.5546875" customWidth="1"/>
    <col min="16139" max="16140" width="13.6640625" customWidth="1"/>
  </cols>
  <sheetData>
    <row r="1" spans="1:14" x14ac:dyDescent="0.25">
      <c r="A1" s="1316"/>
      <c r="B1" s="1316"/>
      <c r="C1" s="1316"/>
      <c r="D1" s="1316"/>
      <c r="E1" s="1316"/>
      <c r="F1" s="1316"/>
      <c r="G1" s="1316"/>
      <c r="H1" s="1316"/>
      <c r="I1" s="1316"/>
      <c r="J1" s="1316"/>
      <c r="K1" s="1316"/>
      <c r="L1" s="1316"/>
      <c r="M1" s="1317"/>
      <c r="N1" s="1317"/>
    </row>
    <row r="2" spans="1:14" x14ac:dyDescent="0.25">
      <c r="A2" s="1316"/>
      <c r="B2" s="1316"/>
      <c r="C2" s="1316"/>
      <c r="D2" s="1316"/>
      <c r="E2" s="1316"/>
      <c r="F2" s="1316"/>
      <c r="G2" s="1316"/>
      <c r="H2" s="1316"/>
      <c r="I2" s="1316"/>
      <c r="J2" s="1316"/>
      <c r="K2" s="1316"/>
      <c r="L2" s="1316"/>
      <c r="M2" s="1317"/>
      <c r="N2" s="1317"/>
    </row>
    <row r="3" spans="1:14" x14ac:dyDescent="0.25">
      <c r="A3" s="1663" t="s">
        <v>1030</v>
      </c>
      <c r="B3" s="1663"/>
      <c r="C3" s="1663"/>
      <c r="D3" s="1663"/>
      <c r="E3" s="1663"/>
      <c r="F3" s="1663"/>
      <c r="G3" s="1663"/>
      <c r="H3" s="1663"/>
      <c r="I3" s="1663"/>
      <c r="J3" s="1663"/>
      <c r="K3" s="1663"/>
      <c r="L3" s="1663"/>
      <c r="M3" s="1317"/>
      <c r="N3" s="1317"/>
    </row>
    <row r="4" spans="1:14" x14ac:dyDescent="0.25">
      <c r="A4" s="1663" t="s">
        <v>1031</v>
      </c>
      <c r="B4" s="1663"/>
      <c r="C4" s="1663"/>
      <c r="D4" s="1663"/>
      <c r="E4" s="1663"/>
      <c r="F4" s="1663"/>
      <c r="G4" s="1663"/>
      <c r="H4" s="1663"/>
      <c r="I4" s="1663"/>
      <c r="J4" s="1663"/>
      <c r="K4" s="1663"/>
      <c r="L4" s="1663"/>
      <c r="M4" s="1317"/>
      <c r="N4" s="1317"/>
    </row>
    <row r="5" spans="1:14" x14ac:dyDescent="0.25">
      <c r="A5" s="1316"/>
      <c r="B5" s="1316"/>
      <c r="C5" s="1316"/>
      <c r="D5" s="1316"/>
      <c r="E5" s="1316"/>
      <c r="F5" s="1316"/>
      <c r="G5" s="1316"/>
      <c r="H5" s="1316"/>
      <c r="I5" s="1316"/>
      <c r="J5" s="1316"/>
      <c r="K5" s="1316"/>
      <c r="L5" s="1316"/>
      <c r="M5" s="1317"/>
      <c r="N5" s="1317"/>
    </row>
    <row r="6" spans="1:14" ht="15" customHeight="1" x14ac:dyDescent="0.25">
      <c r="A6" s="1318" t="s">
        <v>890</v>
      </c>
      <c r="B6" s="1319" t="s">
        <v>1032</v>
      </c>
      <c r="C6" s="1319" t="s">
        <v>1033</v>
      </c>
      <c r="D6" s="1319" t="s">
        <v>1034</v>
      </c>
      <c r="E6" s="1664" t="s">
        <v>1035</v>
      </c>
      <c r="F6" s="1318"/>
      <c r="G6" s="1320"/>
      <c r="H6" s="1320"/>
      <c r="I6" s="1320"/>
      <c r="J6" s="1665" t="s">
        <v>1036</v>
      </c>
      <c r="K6" s="1666" t="s">
        <v>1037</v>
      </c>
      <c r="L6" s="1665" t="s">
        <v>1038</v>
      </c>
      <c r="M6" s="1317"/>
      <c r="N6" s="1317"/>
    </row>
    <row r="7" spans="1:14" x14ac:dyDescent="0.25">
      <c r="A7" s="1321"/>
      <c r="B7" s="1322"/>
      <c r="C7" s="1323" t="s">
        <v>1039</v>
      </c>
      <c r="D7" s="1323" t="s">
        <v>1040</v>
      </c>
      <c r="E7" s="1664"/>
      <c r="F7" s="1324" t="s">
        <v>1041</v>
      </c>
      <c r="G7" s="1324" t="s">
        <v>1042</v>
      </c>
      <c r="H7" s="1325" t="s">
        <v>1043</v>
      </c>
      <c r="I7" s="1325" t="s">
        <v>1044</v>
      </c>
      <c r="J7" s="1665"/>
      <c r="K7" s="1666"/>
      <c r="L7" s="1665"/>
      <c r="M7" s="1317"/>
      <c r="N7" s="1317"/>
    </row>
    <row r="8" spans="1:14" ht="26.4" x14ac:dyDescent="0.25">
      <c r="A8" s="1326"/>
      <c r="B8" s="1327"/>
      <c r="C8" s="1328" t="s">
        <v>1045</v>
      </c>
      <c r="D8" s="1329" t="s">
        <v>1046</v>
      </c>
      <c r="E8" s="1664"/>
      <c r="F8" s="1330"/>
      <c r="G8" s="1330"/>
      <c r="H8" s="1331"/>
      <c r="I8" s="1331"/>
      <c r="J8" s="1665"/>
      <c r="K8" s="1666"/>
      <c r="L8" s="1665"/>
      <c r="M8" s="1317"/>
      <c r="N8" s="1317"/>
    </row>
    <row r="9" spans="1:14" x14ac:dyDescent="0.25">
      <c r="A9" s="1332" t="s">
        <v>1047</v>
      </c>
      <c r="B9" s="1333" t="s">
        <v>506</v>
      </c>
      <c r="C9" s="1333" t="s">
        <v>507</v>
      </c>
      <c r="D9" s="1333" t="s">
        <v>1048</v>
      </c>
      <c r="E9" s="1333" t="s">
        <v>1049</v>
      </c>
      <c r="F9" s="1334" t="s">
        <v>1050</v>
      </c>
      <c r="G9" s="1334" t="s">
        <v>1051</v>
      </c>
      <c r="H9" s="1334" t="s">
        <v>1052</v>
      </c>
      <c r="I9" s="1334" t="s">
        <v>1053</v>
      </c>
      <c r="J9" s="1334" t="s">
        <v>1054</v>
      </c>
      <c r="K9" s="1335" t="s">
        <v>1055</v>
      </c>
      <c r="L9" s="1336" t="s">
        <v>1056</v>
      </c>
      <c r="M9" s="1317"/>
      <c r="N9" s="1317"/>
    </row>
    <row r="10" spans="1:14" x14ac:dyDescent="0.25">
      <c r="A10" s="1318" t="s">
        <v>1047</v>
      </c>
      <c r="B10" s="1337" t="s">
        <v>1057</v>
      </c>
      <c r="C10" s="1338"/>
      <c r="D10" s="1339"/>
      <c r="E10" s="1340"/>
      <c r="F10" s="1341"/>
      <c r="G10" s="1341"/>
      <c r="H10" s="1341"/>
      <c r="I10" s="1341"/>
      <c r="J10" s="1341"/>
      <c r="K10" s="1341"/>
      <c r="L10" s="1342"/>
      <c r="M10" s="1317"/>
      <c r="N10" s="1317"/>
    </row>
    <row r="11" spans="1:14" x14ac:dyDescent="0.25">
      <c r="A11" s="1321"/>
      <c r="B11" s="1343" t="s">
        <v>1058</v>
      </c>
      <c r="C11" s="1344"/>
      <c r="D11" s="1345"/>
      <c r="E11" s="1345"/>
      <c r="F11" s="1346"/>
      <c r="G11" s="1346"/>
      <c r="H11" s="1346"/>
      <c r="I11" s="1346"/>
      <c r="J11" s="1346"/>
      <c r="K11" s="1347"/>
      <c r="L11" s="1342"/>
      <c r="M11" s="1317"/>
      <c r="N11" s="1317"/>
    </row>
    <row r="12" spans="1:14" x14ac:dyDescent="0.25">
      <c r="A12" s="1348"/>
      <c r="B12" s="1349"/>
      <c r="C12" s="1349"/>
      <c r="D12" s="1349"/>
      <c r="E12" s="1349"/>
      <c r="F12" s="1350"/>
      <c r="G12" s="1350"/>
      <c r="H12" s="1350"/>
      <c r="I12" s="1350"/>
      <c r="J12" s="1350"/>
      <c r="K12" s="1351"/>
      <c r="L12" s="1342"/>
      <c r="M12" s="1317"/>
      <c r="N12" s="1317"/>
    </row>
    <row r="13" spans="1:14" x14ac:dyDescent="0.25">
      <c r="A13" s="1318" t="s">
        <v>506</v>
      </c>
      <c r="B13" s="1352" t="s">
        <v>1059</v>
      </c>
      <c r="C13" s="1338"/>
      <c r="D13" s="1353"/>
      <c r="E13" s="1353"/>
      <c r="F13" s="1354"/>
      <c r="G13" s="1354"/>
      <c r="H13" s="1354"/>
      <c r="I13" s="1354"/>
      <c r="J13" s="1354"/>
      <c r="K13" s="1355"/>
      <c r="L13" s="1342"/>
      <c r="M13" s="1317"/>
      <c r="N13" s="1317"/>
    </row>
    <row r="14" spans="1:14" x14ac:dyDescent="0.25">
      <c r="A14" s="1321"/>
      <c r="B14" s="1356" t="s">
        <v>1060</v>
      </c>
      <c r="C14" s="1344"/>
      <c r="D14" s="1357">
        <f>D20+D26+D28+D30</f>
        <v>547336</v>
      </c>
      <c r="E14" s="1357">
        <f t="shared" ref="E14:J14" si="0">E20+E26+E28+E30</f>
        <v>0</v>
      </c>
      <c r="F14" s="1357">
        <f t="shared" si="0"/>
        <v>198514</v>
      </c>
      <c r="G14" s="1357">
        <f t="shared" si="0"/>
        <v>92829</v>
      </c>
      <c r="H14" s="1357">
        <f t="shared" si="0"/>
        <v>90872</v>
      </c>
      <c r="I14" s="1357"/>
      <c r="J14" s="1357">
        <f t="shared" si="0"/>
        <v>567664</v>
      </c>
      <c r="K14" s="1357">
        <f>K20+K26+K28+K30</f>
        <v>840280</v>
      </c>
      <c r="L14" s="1357">
        <f>L20+L26+L28+L30</f>
        <v>1586130</v>
      </c>
      <c r="M14" s="1317"/>
      <c r="N14" s="1317"/>
    </row>
    <row r="15" spans="1:14" x14ac:dyDescent="0.25">
      <c r="A15" s="1348" t="s">
        <v>507</v>
      </c>
      <c r="B15" s="1358" t="s">
        <v>1061</v>
      </c>
      <c r="C15" s="1359">
        <v>2005</v>
      </c>
      <c r="D15" s="1360">
        <v>91120</v>
      </c>
      <c r="E15" s="1360"/>
      <c r="F15" s="1361"/>
      <c r="G15" s="1361"/>
      <c r="H15" s="1361"/>
      <c r="I15" s="1361"/>
      <c r="J15" s="1362"/>
      <c r="K15" s="1363">
        <f>F15+G15+H15+J15</f>
        <v>0</v>
      </c>
      <c r="L15" s="1364">
        <f>D15+E15+F15+K15</f>
        <v>91120</v>
      </c>
      <c r="M15" s="1317"/>
      <c r="N15" s="1317"/>
    </row>
    <row r="16" spans="1:14" ht="26.4" x14ac:dyDescent="0.25">
      <c r="A16" s="1348" t="s">
        <v>1048</v>
      </c>
      <c r="B16" s="1365" t="s">
        <v>1062</v>
      </c>
      <c r="C16" s="1366">
        <v>2005</v>
      </c>
      <c r="D16" s="1360">
        <v>11224</v>
      </c>
      <c r="E16" s="1360">
        <v>0</v>
      </c>
      <c r="F16" s="1361"/>
      <c r="G16" s="1361"/>
      <c r="H16" s="1361"/>
      <c r="I16" s="1361"/>
      <c r="J16" s="1362"/>
      <c r="K16" s="1363">
        <f>F16+G16+H16+J16</f>
        <v>0</v>
      </c>
      <c r="L16" s="1364">
        <f>D16+E16+F16+K16</f>
        <v>11224</v>
      </c>
      <c r="M16" s="1317"/>
      <c r="N16" s="1317"/>
    </row>
    <row r="17" spans="1:14" ht="26.4" x14ac:dyDescent="0.25">
      <c r="A17" s="1348" t="s">
        <v>1049</v>
      </c>
      <c r="B17" s="1365" t="s">
        <v>1063</v>
      </c>
      <c r="C17" s="1366">
        <v>2006</v>
      </c>
      <c r="D17" s="1360">
        <v>98236</v>
      </c>
      <c r="E17" s="1360">
        <v>0</v>
      </c>
      <c r="F17" s="1361"/>
      <c r="G17" s="1361"/>
      <c r="H17" s="1361"/>
      <c r="I17" s="1361"/>
      <c r="J17" s="1362"/>
      <c r="K17" s="1363">
        <f>F17+G17+H17+J17</f>
        <v>0</v>
      </c>
      <c r="L17" s="1364">
        <f>D17+E17+F17+K17</f>
        <v>98236</v>
      </c>
      <c r="M17" s="1317"/>
      <c r="N17" s="1317"/>
    </row>
    <row r="18" spans="1:14" x14ac:dyDescent="0.25">
      <c r="A18" s="1348" t="s">
        <v>1050</v>
      </c>
      <c r="B18" s="1365" t="s">
        <v>1064</v>
      </c>
      <c r="C18" s="1366">
        <v>2008</v>
      </c>
      <c r="D18" s="1360">
        <v>76025</v>
      </c>
      <c r="E18" s="1360">
        <v>0</v>
      </c>
      <c r="F18" s="1361"/>
      <c r="G18" s="1361"/>
      <c r="H18" s="1361"/>
      <c r="I18" s="1361"/>
      <c r="J18" s="1362"/>
      <c r="K18" s="1363">
        <f>F18+G18+H18+J18</f>
        <v>0</v>
      </c>
      <c r="L18" s="1364">
        <f>D18+E18+F18+K18</f>
        <v>76025</v>
      </c>
      <c r="M18" s="1317"/>
      <c r="N18" s="1317"/>
    </row>
    <row r="19" spans="1:14" x14ac:dyDescent="0.25">
      <c r="A19" s="1348" t="s">
        <v>1051</v>
      </c>
      <c r="B19" s="1365" t="s">
        <v>1065</v>
      </c>
      <c r="C19" s="1366">
        <v>2014</v>
      </c>
      <c r="D19" s="1360">
        <v>83333</v>
      </c>
      <c r="E19" s="1360"/>
      <c r="F19" s="1361">
        <v>174242</v>
      </c>
      <c r="G19" s="1361">
        <v>74242</v>
      </c>
      <c r="H19" s="1361">
        <v>74242</v>
      </c>
      <c r="I19" s="1361">
        <v>74242</v>
      </c>
      <c r="J19" s="1367">
        <v>519699</v>
      </c>
      <c r="K19" s="1368">
        <f>G19+H19+J19+I19</f>
        <v>742425</v>
      </c>
      <c r="L19" s="1364">
        <f>D19+E19+F19+K19</f>
        <v>1000000</v>
      </c>
      <c r="M19" s="1317"/>
      <c r="N19" s="1317"/>
    </row>
    <row r="20" spans="1:14" x14ac:dyDescent="0.25">
      <c r="A20" s="1332" t="s">
        <v>1052</v>
      </c>
      <c r="B20" s="1369" t="s">
        <v>1066</v>
      </c>
      <c r="C20" s="1336"/>
      <c r="D20" s="1370">
        <f>SUM(D15:D19)</f>
        <v>359938</v>
      </c>
      <c r="E20" s="1370">
        <f>SUM(E15:E18)</f>
        <v>0</v>
      </c>
      <c r="F20" s="1370">
        <f t="shared" ref="F20:L20" si="1">SUM(F15:F19)</f>
        <v>174242</v>
      </c>
      <c r="G20" s="1370">
        <f t="shared" si="1"/>
        <v>74242</v>
      </c>
      <c r="H20" s="1370">
        <f t="shared" si="1"/>
        <v>74242</v>
      </c>
      <c r="I20" s="1370">
        <f t="shared" si="1"/>
        <v>74242</v>
      </c>
      <c r="J20" s="1370">
        <f t="shared" si="1"/>
        <v>519699</v>
      </c>
      <c r="K20" s="1370">
        <f t="shared" si="1"/>
        <v>742425</v>
      </c>
      <c r="L20" s="1370">
        <f t="shared" si="1"/>
        <v>1276605</v>
      </c>
      <c r="M20" s="1371"/>
      <c r="N20" s="1371"/>
    </row>
    <row r="21" spans="1:14" x14ac:dyDescent="0.25">
      <c r="A21" s="1348" t="s">
        <v>1053</v>
      </c>
      <c r="B21" s="1365" t="s">
        <v>1067</v>
      </c>
      <c r="C21" s="1366">
        <v>2005</v>
      </c>
      <c r="D21" s="1360">
        <v>34151</v>
      </c>
      <c r="E21" s="1360">
        <v>0</v>
      </c>
      <c r="F21" s="1361"/>
      <c r="G21" s="1361"/>
      <c r="H21" s="1361"/>
      <c r="I21" s="1361"/>
      <c r="J21" s="1362"/>
      <c r="K21" s="1363">
        <f>F21+G21+H21+J21</f>
        <v>0</v>
      </c>
      <c r="L21" s="1364">
        <f>D21+E21+F21+K21</f>
        <v>34151</v>
      </c>
      <c r="M21" s="1371"/>
      <c r="N21" s="1371"/>
    </row>
    <row r="22" spans="1:14" ht="26.4" x14ac:dyDescent="0.25">
      <c r="A22" s="1348" t="s">
        <v>1054</v>
      </c>
      <c r="B22" s="1365" t="s">
        <v>1068</v>
      </c>
      <c r="C22" s="1366">
        <v>2005</v>
      </c>
      <c r="D22" s="1360">
        <v>3650</v>
      </c>
      <c r="E22" s="1360">
        <v>0</v>
      </c>
      <c r="F22" s="1361"/>
      <c r="G22" s="1361"/>
      <c r="H22" s="1361"/>
      <c r="I22" s="1361"/>
      <c r="J22" s="1362"/>
      <c r="K22" s="1363">
        <f>F22+G22+H22+J22</f>
        <v>0</v>
      </c>
      <c r="L22" s="1364">
        <f>D22+E22+F22+K22</f>
        <v>3650</v>
      </c>
      <c r="M22" s="1371"/>
      <c r="N22" s="1371"/>
    </row>
    <row r="23" spans="1:14" ht="26.4" x14ac:dyDescent="0.25">
      <c r="A23" s="1348" t="s">
        <v>1055</v>
      </c>
      <c r="B23" s="1365" t="s">
        <v>1069</v>
      </c>
      <c r="C23" s="1366">
        <v>2006</v>
      </c>
      <c r="D23" s="1360">
        <v>27478</v>
      </c>
      <c r="E23" s="1360">
        <v>0</v>
      </c>
      <c r="F23" s="1361"/>
      <c r="G23" s="1361"/>
      <c r="H23" s="1361"/>
      <c r="I23" s="1361"/>
      <c r="J23" s="1362"/>
      <c r="K23" s="1363">
        <f>F23+G23+H23+J23</f>
        <v>0</v>
      </c>
      <c r="L23" s="1364">
        <f>D23+E23+F23+K23</f>
        <v>27478</v>
      </c>
      <c r="M23" s="1371"/>
      <c r="N23" s="1371"/>
    </row>
    <row r="24" spans="1:14" ht="26.4" x14ac:dyDescent="0.25">
      <c r="A24" s="1348" t="s">
        <v>1056</v>
      </c>
      <c r="B24" s="1365" t="s">
        <v>1070</v>
      </c>
      <c r="C24" s="1372">
        <v>2008</v>
      </c>
      <c r="D24" s="1360">
        <v>13991</v>
      </c>
      <c r="E24" s="1360">
        <v>0</v>
      </c>
      <c r="F24" s="1361"/>
      <c r="G24" s="1361"/>
      <c r="H24" s="1361"/>
      <c r="I24" s="1361"/>
      <c r="J24" s="1362"/>
      <c r="K24" s="1363">
        <f>F24+G24+H24+J24</f>
        <v>0</v>
      </c>
      <c r="L24" s="1364">
        <f>D24+E24+F24+K24</f>
        <v>13991</v>
      </c>
      <c r="M24" s="1371"/>
      <c r="N24" s="1371"/>
    </row>
    <row r="25" spans="1:14" ht="26.4" x14ac:dyDescent="0.25">
      <c r="A25" s="1348" t="s">
        <v>1071</v>
      </c>
      <c r="B25" s="1365" t="s">
        <v>1072</v>
      </c>
      <c r="C25" s="1372">
        <v>2014</v>
      </c>
      <c r="D25" s="1360">
        <v>31400</v>
      </c>
      <c r="E25" s="1360">
        <v>0</v>
      </c>
      <c r="F25" s="1361">
        <v>20603</v>
      </c>
      <c r="G25" s="1361">
        <v>18587</v>
      </c>
      <c r="H25" s="1361">
        <v>16630</v>
      </c>
      <c r="I25" s="1361">
        <v>14673</v>
      </c>
      <c r="J25" s="1367">
        <v>47965</v>
      </c>
      <c r="K25" s="1368">
        <f>G25+H25+I25+J25</f>
        <v>97855</v>
      </c>
      <c r="L25" s="1370">
        <f>D25+E25+F25+K25</f>
        <v>149858</v>
      </c>
      <c r="M25" s="1371"/>
      <c r="N25" s="1371"/>
    </row>
    <row r="26" spans="1:14" x14ac:dyDescent="0.25">
      <c r="A26" s="1332">
        <v>14</v>
      </c>
      <c r="B26" s="1369" t="s">
        <v>1073</v>
      </c>
      <c r="C26" s="1336"/>
      <c r="D26" s="1370">
        <f>SUM(D21:D25)</f>
        <v>110670</v>
      </c>
      <c r="E26" s="1370">
        <f>SUM(E21:E25)</f>
        <v>0</v>
      </c>
      <c r="F26" s="1370">
        <f t="shared" ref="F26:L26" si="2">SUM(F21:F25)</f>
        <v>20603</v>
      </c>
      <c r="G26" s="1370">
        <f t="shared" si="2"/>
        <v>18587</v>
      </c>
      <c r="H26" s="1370">
        <f t="shared" si="2"/>
        <v>16630</v>
      </c>
      <c r="I26" s="1370">
        <f t="shared" si="2"/>
        <v>14673</v>
      </c>
      <c r="J26" s="1370">
        <f t="shared" si="2"/>
        <v>47965</v>
      </c>
      <c r="K26" s="1370">
        <f t="shared" si="2"/>
        <v>97855</v>
      </c>
      <c r="L26" s="1370">
        <f t="shared" si="2"/>
        <v>229128</v>
      </c>
      <c r="M26" s="1371"/>
      <c r="N26" s="1371"/>
    </row>
    <row r="27" spans="1:14" x14ac:dyDescent="0.25">
      <c r="A27" s="1348">
        <v>15</v>
      </c>
      <c r="B27" s="1365" t="s">
        <v>1074</v>
      </c>
      <c r="C27" s="1372">
        <v>2006</v>
      </c>
      <c r="D27" s="1360">
        <v>55656</v>
      </c>
      <c r="E27" s="1360"/>
      <c r="F27" s="1361">
        <v>3529</v>
      </c>
      <c r="G27" s="1361">
        <v>0</v>
      </c>
      <c r="H27" s="1361">
        <v>0</v>
      </c>
      <c r="I27" s="1361"/>
      <c r="J27" s="1362"/>
      <c r="K27" s="1373">
        <f>G27+H27+J27+I27</f>
        <v>0</v>
      </c>
      <c r="L27" s="1360">
        <f>D27+E27+F27+K27</f>
        <v>59185</v>
      </c>
      <c r="M27" s="1371"/>
      <c r="N27" s="1371"/>
    </row>
    <row r="28" spans="1:14" ht="26.4" x14ac:dyDescent="0.25">
      <c r="A28" s="1332">
        <v>16</v>
      </c>
      <c r="B28" s="1369" t="s">
        <v>1075</v>
      </c>
      <c r="C28" s="1336"/>
      <c r="D28" s="1370">
        <f t="shared" ref="D28:L28" si="3">SUM(D27)</f>
        <v>55656</v>
      </c>
      <c r="E28" s="1370">
        <f t="shared" si="3"/>
        <v>0</v>
      </c>
      <c r="F28" s="1370">
        <f t="shared" si="3"/>
        <v>3529</v>
      </c>
      <c r="G28" s="1370">
        <f t="shared" si="3"/>
        <v>0</v>
      </c>
      <c r="H28" s="1370">
        <f t="shared" si="3"/>
        <v>0</v>
      </c>
      <c r="I28" s="1370"/>
      <c r="J28" s="1370">
        <f t="shared" si="3"/>
        <v>0</v>
      </c>
      <c r="K28" s="1370">
        <f t="shared" si="3"/>
        <v>0</v>
      </c>
      <c r="L28" s="1370">
        <f t="shared" si="3"/>
        <v>59185</v>
      </c>
      <c r="M28" s="1371"/>
      <c r="N28" s="1371"/>
    </row>
    <row r="29" spans="1:14" ht="26.4" x14ac:dyDescent="0.25">
      <c r="A29" s="1348">
        <v>17</v>
      </c>
      <c r="B29" s="1365" t="s">
        <v>1076</v>
      </c>
      <c r="C29" s="1372">
        <v>2006</v>
      </c>
      <c r="D29" s="1360">
        <v>21072</v>
      </c>
      <c r="E29" s="1360">
        <v>0</v>
      </c>
      <c r="F29" s="1361">
        <v>140</v>
      </c>
      <c r="G29" s="1361">
        <v>0</v>
      </c>
      <c r="H29" s="1361">
        <v>0</v>
      </c>
      <c r="I29" s="1361"/>
      <c r="J29" s="1362"/>
      <c r="K29" s="1373">
        <f>G29+H29+J29+I29</f>
        <v>0</v>
      </c>
      <c r="L29" s="1360">
        <f>D29+E29+F29+K29</f>
        <v>21212</v>
      </c>
      <c r="M29" s="1371"/>
      <c r="N29" s="1371"/>
    </row>
    <row r="30" spans="1:14" ht="26.4" x14ac:dyDescent="0.25">
      <c r="A30" s="1332">
        <v>18</v>
      </c>
      <c r="B30" s="1369" t="s">
        <v>1077</v>
      </c>
      <c r="C30" s="1336"/>
      <c r="D30" s="1370">
        <f t="shared" ref="D30:L30" si="4">SUM(D29)</f>
        <v>21072</v>
      </c>
      <c r="E30" s="1370">
        <f t="shared" si="4"/>
        <v>0</v>
      </c>
      <c r="F30" s="1374">
        <f t="shared" si="4"/>
        <v>140</v>
      </c>
      <c r="G30" s="1374">
        <f t="shared" si="4"/>
        <v>0</v>
      </c>
      <c r="H30" s="1374">
        <f t="shared" si="4"/>
        <v>0</v>
      </c>
      <c r="I30" s="1374"/>
      <c r="J30" s="1374">
        <f t="shared" si="4"/>
        <v>0</v>
      </c>
      <c r="K30" s="1374">
        <f t="shared" si="4"/>
        <v>0</v>
      </c>
      <c r="L30" s="1374">
        <f t="shared" si="4"/>
        <v>21212</v>
      </c>
      <c r="M30" s="1371"/>
      <c r="N30" s="1371"/>
    </row>
    <row r="31" spans="1:14" ht="20.25" customHeight="1" x14ac:dyDescent="0.25">
      <c r="A31" s="1332" t="s">
        <v>1047</v>
      </c>
      <c r="B31" s="1333" t="s">
        <v>506</v>
      </c>
      <c r="C31" s="1333" t="s">
        <v>507</v>
      </c>
      <c r="D31" s="1333" t="s">
        <v>1048</v>
      </c>
      <c r="E31" s="1333" t="s">
        <v>1049</v>
      </c>
      <c r="F31" s="1334" t="s">
        <v>1050</v>
      </c>
      <c r="G31" s="1334" t="s">
        <v>1051</v>
      </c>
      <c r="H31" s="1334" t="s">
        <v>1052</v>
      </c>
      <c r="I31" s="1334" t="s">
        <v>1053</v>
      </c>
      <c r="J31" s="1334" t="s">
        <v>1054</v>
      </c>
      <c r="K31" s="1335" t="s">
        <v>1055</v>
      </c>
      <c r="L31" s="1336" t="s">
        <v>1056</v>
      </c>
      <c r="M31" s="1317"/>
      <c r="N31" s="1317"/>
    </row>
    <row r="32" spans="1:14" x14ac:dyDescent="0.25">
      <c r="A32" s="1348">
        <v>19</v>
      </c>
      <c r="B32" s="1375" t="s">
        <v>1078</v>
      </c>
      <c r="C32" s="1376"/>
      <c r="D32" s="1357">
        <f>SUM(D33:D82)</f>
        <v>1041417</v>
      </c>
      <c r="E32" s="1357">
        <f t="shared" ref="E32:L32" si="5">SUM(E33:E82)</f>
        <v>177153</v>
      </c>
      <c r="F32" s="1357">
        <f t="shared" si="5"/>
        <v>462342</v>
      </c>
      <c r="G32" s="1357">
        <f t="shared" si="5"/>
        <v>370576</v>
      </c>
      <c r="H32" s="1357">
        <f t="shared" si="5"/>
        <v>245384</v>
      </c>
      <c r="I32" s="1357">
        <f t="shared" si="5"/>
        <v>43762</v>
      </c>
      <c r="J32" s="1357">
        <f t="shared" si="5"/>
        <v>165855</v>
      </c>
      <c r="K32" s="1357">
        <f t="shared" si="5"/>
        <v>823630</v>
      </c>
      <c r="L32" s="1357">
        <f t="shared" si="5"/>
        <v>2504542</v>
      </c>
      <c r="M32" s="1317"/>
      <c r="N32" s="1317"/>
    </row>
    <row r="33" spans="1:14" ht="26.4" x14ac:dyDescent="0.25">
      <c r="A33" s="1348">
        <v>20</v>
      </c>
      <c r="B33" s="1377" t="s">
        <v>1079</v>
      </c>
      <c r="C33" s="1348" t="s">
        <v>1080</v>
      </c>
      <c r="D33" s="1378">
        <v>10800</v>
      </c>
      <c r="E33" s="1378">
        <v>1200</v>
      </c>
      <c r="F33" s="1379">
        <v>0</v>
      </c>
      <c r="G33" s="1379">
        <v>0</v>
      </c>
      <c r="H33" s="1379">
        <v>0</v>
      </c>
      <c r="I33" s="1379"/>
      <c r="J33" s="1380"/>
      <c r="K33" s="1373">
        <f>G33+H33+J33+I33</f>
        <v>0</v>
      </c>
      <c r="L33" s="1360">
        <f t="shared" ref="L33:L45" si="6">D33+E33+F33+K33</f>
        <v>12000</v>
      </c>
      <c r="M33" s="1316"/>
      <c r="N33" s="1316"/>
    </row>
    <row r="34" spans="1:14" ht="26.4" x14ac:dyDescent="0.25">
      <c r="A34" s="1348">
        <v>21</v>
      </c>
      <c r="B34" s="1377" t="s">
        <v>1081</v>
      </c>
      <c r="C34" s="1348" t="s">
        <v>1080</v>
      </c>
      <c r="D34" s="1378">
        <v>12000</v>
      </c>
      <c r="E34" s="1378"/>
      <c r="F34" s="1379">
        <v>0</v>
      </c>
      <c r="G34" s="1379">
        <v>0</v>
      </c>
      <c r="H34" s="1379">
        <v>0</v>
      </c>
      <c r="I34" s="1379"/>
      <c r="J34" s="1380"/>
      <c r="K34" s="1373">
        <f t="shared" ref="K34:K45" si="7">G34+H34+J34+I34</f>
        <v>0</v>
      </c>
      <c r="L34" s="1360">
        <f t="shared" si="6"/>
        <v>12000</v>
      </c>
      <c r="M34" s="1317"/>
      <c r="N34" s="1317"/>
    </row>
    <row r="35" spans="1:14" ht="26.4" x14ac:dyDescent="0.25">
      <c r="A35" s="1348">
        <v>22</v>
      </c>
      <c r="B35" s="1377" t="s">
        <v>1082</v>
      </c>
      <c r="C35" s="1348" t="s">
        <v>1080</v>
      </c>
      <c r="D35" s="1378">
        <v>17000</v>
      </c>
      <c r="E35" s="1378">
        <v>0</v>
      </c>
      <c r="F35" s="1379">
        <v>0</v>
      </c>
      <c r="G35" s="1379">
        <v>0</v>
      </c>
      <c r="H35" s="1379">
        <v>0</v>
      </c>
      <c r="I35" s="1379"/>
      <c r="J35" s="1380"/>
      <c r="K35" s="1373">
        <f t="shared" si="7"/>
        <v>0</v>
      </c>
      <c r="L35" s="1360">
        <f t="shared" si="6"/>
        <v>17000</v>
      </c>
      <c r="M35" s="1316"/>
      <c r="N35" s="1316"/>
    </row>
    <row r="36" spans="1:14" ht="26.4" x14ac:dyDescent="0.25">
      <c r="A36" s="1348">
        <v>23</v>
      </c>
      <c r="B36" s="1377" t="s">
        <v>1083</v>
      </c>
      <c r="C36" s="1348" t="s">
        <v>1084</v>
      </c>
      <c r="D36" s="1378">
        <v>3200</v>
      </c>
      <c r="E36" s="1378">
        <v>0</v>
      </c>
      <c r="F36" s="1379">
        <v>400</v>
      </c>
      <c r="G36" s="1379">
        <v>400</v>
      </c>
      <c r="H36" s="1379">
        <v>0</v>
      </c>
      <c r="I36" s="1379"/>
      <c r="J36" s="1380"/>
      <c r="K36" s="1373">
        <f t="shared" si="7"/>
        <v>400</v>
      </c>
      <c r="L36" s="1360">
        <f t="shared" si="6"/>
        <v>4000</v>
      </c>
      <c r="M36" s="1316"/>
      <c r="N36" s="1316"/>
    </row>
    <row r="37" spans="1:14" ht="26.4" x14ac:dyDescent="0.25">
      <c r="A37" s="1348">
        <v>24</v>
      </c>
      <c r="B37" s="1377" t="s">
        <v>1085</v>
      </c>
      <c r="C37" s="1348" t="s">
        <v>1084</v>
      </c>
      <c r="D37" s="1378">
        <v>3200</v>
      </c>
      <c r="E37" s="1378">
        <v>0</v>
      </c>
      <c r="F37" s="1379">
        <v>400</v>
      </c>
      <c r="G37" s="1379">
        <v>400</v>
      </c>
      <c r="H37" s="1379">
        <v>0</v>
      </c>
      <c r="I37" s="1379"/>
      <c r="J37" s="1380"/>
      <c r="K37" s="1373">
        <f t="shared" si="7"/>
        <v>400</v>
      </c>
      <c r="L37" s="1360">
        <f t="shared" si="6"/>
        <v>4000</v>
      </c>
      <c r="M37" s="1316"/>
      <c r="N37" s="1316"/>
    </row>
    <row r="38" spans="1:14" ht="26.4" x14ac:dyDescent="0.25">
      <c r="A38" s="1348">
        <v>25</v>
      </c>
      <c r="B38" s="1377" t="s">
        <v>1086</v>
      </c>
      <c r="C38" s="1348" t="s">
        <v>1084</v>
      </c>
      <c r="D38" s="1378">
        <v>8400</v>
      </c>
      <c r="E38" s="1378">
        <v>1200</v>
      </c>
      <c r="F38" s="1379">
        <v>1200</v>
      </c>
      <c r="G38" s="1379">
        <v>1200</v>
      </c>
      <c r="H38" s="1379">
        <v>0</v>
      </c>
      <c r="I38" s="1379"/>
      <c r="J38" s="1380"/>
      <c r="K38" s="1373">
        <f t="shared" si="7"/>
        <v>1200</v>
      </c>
      <c r="L38" s="1360">
        <f t="shared" si="6"/>
        <v>12000</v>
      </c>
      <c r="M38" s="1316"/>
      <c r="N38" s="1316"/>
    </row>
    <row r="39" spans="1:14" ht="26.4" x14ac:dyDescent="0.25">
      <c r="A39" s="1348">
        <v>26</v>
      </c>
      <c r="B39" s="1377" t="s">
        <v>1087</v>
      </c>
      <c r="C39" s="1348" t="s">
        <v>1084</v>
      </c>
      <c r="D39" s="1378">
        <v>3360</v>
      </c>
      <c r="E39" s="1378">
        <v>0</v>
      </c>
      <c r="F39" s="1379">
        <v>420</v>
      </c>
      <c r="G39" s="1379">
        <v>420</v>
      </c>
      <c r="H39" s="1379">
        <v>0</v>
      </c>
      <c r="I39" s="1379"/>
      <c r="J39" s="1380"/>
      <c r="K39" s="1373">
        <f t="shared" si="7"/>
        <v>420</v>
      </c>
      <c r="L39" s="1360">
        <f t="shared" si="6"/>
        <v>4200</v>
      </c>
      <c r="M39" s="1316"/>
      <c r="N39" s="1316"/>
    </row>
    <row r="40" spans="1:14" ht="26.4" x14ac:dyDescent="0.25">
      <c r="A40" s="1348">
        <v>27</v>
      </c>
      <c r="B40" s="1377" t="s">
        <v>1088</v>
      </c>
      <c r="C40" s="1348" t="s">
        <v>1084</v>
      </c>
      <c r="D40" s="1378">
        <v>7992</v>
      </c>
      <c r="E40" s="1378"/>
      <c r="F40" s="1379">
        <v>999</v>
      </c>
      <c r="G40" s="1379">
        <v>994</v>
      </c>
      <c r="H40" s="1379">
        <v>0</v>
      </c>
      <c r="I40" s="1379"/>
      <c r="J40" s="1380"/>
      <c r="K40" s="1373">
        <f t="shared" si="7"/>
        <v>994</v>
      </c>
      <c r="L40" s="1360">
        <f t="shared" si="6"/>
        <v>9985</v>
      </c>
      <c r="M40" s="1316"/>
      <c r="N40" s="1316"/>
    </row>
    <row r="41" spans="1:14" ht="26.4" x14ac:dyDescent="0.25">
      <c r="A41" s="1348">
        <v>28</v>
      </c>
      <c r="B41" s="1377" t="s">
        <v>1089</v>
      </c>
      <c r="C41" s="1348" t="s">
        <v>1084</v>
      </c>
      <c r="D41" s="1378">
        <v>1920</v>
      </c>
      <c r="E41" s="1378">
        <v>0</v>
      </c>
      <c r="F41" s="1379">
        <v>240</v>
      </c>
      <c r="G41" s="1379">
        <v>240</v>
      </c>
      <c r="H41" s="1379">
        <v>0</v>
      </c>
      <c r="I41" s="1379"/>
      <c r="J41" s="1380">
        <v>0</v>
      </c>
      <c r="K41" s="1373">
        <f t="shared" si="7"/>
        <v>240</v>
      </c>
      <c r="L41" s="1360">
        <f t="shared" si="6"/>
        <v>2400</v>
      </c>
      <c r="M41" s="1316"/>
      <c r="N41" s="1316"/>
    </row>
    <row r="42" spans="1:14" s="204" customFormat="1" ht="39.6" x14ac:dyDescent="0.25">
      <c r="A42" s="1348">
        <v>29</v>
      </c>
      <c r="B42" s="1377" t="s">
        <v>1090</v>
      </c>
      <c r="C42" s="1348" t="s">
        <v>1080</v>
      </c>
      <c r="D42" s="1378">
        <v>1100</v>
      </c>
      <c r="E42" s="1378">
        <v>0</v>
      </c>
      <c r="F42" s="1379">
        <v>100</v>
      </c>
      <c r="G42" s="1379">
        <v>100</v>
      </c>
      <c r="H42" s="1379">
        <v>100</v>
      </c>
      <c r="I42" s="1379">
        <v>100</v>
      </c>
      <c r="J42" s="1380"/>
      <c r="K42" s="1373">
        <f t="shared" si="7"/>
        <v>300</v>
      </c>
      <c r="L42" s="1360">
        <f t="shared" si="6"/>
        <v>1500</v>
      </c>
      <c r="M42" s="1316"/>
      <c r="N42" s="1316"/>
    </row>
    <row r="43" spans="1:14" ht="71.25" customHeight="1" x14ac:dyDescent="0.25">
      <c r="A43" s="1348">
        <v>30</v>
      </c>
      <c r="B43" s="1381" t="s">
        <v>1091</v>
      </c>
      <c r="C43" s="1348" t="s">
        <v>1092</v>
      </c>
      <c r="D43" s="1378">
        <v>13736</v>
      </c>
      <c r="E43" s="1378">
        <v>0</v>
      </c>
      <c r="F43" s="1379">
        <v>2747</v>
      </c>
      <c r="G43" s="1379">
        <v>2747</v>
      </c>
      <c r="H43" s="1379">
        <v>2747</v>
      </c>
      <c r="I43" s="1379">
        <v>2747</v>
      </c>
      <c r="J43" s="1380">
        <v>4419</v>
      </c>
      <c r="K43" s="1373">
        <v>9913</v>
      </c>
      <c r="L43" s="1360">
        <f t="shared" si="6"/>
        <v>26396</v>
      </c>
      <c r="M43" s="1316"/>
      <c r="N43" s="1316"/>
    </row>
    <row r="44" spans="1:14" ht="52.8" x14ac:dyDescent="0.25">
      <c r="A44" s="1348">
        <v>31</v>
      </c>
      <c r="B44" s="1377" t="s">
        <v>1093</v>
      </c>
      <c r="C44" s="1348" t="s">
        <v>1092</v>
      </c>
      <c r="D44" s="1378">
        <v>51820</v>
      </c>
      <c r="E44" s="1378"/>
      <c r="F44" s="1379"/>
      <c r="G44" s="1379">
        <v>0</v>
      </c>
      <c r="H44" s="1379">
        <v>128160</v>
      </c>
      <c r="I44" s="1379"/>
      <c r="J44" s="1379">
        <v>0</v>
      </c>
      <c r="K44" s="1373">
        <f t="shared" si="7"/>
        <v>128160</v>
      </c>
      <c r="L44" s="1360">
        <f t="shared" si="6"/>
        <v>179980</v>
      </c>
      <c r="M44" s="1317"/>
      <c r="N44" s="1317"/>
    </row>
    <row r="45" spans="1:14" s="1390" customFormat="1" ht="26.4" x14ac:dyDescent="0.25">
      <c r="A45" s="1382">
        <v>32</v>
      </c>
      <c r="B45" s="1383" t="s">
        <v>1094</v>
      </c>
      <c r="C45" s="1382" t="s">
        <v>1092</v>
      </c>
      <c r="D45" s="1384">
        <v>18269</v>
      </c>
      <c r="E45" s="1384">
        <v>0</v>
      </c>
      <c r="F45" s="1385">
        <v>2304</v>
      </c>
      <c r="G45" s="1385">
        <v>1964</v>
      </c>
      <c r="H45" s="1385">
        <v>1964</v>
      </c>
      <c r="I45" s="1385">
        <v>1964</v>
      </c>
      <c r="J45" s="1386">
        <v>96236</v>
      </c>
      <c r="K45" s="1387">
        <f t="shared" si="7"/>
        <v>102128</v>
      </c>
      <c r="L45" s="1388">
        <f t="shared" si="6"/>
        <v>122701</v>
      </c>
      <c r="M45" s="1389"/>
      <c r="N45" s="1389"/>
    </row>
    <row r="46" spans="1:14" ht="18.75" customHeight="1" x14ac:dyDescent="0.25">
      <c r="A46" s="1332" t="s">
        <v>1047</v>
      </c>
      <c r="B46" s="1333" t="s">
        <v>506</v>
      </c>
      <c r="C46" s="1333" t="s">
        <v>507</v>
      </c>
      <c r="D46" s="1333" t="s">
        <v>1048</v>
      </c>
      <c r="E46" s="1333" t="s">
        <v>1049</v>
      </c>
      <c r="F46" s="1334" t="s">
        <v>1050</v>
      </c>
      <c r="G46" s="1334" t="s">
        <v>1051</v>
      </c>
      <c r="H46" s="1334" t="s">
        <v>1052</v>
      </c>
      <c r="I46" s="1334" t="s">
        <v>1053</v>
      </c>
      <c r="J46" s="1334" t="s">
        <v>1054</v>
      </c>
      <c r="K46" s="1335" t="s">
        <v>1055</v>
      </c>
      <c r="L46" s="1336" t="s">
        <v>1056</v>
      </c>
      <c r="M46" s="1317"/>
      <c r="N46" s="1317"/>
    </row>
    <row r="47" spans="1:14" ht="26.4" x14ac:dyDescent="0.25">
      <c r="A47" s="1348">
        <v>33</v>
      </c>
      <c r="B47" s="1377" t="s">
        <v>1095</v>
      </c>
      <c r="C47" s="1348">
        <v>2009</v>
      </c>
      <c r="D47" s="1391">
        <v>8912</v>
      </c>
      <c r="E47" s="1391">
        <v>64</v>
      </c>
      <c r="F47" s="1392">
        <v>1496</v>
      </c>
      <c r="G47" s="1392">
        <v>1496</v>
      </c>
      <c r="H47" s="1392">
        <v>1496</v>
      </c>
      <c r="I47" s="1392">
        <v>1496</v>
      </c>
      <c r="J47" s="1380">
        <v>0</v>
      </c>
      <c r="K47" s="1373">
        <f t="shared" ref="K47:K59" si="8">G47+H47+J47+I47</f>
        <v>4488</v>
      </c>
      <c r="L47" s="1360">
        <f t="shared" ref="L47:L59" si="9">D47+E47+F47+K47</f>
        <v>14960</v>
      </c>
      <c r="M47" s="1317"/>
      <c r="N47" s="1317"/>
    </row>
    <row r="48" spans="1:14" ht="26.4" x14ac:dyDescent="0.25">
      <c r="A48" s="1348">
        <v>34</v>
      </c>
      <c r="B48" s="1377" t="s">
        <v>1096</v>
      </c>
      <c r="C48" s="1348">
        <v>2009</v>
      </c>
      <c r="D48" s="1391">
        <v>9534</v>
      </c>
      <c r="E48" s="1391"/>
      <c r="F48" s="1392">
        <v>1589</v>
      </c>
      <c r="G48" s="1392">
        <v>1589</v>
      </c>
      <c r="H48" s="1392">
        <v>1589</v>
      </c>
      <c r="I48" s="1392">
        <v>1589</v>
      </c>
      <c r="J48" s="1380">
        <v>0</v>
      </c>
      <c r="K48" s="1373">
        <f t="shared" si="8"/>
        <v>4767</v>
      </c>
      <c r="L48" s="1360">
        <f t="shared" si="9"/>
        <v>15890</v>
      </c>
      <c r="M48" s="1317"/>
      <c r="N48" s="1317"/>
    </row>
    <row r="49" spans="1:14" ht="26.4" x14ac:dyDescent="0.25">
      <c r="A49" s="1348">
        <v>35</v>
      </c>
      <c r="B49" s="1377" t="s">
        <v>1097</v>
      </c>
      <c r="C49" s="1348" t="s">
        <v>1098</v>
      </c>
      <c r="D49" s="1391">
        <v>8341</v>
      </c>
      <c r="E49" s="1391">
        <v>0</v>
      </c>
      <c r="F49" s="1392">
        <v>1390</v>
      </c>
      <c r="G49" s="1392">
        <v>1390</v>
      </c>
      <c r="H49" s="1392">
        <v>1390</v>
      </c>
      <c r="I49" s="1392">
        <v>1394</v>
      </c>
      <c r="J49" s="1380">
        <v>0</v>
      </c>
      <c r="K49" s="1373">
        <f t="shared" si="8"/>
        <v>4174</v>
      </c>
      <c r="L49" s="1360">
        <f t="shared" si="9"/>
        <v>13905</v>
      </c>
      <c r="M49" s="1317"/>
      <c r="N49" s="1317"/>
    </row>
    <row r="50" spans="1:14" ht="26.4" x14ac:dyDescent="0.25">
      <c r="A50" s="1348">
        <v>36</v>
      </c>
      <c r="B50" s="1377" t="s">
        <v>1099</v>
      </c>
      <c r="C50" s="1348" t="s">
        <v>1098</v>
      </c>
      <c r="D50" s="1391">
        <v>13916</v>
      </c>
      <c r="E50" s="1391">
        <v>0</v>
      </c>
      <c r="F50" s="1392">
        <v>2319</v>
      </c>
      <c r="G50" s="1392">
        <v>2320</v>
      </c>
      <c r="H50" s="1392">
        <v>2320</v>
      </c>
      <c r="I50" s="1392">
        <v>2320</v>
      </c>
      <c r="J50" s="1380">
        <v>0</v>
      </c>
      <c r="K50" s="1373">
        <f t="shared" si="8"/>
        <v>6960</v>
      </c>
      <c r="L50" s="1360">
        <f t="shared" si="9"/>
        <v>23195</v>
      </c>
      <c r="M50" s="1317"/>
      <c r="N50" s="1317"/>
    </row>
    <row r="51" spans="1:14" ht="26.4" x14ac:dyDescent="0.25">
      <c r="A51" s="1348">
        <v>37</v>
      </c>
      <c r="B51" s="1377" t="s">
        <v>1100</v>
      </c>
      <c r="C51" s="1348" t="s">
        <v>1098</v>
      </c>
      <c r="D51" s="1391">
        <v>8994</v>
      </c>
      <c r="E51" s="1391"/>
      <c r="F51" s="1392">
        <v>1499</v>
      </c>
      <c r="G51" s="1392">
        <v>1499</v>
      </c>
      <c r="H51" s="1392">
        <v>1499</v>
      </c>
      <c r="I51" s="1392">
        <v>1498</v>
      </c>
      <c r="J51" s="1380">
        <v>0</v>
      </c>
      <c r="K51" s="1373">
        <f t="shared" si="8"/>
        <v>4496</v>
      </c>
      <c r="L51" s="1360">
        <f t="shared" si="9"/>
        <v>14989</v>
      </c>
      <c r="M51" s="1317"/>
      <c r="N51" s="1317"/>
    </row>
    <row r="52" spans="1:14" ht="39.6" x14ac:dyDescent="0.25">
      <c r="A52" s="1348">
        <v>38</v>
      </c>
      <c r="B52" s="1377" t="s">
        <v>1101</v>
      </c>
      <c r="C52" s="1348" t="s">
        <v>1098</v>
      </c>
      <c r="D52" s="1378">
        <v>35000</v>
      </c>
      <c r="E52" s="1378"/>
      <c r="F52" s="1379">
        <v>0</v>
      </c>
      <c r="G52" s="1379">
        <v>0</v>
      </c>
      <c r="H52" s="1379"/>
      <c r="I52" s="1379"/>
      <c r="J52" s="1380"/>
      <c r="K52" s="1373">
        <f t="shared" si="8"/>
        <v>0</v>
      </c>
      <c r="L52" s="1360">
        <f t="shared" si="9"/>
        <v>35000</v>
      </c>
      <c r="M52" s="1317"/>
      <c r="N52" s="1317"/>
    </row>
    <row r="53" spans="1:14" ht="39.6" x14ac:dyDescent="0.25">
      <c r="A53" s="1348">
        <v>39</v>
      </c>
      <c r="B53" s="1377" t="s">
        <v>1102</v>
      </c>
      <c r="C53" s="1348">
        <v>2009</v>
      </c>
      <c r="D53" s="1378">
        <v>119242</v>
      </c>
      <c r="E53" s="1378"/>
      <c r="F53" s="1379">
        <v>19500</v>
      </c>
      <c r="G53" s="1392">
        <v>19500</v>
      </c>
      <c r="H53" s="1392"/>
      <c r="I53" s="1392"/>
      <c r="J53" s="1380"/>
      <c r="K53" s="1373">
        <f t="shared" si="8"/>
        <v>19500</v>
      </c>
      <c r="L53" s="1360">
        <f t="shared" si="9"/>
        <v>158242</v>
      </c>
      <c r="M53" s="1316"/>
      <c r="N53" s="1316"/>
    </row>
    <row r="54" spans="1:14" s="1390" customFormat="1" ht="53.25" customHeight="1" x14ac:dyDescent="0.25">
      <c r="A54" s="1382">
        <v>40</v>
      </c>
      <c r="B54" s="1393" t="s">
        <v>1103</v>
      </c>
      <c r="C54" s="1394">
        <v>2010</v>
      </c>
      <c r="D54" s="1395">
        <v>25624</v>
      </c>
      <c r="E54" s="1396">
        <v>1676</v>
      </c>
      <c r="F54" s="1396"/>
      <c r="G54" s="1396"/>
      <c r="H54" s="1396"/>
      <c r="I54" s="1396"/>
      <c r="J54" s="1386"/>
      <c r="K54" s="1387">
        <f t="shared" si="8"/>
        <v>0</v>
      </c>
      <c r="L54" s="1388">
        <f t="shared" si="9"/>
        <v>27300</v>
      </c>
      <c r="M54" s="1389"/>
      <c r="N54" s="1389"/>
    </row>
    <row r="55" spans="1:14" s="1390" customFormat="1" ht="26.4" x14ac:dyDescent="0.25">
      <c r="A55" s="1382">
        <v>41</v>
      </c>
      <c r="B55" s="1397" t="s">
        <v>1104</v>
      </c>
      <c r="C55" s="1382">
        <v>2011</v>
      </c>
      <c r="D55" s="1398">
        <v>3240</v>
      </c>
      <c r="E55" s="1398">
        <v>6524</v>
      </c>
      <c r="F55" s="1386"/>
      <c r="G55" s="1386"/>
      <c r="H55" s="1386"/>
      <c r="I55" s="1386"/>
      <c r="J55" s="1386"/>
      <c r="K55" s="1387">
        <f t="shared" si="8"/>
        <v>0</v>
      </c>
      <c r="L55" s="1388">
        <f t="shared" si="9"/>
        <v>9764</v>
      </c>
      <c r="M55" s="1389"/>
      <c r="N55" s="1389"/>
    </row>
    <row r="56" spans="1:14" ht="26.4" x14ac:dyDescent="0.25">
      <c r="A56" s="1348">
        <v>42</v>
      </c>
      <c r="B56" s="1358" t="s">
        <v>1105</v>
      </c>
      <c r="C56" s="1359">
        <v>2011</v>
      </c>
      <c r="D56" s="1399">
        <v>2400</v>
      </c>
      <c r="E56" s="1400">
        <v>3600</v>
      </c>
      <c r="F56" s="1400">
        <v>1200</v>
      </c>
      <c r="G56" s="1400">
        <v>1200</v>
      </c>
      <c r="H56" s="1400">
        <v>1200</v>
      </c>
      <c r="I56" s="1400">
        <v>1200</v>
      </c>
      <c r="J56" s="1380">
        <v>1200</v>
      </c>
      <c r="K56" s="1373">
        <f t="shared" si="8"/>
        <v>4800</v>
      </c>
      <c r="L56" s="1360">
        <f t="shared" si="9"/>
        <v>12000</v>
      </c>
      <c r="M56" s="1317"/>
      <c r="N56" s="1317"/>
    </row>
    <row r="57" spans="1:14" ht="26.4" x14ac:dyDescent="0.25">
      <c r="A57" s="1348">
        <v>43</v>
      </c>
      <c r="B57" s="1358" t="s">
        <v>1106</v>
      </c>
      <c r="C57" s="1359">
        <v>2011</v>
      </c>
      <c r="D57" s="1399"/>
      <c r="E57" s="1400"/>
      <c r="F57" s="1400"/>
      <c r="G57" s="1316"/>
      <c r="H57" s="1400">
        <v>12000</v>
      </c>
      <c r="I57" s="1400">
        <v>12000</v>
      </c>
      <c r="J57" s="1380">
        <v>0</v>
      </c>
      <c r="K57" s="1373">
        <f t="shared" si="8"/>
        <v>24000</v>
      </c>
      <c r="L57" s="1360">
        <f t="shared" si="9"/>
        <v>24000</v>
      </c>
      <c r="M57" s="1316"/>
      <c r="N57" s="1316"/>
    </row>
    <row r="58" spans="1:14" ht="26.4" x14ac:dyDescent="0.25">
      <c r="A58" s="1382">
        <v>44</v>
      </c>
      <c r="B58" s="1401" t="s">
        <v>1107</v>
      </c>
      <c r="C58" s="1382">
        <v>2011</v>
      </c>
      <c r="D58" s="1398">
        <v>12234</v>
      </c>
      <c r="E58" s="1398">
        <v>0</v>
      </c>
      <c r="F58" s="1386">
        <v>0</v>
      </c>
      <c r="G58" s="1386"/>
      <c r="H58" s="1386"/>
      <c r="I58" s="1386"/>
      <c r="J58" s="1386"/>
      <c r="K58" s="1387">
        <f t="shared" si="8"/>
        <v>0</v>
      </c>
      <c r="L58" s="1388">
        <f t="shared" si="9"/>
        <v>12234</v>
      </c>
      <c r="M58" s="1389"/>
      <c r="N58" s="1389"/>
    </row>
    <row r="59" spans="1:14" ht="26.4" x14ac:dyDescent="0.25">
      <c r="A59" s="1382">
        <v>45</v>
      </c>
      <c r="B59" s="1397" t="s">
        <v>1108</v>
      </c>
      <c r="C59" s="1382">
        <v>2011</v>
      </c>
      <c r="D59" s="1398">
        <v>42330</v>
      </c>
      <c r="E59" s="1398">
        <v>330</v>
      </c>
      <c r="F59" s="1386"/>
      <c r="G59" s="1386"/>
      <c r="H59" s="1386"/>
      <c r="I59" s="1386"/>
      <c r="J59" s="1386"/>
      <c r="K59" s="1387">
        <f t="shared" si="8"/>
        <v>0</v>
      </c>
      <c r="L59" s="1388">
        <f t="shared" si="9"/>
        <v>42660</v>
      </c>
      <c r="M59" s="1389"/>
      <c r="N59" s="1389"/>
    </row>
    <row r="60" spans="1:14" ht="66" x14ac:dyDescent="0.25">
      <c r="A60" s="1382">
        <v>46</v>
      </c>
      <c r="B60" s="1397" t="s">
        <v>1109</v>
      </c>
      <c r="C60" s="1382">
        <v>2011</v>
      </c>
      <c r="D60" s="1398">
        <v>333527</v>
      </c>
      <c r="E60" s="1398">
        <v>20823</v>
      </c>
      <c r="F60" s="1386"/>
      <c r="G60" s="1386"/>
      <c r="H60" s="1386"/>
      <c r="I60" s="1386"/>
      <c r="J60" s="1386"/>
      <c r="K60" s="1387">
        <f>G60+H60+J60+I60</f>
        <v>0</v>
      </c>
      <c r="L60" s="1388">
        <f>D60+E60+F60+K60</f>
        <v>354350</v>
      </c>
      <c r="M60" s="1389"/>
      <c r="N60" s="1389"/>
    </row>
    <row r="61" spans="1:14" ht="26.4" x14ac:dyDescent="0.25">
      <c r="A61" s="1382">
        <v>47</v>
      </c>
      <c r="B61" s="1401" t="s">
        <v>1110</v>
      </c>
      <c r="C61" s="1382">
        <v>2012</v>
      </c>
      <c r="D61" s="1398">
        <v>90171</v>
      </c>
      <c r="E61" s="1398">
        <v>1791</v>
      </c>
      <c r="F61" s="1386"/>
      <c r="G61" s="1386"/>
      <c r="H61" s="1386"/>
      <c r="I61" s="1386"/>
      <c r="J61" s="1386"/>
      <c r="K61" s="1387">
        <f>G61+H61+J61+I61</f>
        <v>0</v>
      </c>
      <c r="L61" s="1388">
        <f>D61+E61+F61+K61</f>
        <v>91962</v>
      </c>
      <c r="M61" s="1389"/>
      <c r="N61" s="1389"/>
    </row>
    <row r="62" spans="1:14" ht="18.75" customHeight="1" x14ac:dyDescent="0.25">
      <c r="A62" s="1332" t="s">
        <v>1047</v>
      </c>
      <c r="B62" s="1333" t="s">
        <v>506</v>
      </c>
      <c r="C62" s="1333" t="s">
        <v>507</v>
      </c>
      <c r="D62" s="1333" t="s">
        <v>1048</v>
      </c>
      <c r="E62" s="1333" t="s">
        <v>1049</v>
      </c>
      <c r="F62" s="1334" t="s">
        <v>1050</v>
      </c>
      <c r="G62" s="1334" t="s">
        <v>1051</v>
      </c>
      <c r="H62" s="1334" t="s">
        <v>1052</v>
      </c>
      <c r="I62" s="1334" t="s">
        <v>1053</v>
      </c>
      <c r="J62" s="1334" t="s">
        <v>1054</v>
      </c>
      <c r="K62" s="1335" t="s">
        <v>1055</v>
      </c>
      <c r="L62" s="1336" t="s">
        <v>1056</v>
      </c>
      <c r="M62" s="1317"/>
      <c r="N62" s="1317"/>
    </row>
    <row r="63" spans="1:14" ht="39.6" x14ac:dyDescent="0.25">
      <c r="A63" s="1348">
        <v>48</v>
      </c>
      <c r="B63" s="1381" t="s">
        <v>1111</v>
      </c>
      <c r="C63" s="1402">
        <v>2012</v>
      </c>
      <c r="D63" s="1403"/>
      <c r="E63" s="1403"/>
      <c r="F63" s="1380"/>
      <c r="G63" s="1380">
        <v>33600</v>
      </c>
      <c r="H63" s="1380"/>
      <c r="I63" s="1380"/>
      <c r="J63" s="1380"/>
      <c r="K63" s="1373">
        <f t="shared" ref="K63:K64" si="10">G63+H63+J63+I63</f>
        <v>33600</v>
      </c>
      <c r="L63" s="1360">
        <f t="shared" ref="L63:L64" si="11">D63+E63+F63+K63</f>
        <v>33600</v>
      </c>
      <c r="M63" s="1389"/>
      <c r="N63" s="1389"/>
    </row>
    <row r="64" spans="1:14" ht="52.8" x14ac:dyDescent="0.25">
      <c r="A64" s="1348">
        <v>49</v>
      </c>
      <c r="B64" s="1381" t="s">
        <v>1112</v>
      </c>
      <c r="C64" s="1402">
        <v>2013</v>
      </c>
      <c r="D64" s="1403">
        <v>0</v>
      </c>
      <c r="E64" s="1403"/>
      <c r="F64" s="1380">
        <v>50000</v>
      </c>
      <c r="G64" s="1380">
        <v>124270</v>
      </c>
      <c r="H64" s="1380"/>
      <c r="I64" s="1380"/>
      <c r="J64" s="1380"/>
      <c r="K64" s="1373">
        <f t="shared" si="10"/>
        <v>124270</v>
      </c>
      <c r="L64" s="1360">
        <f t="shared" si="11"/>
        <v>174270</v>
      </c>
      <c r="M64" s="1316"/>
      <c r="N64" s="1316"/>
    </row>
    <row r="65" spans="1:14" ht="52.8" x14ac:dyDescent="0.25">
      <c r="A65" s="1348">
        <v>50</v>
      </c>
      <c r="B65" s="1381" t="s">
        <v>1113</v>
      </c>
      <c r="C65" s="1402">
        <v>2013</v>
      </c>
      <c r="D65" s="1403">
        <v>2400</v>
      </c>
      <c r="E65" s="1403"/>
      <c r="F65" s="1380">
        <v>1200</v>
      </c>
      <c r="G65" s="1380">
        <v>1200</v>
      </c>
      <c r="H65" s="1380">
        <v>1200</v>
      </c>
      <c r="I65" s="1380">
        <v>1200</v>
      </c>
      <c r="J65" s="1380">
        <v>6000</v>
      </c>
      <c r="K65" s="1373">
        <v>8400</v>
      </c>
      <c r="L65" s="1360">
        <f>D65+E65+F65+K65</f>
        <v>12000</v>
      </c>
      <c r="M65" s="1316"/>
      <c r="N65" s="1316"/>
    </row>
    <row r="66" spans="1:14" ht="52.8" x14ac:dyDescent="0.25">
      <c r="A66" s="1348">
        <v>51</v>
      </c>
      <c r="B66" s="1381" t="s">
        <v>1114</v>
      </c>
      <c r="C66" s="1402">
        <v>2013</v>
      </c>
      <c r="D66" s="1403">
        <v>10000</v>
      </c>
      <c r="E66" s="1403">
        <v>10000</v>
      </c>
      <c r="F66" s="1380">
        <v>15000</v>
      </c>
      <c r="G66" s="1380">
        <v>0</v>
      </c>
      <c r="H66" s="1380"/>
      <c r="I66" s="1380"/>
      <c r="J66" s="1380"/>
      <c r="K66" s="1373">
        <f>G66+H66+J66+I66</f>
        <v>0</v>
      </c>
      <c r="L66" s="1360">
        <f>D66+E66+F66+K66</f>
        <v>35000</v>
      </c>
      <c r="M66" s="1316"/>
      <c r="N66" s="1316"/>
    </row>
    <row r="67" spans="1:14" ht="39.6" x14ac:dyDescent="0.25">
      <c r="A67" s="1348">
        <v>52</v>
      </c>
      <c r="B67" s="1381" t="s">
        <v>1115</v>
      </c>
      <c r="C67" s="1402">
        <v>2014</v>
      </c>
      <c r="D67" s="1403">
        <v>16000</v>
      </c>
      <c r="E67" s="1403"/>
      <c r="F67" s="1403">
        <v>10000</v>
      </c>
      <c r="G67" s="1380">
        <v>10000</v>
      </c>
      <c r="H67" s="1380">
        <v>10000</v>
      </c>
      <c r="I67" s="1380">
        <v>10000</v>
      </c>
      <c r="J67" s="1380">
        <v>4000</v>
      </c>
      <c r="K67" s="1373">
        <f t="shared" ref="K67:K82" si="12">G67+H67+J67+I67</f>
        <v>34000</v>
      </c>
      <c r="L67" s="1360">
        <f t="shared" ref="L67:L82" si="13">D67+E67+F67+K67</f>
        <v>60000</v>
      </c>
      <c r="M67" s="1317"/>
      <c r="N67" s="1317"/>
    </row>
    <row r="68" spans="1:14" ht="39.6" x14ac:dyDescent="0.25">
      <c r="A68" s="1348">
        <v>53</v>
      </c>
      <c r="B68" s="1381" t="s">
        <v>1115</v>
      </c>
      <c r="C68" s="1402">
        <v>2015</v>
      </c>
      <c r="D68" s="1403">
        <v>6000</v>
      </c>
      <c r="E68" s="1403"/>
      <c r="F68" s="1403">
        <v>6000</v>
      </c>
      <c r="G68" s="1380">
        <v>6000</v>
      </c>
      <c r="H68" s="1380">
        <v>6000</v>
      </c>
      <c r="I68" s="1380">
        <v>6000</v>
      </c>
      <c r="J68" s="1380">
        <v>54000</v>
      </c>
      <c r="K68" s="1373">
        <v>74000</v>
      </c>
      <c r="L68" s="1360">
        <f t="shared" si="13"/>
        <v>86000</v>
      </c>
      <c r="M68" s="1317"/>
      <c r="N68" s="1317"/>
    </row>
    <row r="69" spans="1:14" ht="39.6" x14ac:dyDescent="0.25">
      <c r="A69" s="1348">
        <v>55</v>
      </c>
      <c r="B69" s="1381" t="s">
        <v>1116</v>
      </c>
      <c r="C69" s="1402">
        <v>2014</v>
      </c>
      <c r="D69" s="1403"/>
      <c r="E69" s="1403">
        <v>34733</v>
      </c>
      <c r="F69" s="1380">
        <v>49530</v>
      </c>
      <c r="G69" s="1380">
        <v>64327</v>
      </c>
      <c r="H69" s="1380">
        <v>0</v>
      </c>
      <c r="I69" s="1380"/>
      <c r="J69" s="1380"/>
      <c r="K69" s="1373">
        <f t="shared" si="12"/>
        <v>64327</v>
      </c>
      <c r="L69" s="1360">
        <f t="shared" si="13"/>
        <v>148590</v>
      </c>
      <c r="M69" s="1404"/>
      <c r="N69" s="1404"/>
    </row>
    <row r="70" spans="1:14" ht="66" x14ac:dyDescent="0.25">
      <c r="A70" s="1348">
        <v>56</v>
      </c>
      <c r="B70" s="1381" t="s">
        <v>1117</v>
      </c>
      <c r="C70" s="1402">
        <v>2014</v>
      </c>
      <c r="D70" s="1403">
        <v>14160</v>
      </c>
      <c r="E70" s="1403">
        <v>507</v>
      </c>
      <c r="F70" s="1380">
        <v>0</v>
      </c>
      <c r="G70" s="1380"/>
      <c r="H70" s="1380"/>
      <c r="I70" s="1380"/>
      <c r="J70" s="1380"/>
      <c r="K70" s="1373">
        <f t="shared" si="12"/>
        <v>0</v>
      </c>
      <c r="L70" s="1360">
        <f t="shared" si="13"/>
        <v>14667</v>
      </c>
      <c r="M70" s="1404"/>
      <c r="N70" s="1404"/>
    </row>
    <row r="71" spans="1:14" x14ac:dyDescent="0.25">
      <c r="A71" s="1332" t="s">
        <v>1047</v>
      </c>
      <c r="B71" s="1333" t="s">
        <v>506</v>
      </c>
      <c r="C71" s="1333" t="s">
        <v>507</v>
      </c>
      <c r="D71" s="1333" t="s">
        <v>1048</v>
      </c>
      <c r="E71" s="1333" t="s">
        <v>1049</v>
      </c>
      <c r="F71" s="1334" t="s">
        <v>1050</v>
      </c>
      <c r="G71" s="1334" t="s">
        <v>1051</v>
      </c>
      <c r="H71" s="1334" t="s">
        <v>1052</v>
      </c>
      <c r="I71" s="1334" t="s">
        <v>1053</v>
      </c>
      <c r="J71" s="1334" t="s">
        <v>1054</v>
      </c>
      <c r="K71" s="1335" t="s">
        <v>1055</v>
      </c>
      <c r="L71" s="1336" t="s">
        <v>1056</v>
      </c>
      <c r="M71" s="1317"/>
      <c r="N71" s="1317"/>
    </row>
    <row r="72" spans="1:14" ht="69" x14ac:dyDescent="0.25">
      <c r="A72" s="1405">
        <v>57</v>
      </c>
      <c r="B72" s="1406" t="s">
        <v>1118</v>
      </c>
      <c r="C72" s="1407">
        <v>2015</v>
      </c>
      <c r="D72" s="1408">
        <v>254</v>
      </c>
      <c r="E72" s="1408"/>
      <c r="F72" s="1409">
        <v>254</v>
      </c>
      <c r="G72" s="1409">
        <v>254</v>
      </c>
      <c r="H72" s="1409">
        <v>254</v>
      </c>
      <c r="I72" s="1409">
        <v>254</v>
      </c>
      <c r="J72" s="1409"/>
      <c r="K72" s="1410">
        <f>G72+H72+J72+I72</f>
        <v>762</v>
      </c>
      <c r="L72" s="1411">
        <f>D72+E72+F72+K72</f>
        <v>1270</v>
      </c>
      <c r="M72" s="1317"/>
      <c r="N72" s="1317"/>
    </row>
    <row r="73" spans="1:14" ht="29.25" customHeight="1" x14ac:dyDescent="0.25">
      <c r="A73" s="1405">
        <v>58</v>
      </c>
      <c r="B73" s="1406" t="s">
        <v>1119</v>
      </c>
      <c r="C73" s="1407">
        <v>2015</v>
      </c>
      <c r="D73" s="1408">
        <v>85000</v>
      </c>
      <c r="E73" s="1408"/>
      <c r="F73" s="1409">
        <v>83000</v>
      </c>
      <c r="G73" s="1409">
        <v>89000</v>
      </c>
      <c r="H73" s="1409">
        <v>69000</v>
      </c>
      <c r="I73" s="1409">
        <v>0</v>
      </c>
      <c r="J73" s="1409"/>
      <c r="K73" s="1410">
        <f>G73+H73+J73+I73</f>
        <v>158000</v>
      </c>
      <c r="L73" s="1411">
        <f>D73+E73+F73+K73</f>
        <v>326000</v>
      </c>
      <c r="M73" s="1317"/>
      <c r="N73" s="1317"/>
    </row>
    <row r="74" spans="1:14" ht="27.6" x14ac:dyDescent="0.25">
      <c r="A74" s="1412">
        <v>59</v>
      </c>
      <c r="B74" s="1413" t="s">
        <v>1120</v>
      </c>
      <c r="C74" s="1412">
        <v>2015</v>
      </c>
      <c r="D74" s="489">
        <v>41341</v>
      </c>
      <c r="E74" s="489">
        <v>86705</v>
      </c>
      <c r="F74" s="489">
        <f>68225-4478</f>
        <v>63747</v>
      </c>
      <c r="G74" s="489"/>
      <c r="H74" s="489"/>
      <c r="I74" s="489"/>
      <c r="J74" s="489"/>
      <c r="K74" s="1414">
        <f>G74+H74+J74+I74</f>
        <v>0</v>
      </c>
      <c r="L74" s="489">
        <f>D74+E74+F74+K74</f>
        <v>191793</v>
      </c>
      <c r="M74" s="1317"/>
      <c r="N74" s="1317"/>
    </row>
    <row r="75" spans="1:14" ht="41.4" x14ac:dyDescent="0.25">
      <c r="A75" s="1415">
        <v>60</v>
      </c>
      <c r="B75" s="1416" t="s">
        <v>1121</v>
      </c>
      <c r="C75" s="1417">
        <v>2015</v>
      </c>
      <c r="D75" s="1418"/>
      <c r="E75" s="1418"/>
      <c r="F75" s="1419">
        <v>18504</v>
      </c>
      <c r="G75" s="1419"/>
      <c r="H75" s="1419"/>
      <c r="I75" s="1419"/>
      <c r="J75" s="1419"/>
      <c r="K75" s="1420">
        <f t="shared" ref="K75:K81" si="14">G75+H75+J75+I75</f>
        <v>0</v>
      </c>
      <c r="L75" s="1421">
        <f t="shared" ref="L75:L81" si="15">D75+E75+F75+K75</f>
        <v>18504</v>
      </c>
      <c r="M75" s="1317"/>
      <c r="N75" s="1317"/>
    </row>
    <row r="76" spans="1:14" ht="41.25" customHeight="1" x14ac:dyDescent="0.25">
      <c r="A76" s="1405">
        <v>61</v>
      </c>
      <c r="B76" s="1406" t="s">
        <v>1122</v>
      </c>
      <c r="C76" s="1407">
        <v>2015</v>
      </c>
      <c r="D76" s="1408"/>
      <c r="E76" s="1408">
        <v>6000</v>
      </c>
      <c r="F76" s="1409">
        <v>6838</v>
      </c>
      <c r="G76" s="1409"/>
      <c r="H76" s="1409"/>
      <c r="I76" s="1409"/>
      <c r="J76" s="1409"/>
      <c r="K76" s="1410">
        <f t="shared" si="14"/>
        <v>0</v>
      </c>
      <c r="L76" s="1411">
        <f t="shared" si="15"/>
        <v>12838</v>
      </c>
      <c r="M76" s="1317"/>
      <c r="N76" s="1317"/>
    </row>
    <row r="77" spans="1:14" ht="110.4" x14ac:dyDescent="0.25">
      <c r="A77" s="1405">
        <v>62</v>
      </c>
      <c r="B77" s="1406" t="s">
        <v>1123</v>
      </c>
      <c r="C77" s="1407">
        <v>2015</v>
      </c>
      <c r="D77" s="1408"/>
      <c r="E77" s="1408"/>
      <c r="F77" s="1409">
        <v>8000</v>
      </c>
      <c r="G77" s="1409"/>
      <c r="H77" s="1409"/>
      <c r="I77" s="1409"/>
      <c r="J77" s="1409"/>
      <c r="K77" s="1410">
        <f t="shared" si="14"/>
        <v>0</v>
      </c>
      <c r="L77" s="1411">
        <f t="shared" si="15"/>
        <v>8000</v>
      </c>
      <c r="M77" s="1317"/>
      <c r="N77" s="1317"/>
    </row>
    <row r="78" spans="1:14" ht="81.75" customHeight="1" x14ac:dyDescent="0.25">
      <c r="A78" s="1405">
        <v>63</v>
      </c>
      <c r="B78" s="1406" t="s">
        <v>1124</v>
      </c>
      <c r="C78" s="1407">
        <v>2015</v>
      </c>
      <c r="D78" s="1408"/>
      <c r="E78" s="1408"/>
      <c r="F78" s="1409">
        <v>100000</v>
      </c>
      <c r="G78" s="1409"/>
      <c r="H78" s="1409"/>
      <c r="I78" s="1409"/>
      <c r="J78" s="1409"/>
      <c r="K78" s="1410">
        <f t="shared" si="14"/>
        <v>0</v>
      </c>
      <c r="L78" s="1411">
        <f t="shared" si="15"/>
        <v>100000</v>
      </c>
      <c r="M78" s="1317"/>
      <c r="N78" s="1317"/>
    </row>
    <row r="79" spans="1:14" ht="27.6" x14ac:dyDescent="0.25">
      <c r="A79" s="1405">
        <v>64</v>
      </c>
      <c r="B79" s="1406" t="s">
        <v>1125</v>
      </c>
      <c r="C79" s="1407">
        <v>2015</v>
      </c>
      <c r="D79" s="1408"/>
      <c r="E79" s="1408"/>
      <c r="F79" s="1409">
        <v>6000</v>
      </c>
      <c r="G79" s="1409"/>
      <c r="H79" s="1409"/>
      <c r="I79" s="1409"/>
      <c r="J79" s="1409"/>
      <c r="K79" s="1410">
        <f t="shared" si="14"/>
        <v>0</v>
      </c>
      <c r="L79" s="1411">
        <f t="shared" si="15"/>
        <v>6000</v>
      </c>
      <c r="M79" s="1317"/>
      <c r="N79" s="1317"/>
    </row>
    <row r="80" spans="1:14" ht="27.6" x14ac:dyDescent="0.25">
      <c r="A80" s="1405">
        <v>65</v>
      </c>
      <c r="B80" s="1406" t="s">
        <v>1126</v>
      </c>
      <c r="C80" s="1407" t="s">
        <v>1127</v>
      </c>
      <c r="D80" s="1408"/>
      <c r="E80" s="1408">
        <v>2000</v>
      </c>
      <c r="F80" s="1409">
        <v>4466</v>
      </c>
      <c r="G80" s="1409">
        <v>4466</v>
      </c>
      <c r="H80" s="1409">
        <v>4465</v>
      </c>
      <c r="I80" s="1409"/>
      <c r="J80" s="1409"/>
      <c r="K80" s="1410">
        <f t="shared" si="14"/>
        <v>8931</v>
      </c>
      <c r="L80" s="1411">
        <f>D80+E80+F80+K80</f>
        <v>15397</v>
      </c>
      <c r="M80" s="1422">
        <f>SUM(L79:L80)</f>
        <v>21397</v>
      </c>
      <c r="N80" s="1317"/>
    </row>
    <row r="81" spans="1:14" ht="41.4" x14ac:dyDescent="0.25">
      <c r="A81" s="1405">
        <v>66</v>
      </c>
      <c r="B81" s="1406" t="s">
        <v>1128</v>
      </c>
      <c r="C81" s="1407" t="s">
        <v>1127</v>
      </c>
      <c r="D81" s="1408"/>
      <c r="E81" s="1408"/>
      <c r="F81" s="1409">
        <v>2000</v>
      </c>
      <c r="G81" s="1409"/>
      <c r="H81" s="1409"/>
      <c r="I81" s="1409"/>
      <c r="J81" s="1409"/>
      <c r="K81" s="1410">
        <f t="shared" si="14"/>
        <v>0</v>
      </c>
      <c r="L81" s="1411">
        <f t="shared" si="15"/>
        <v>2000</v>
      </c>
      <c r="M81" s="1317"/>
      <c r="N81" s="1317"/>
    </row>
    <row r="82" spans="1:14" x14ac:dyDescent="0.25">
      <c r="A82" s="1348"/>
      <c r="B82" s="1381"/>
      <c r="C82" s="1402"/>
      <c r="D82" s="1403"/>
      <c r="E82" s="1403"/>
      <c r="F82" s="1380"/>
      <c r="G82" s="1380"/>
      <c r="H82" s="1380"/>
      <c r="I82" s="1380"/>
      <c r="J82" s="1380"/>
      <c r="K82" s="1373">
        <f t="shared" si="12"/>
        <v>0</v>
      </c>
      <c r="L82" s="1360">
        <f t="shared" si="13"/>
        <v>0</v>
      </c>
      <c r="M82" s="1317"/>
      <c r="N82" s="1317"/>
    </row>
    <row r="83" spans="1:14" x14ac:dyDescent="0.25">
      <c r="A83" s="1332"/>
      <c r="B83" s="1375" t="s">
        <v>1129</v>
      </c>
      <c r="C83" s="1376"/>
      <c r="D83" s="1370">
        <f t="shared" ref="D83:L83" si="16">D32+D14</f>
        <v>1588753</v>
      </c>
      <c r="E83" s="1370">
        <f t="shared" si="16"/>
        <v>177153</v>
      </c>
      <c r="F83" s="1370">
        <f t="shared" si="16"/>
        <v>660856</v>
      </c>
      <c r="G83" s="1370">
        <f t="shared" si="16"/>
        <v>463405</v>
      </c>
      <c r="H83" s="1370">
        <f t="shared" si="16"/>
        <v>336256</v>
      </c>
      <c r="I83" s="1370">
        <f t="shared" si="16"/>
        <v>43762</v>
      </c>
      <c r="J83" s="1370">
        <f t="shared" si="16"/>
        <v>733519</v>
      </c>
      <c r="K83" s="1370">
        <f t="shared" si="16"/>
        <v>1663910</v>
      </c>
      <c r="L83" s="1370">
        <f t="shared" si="16"/>
        <v>4090672</v>
      </c>
      <c r="M83" s="1317"/>
      <c r="N83" s="1317"/>
    </row>
    <row r="84" spans="1:14" x14ac:dyDescent="0.25">
      <c r="M84" s="1317"/>
      <c r="N84" s="1317"/>
    </row>
    <row r="85" spans="1:14" x14ac:dyDescent="0.25">
      <c r="M85" s="1317"/>
      <c r="N85" s="1317"/>
    </row>
    <row r="86" spans="1:14" x14ac:dyDescent="0.25">
      <c r="M86" s="1317"/>
      <c r="N86" s="1317"/>
    </row>
    <row r="87" spans="1:14" x14ac:dyDescent="0.25">
      <c r="M87" s="1317"/>
      <c r="N87" s="1317"/>
    </row>
  </sheetData>
  <mergeCells count="6">
    <mergeCell ref="A3:L3"/>
    <mergeCell ref="A4:L4"/>
    <mergeCell ref="E6:E8"/>
    <mergeCell ref="J6:J8"/>
    <mergeCell ref="K6:K8"/>
    <mergeCell ref="L6:L8"/>
  </mergeCells>
  <pageMargins left="0.7" right="0.7" top="0.75" bottom="0.75" header="0.3" footer="0.3"/>
  <pageSetup paperSize="9" scale="62" orientation="landscape" r:id="rId1"/>
  <headerFooter>
    <oddHeader>&amp;C10. melléklet 
az önkormányzat 2016. évi költségvetéséről szóló 8/2016. (II.26.) önkormányzati rendelethez&amp;R&amp;Pezer forint</oddHeader>
  </headerFooter>
  <rowBreaks count="4" manualBreakCount="4">
    <brk id="30" max="16383" man="1"/>
    <brk id="45" max="16383" man="1"/>
    <brk id="61" max="11" man="1"/>
    <brk id="70"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39"/>
  <sheetViews>
    <sheetView view="pageLayout" zoomScaleNormal="85" workbookViewId="0">
      <selection activeCell="A22" sqref="A22"/>
    </sheetView>
  </sheetViews>
  <sheetFormatPr defaultRowHeight="13.2" x14ac:dyDescent="0.25"/>
  <cols>
    <col min="1" max="1" width="13.33203125" style="1423" customWidth="1"/>
    <col min="2" max="2" width="31.109375" style="1423" customWidth="1"/>
    <col min="3" max="3" width="11.5546875" style="1423" customWidth="1"/>
    <col min="4" max="256" width="9.109375" style="1423"/>
    <col min="257" max="257" width="13.33203125" style="1423" customWidth="1"/>
    <col min="258" max="258" width="31.109375" style="1423" customWidth="1"/>
    <col min="259" max="259" width="11.5546875" style="1423" customWidth="1"/>
    <col min="260" max="512" width="9.109375" style="1423"/>
    <col min="513" max="513" width="13.33203125" style="1423" customWidth="1"/>
    <col min="514" max="514" width="31.109375" style="1423" customWidth="1"/>
    <col min="515" max="515" width="11.5546875" style="1423" customWidth="1"/>
    <col min="516" max="768" width="9.109375" style="1423"/>
    <col min="769" max="769" width="13.33203125" style="1423" customWidth="1"/>
    <col min="770" max="770" width="31.109375" style="1423" customWidth="1"/>
    <col min="771" max="771" width="11.5546875" style="1423" customWidth="1"/>
    <col min="772" max="1024" width="9.109375" style="1423"/>
    <col min="1025" max="1025" width="13.33203125" style="1423" customWidth="1"/>
    <col min="1026" max="1026" width="31.109375" style="1423" customWidth="1"/>
    <col min="1027" max="1027" width="11.5546875" style="1423" customWidth="1"/>
    <col min="1028" max="1280" width="9.109375" style="1423"/>
    <col min="1281" max="1281" width="13.33203125" style="1423" customWidth="1"/>
    <col min="1282" max="1282" width="31.109375" style="1423" customWidth="1"/>
    <col min="1283" max="1283" width="11.5546875" style="1423" customWidth="1"/>
    <col min="1284" max="1536" width="9.109375" style="1423"/>
    <col min="1537" max="1537" width="13.33203125" style="1423" customWidth="1"/>
    <col min="1538" max="1538" width="31.109375" style="1423" customWidth="1"/>
    <col min="1539" max="1539" width="11.5546875" style="1423" customWidth="1"/>
    <col min="1540" max="1792" width="9.109375" style="1423"/>
    <col min="1793" max="1793" width="13.33203125" style="1423" customWidth="1"/>
    <col min="1794" max="1794" width="31.109375" style="1423" customWidth="1"/>
    <col min="1795" max="1795" width="11.5546875" style="1423" customWidth="1"/>
    <col min="1796" max="2048" width="9.109375" style="1423"/>
    <col min="2049" max="2049" width="13.33203125" style="1423" customWidth="1"/>
    <col min="2050" max="2050" width="31.109375" style="1423" customWidth="1"/>
    <col min="2051" max="2051" width="11.5546875" style="1423" customWidth="1"/>
    <col min="2052" max="2304" width="9.109375" style="1423"/>
    <col min="2305" max="2305" width="13.33203125" style="1423" customWidth="1"/>
    <col min="2306" max="2306" width="31.109375" style="1423" customWidth="1"/>
    <col min="2307" max="2307" width="11.5546875" style="1423" customWidth="1"/>
    <col min="2308" max="2560" width="9.109375" style="1423"/>
    <col min="2561" max="2561" width="13.33203125" style="1423" customWidth="1"/>
    <col min="2562" max="2562" width="31.109375" style="1423" customWidth="1"/>
    <col min="2563" max="2563" width="11.5546875" style="1423" customWidth="1"/>
    <col min="2564" max="2816" width="9.109375" style="1423"/>
    <col min="2817" max="2817" width="13.33203125" style="1423" customWidth="1"/>
    <col min="2818" max="2818" width="31.109375" style="1423" customWidth="1"/>
    <col min="2819" max="2819" width="11.5546875" style="1423" customWidth="1"/>
    <col min="2820" max="3072" width="9.109375" style="1423"/>
    <col min="3073" max="3073" width="13.33203125" style="1423" customWidth="1"/>
    <col min="3074" max="3074" width="31.109375" style="1423" customWidth="1"/>
    <col min="3075" max="3075" width="11.5546875" style="1423" customWidth="1"/>
    <col min="3076" max="3328" width="9.109375" style="1423"/>
    <col min="3329" max="3329" width="13.33203125" style="1423" customWidth="1"/>
    <col min="3330" max="3330" width="31.109375" style="1423" customWidth="1"/>
    <col min="3331" max="3331" width="11.5546875" style="1423" customWidth="1"/>
    <col min="3332" max="3584" width="9.109375" style="1423"/>
    <col min="3585" max="3585" width="13.33203125" style="1423" customWidth="1"/>
    <col min="3586" max="3586" width="31.109375" style="1423" customWidth="1"/>
    <col min="3587" max="3587" width="11.5546875" style="1423" customWidth="1"/>
    <col min="3588" max="3840" width="9.109375" style="1423"/>
    <col min="3841" max="3841" width="13.33203125" style="1423" customWidth="1"/>
    <col min="3842" max="3842" width="31.109375" style="1423" customWidth="1"/>
    <col min="3843" max="3843" width="11.5546875" style="1423" customWidth="1"/>
    <col min="3844" max="4096" width="9.109375" style="1423"/>
    <col min="4097" max="4097" width="13.33203125" style="1423" customWidth="1"/>
    <col min="4098" max="4098" width="31.109375" style="1423" customWidth="1"/>
    <col min="4099" max="4099" width="11.5546875" style="1423" customWidth="1"/>
    <col min="4100" max="4352" width="9.109375" style="1423"/>
    <col min="4353" max="4353" width="13.33203125" style="1423" customWidth="1"/>
    <col min="4354" max="4354" width="31.109375" style="1423" customWidth="1"/>
    <col min="4355" max="4355" width="11.5546875" style="1423" customWidth="1"/>
    <col min="4356" max="4608" width="9.109375" style="1423"/>
    <col min="4609" max="4609" width="13.33203125" style="1423" customWidth="1"/>
    <col min="4610" max="4610" width="31.109375" style="1423" customWidth="1"/>
    <col min="4611" max="4611" width="11.5546875" style="1423" customWidth="1"/>
    <col min="4612" max="4864" width="9.109375" style="1423"/>
    <col min="4865" max="4865" width="13.33203125" style="1423" customWidth="1"/>
    <col min="4866" max="4866" width="31.109375" style="1423" customWidth="1"/>
    <col min="4867" max="4867" width="11.5546875" style="1423" customWidth="1"/>
    <col min="4868" max="5120" width="9.109375" style="1423"/>
    <col min="5121" max="5121" width="13.33203125" style="1423" customWidth="1"/>
    <col min="5122" max="5122" width="31.109375" style="1423" customWidth="1"/>
    <col min="5123" max="5123" width="11.5546875" style="1423" customWidth="1"/>
    <col min="5124" max="5376" width="9.109375" style="1423"/>
    <col min="5377" max="5377" width="13.33203125" style="1423" customWidth="1"/>
    <col min="5378" max="5378" width="31.109375" style="1423" customWidth="1"/>
    <col min="5379" max="5379" width="11.5546875" style="1423" customWidth="1"/>
    <col min="5380" max="5632" width="9.109375" style="1423"/>
    <col min="5633" max="5633" width="13.33203125" style="1423" customWidth="1"/>
    <col min="5634" max="5634" width="31.109375" style="1423" customWidth="1"/>
    <col min="5635" max="5635" width="11.5546875" style="1423" customWidth="1"/>
    <col min="5636" max="5888" width="9.109375" style="1423"/>
    <col min="5889" max="5889" width="13.33203125" style="1423" customWidth="1"/>
    <col min="5890" max="5890" width="31.109375" style="1423" customWidth="1"/>
    <col min="5891" max="5891" width="11.5546875" style="1423" customWidth="1"/>
    <col min="5892" max="6144" width="9.109375" style="1423"/>
    <col min="6145" max="6145" width="13.33203125" style="1423" customWidth="1"/>
    <col min="6146" max="6146" width="31.109375" style="1423" customWidth="1"/>
    <col min="6147" max="6147" width="11.5546875" style="1423" customWidth="1"/>
    <col min="6148" max="6400" width="9.109375" style="1423"/>
    <col min="6401" max="6401" width="13.33203125" style="1423" customWidth="1"/>
    <col min="6402" max="6402" width="31.109375" style="1423" customWidth="1"/>
    <col min="6403" max="6403" width="11.5546875" style="1423" customWidth="1"/>
    <col min="6404" max="6656" width="9.109375" style="1423"/>
    <col min="6657" max="6657" width="13.33203125" style="1423" customWidth="1"/>
    <col min="6658" max="6658" width="31.109375" style="1423" customWidth="1"/>
    <col min="6659" max="6659" width="11.5546875" style="1423" customWidth="1"/>
    <col min="6660" max="6912" width="9.109375" style="1423"/>
    <col min="6913" max="6913" width="13.33203125" style="1423" customWidth="1"/>
    <col min="6914" max="6914" width="31.109375" style="1423" customWidth="1"/>
    <col min="6915" max="6915" width="11.5546875" style="1423" customWidth="1"/>
    <col min="6916" max="7168" width="9.109375" style="1423"/>
    <col min="7169" max="7169" width="13.33203125" style="1423" customWidth="1"/>
    <col min="7170" max="7170" width="31.109375" style="1423" customWidth="1"/>
    <col min="7171" max="7171" width="11.5546875" style="1423" customWidth="1"/>
    <col min="7172" max="7424" width="9.109375" style="1423"/>
    <col min="7425" max="7425" width="13.33203125" style="1423" customWidth="1"/>
    <col min="7426" max="7426" width="31.109375" style="1423" customWidth="1"/>
    <col min="7427" max="7427" width="11.5546875" style="1423" customWidth="1"/>
    <col min="7428" max="7680" width="9.109375" style="1423"/>
    <col min="7681" max="7681" width="13.33203125" style="1423" customWidth="1"/>
    <col min="7682" max="7682" width="31.109375" style="1423" customWidth="1"/>
    <col min="7683" max="7683" width="11.5546875" style="1423" customWidth="1"/>
    <col min="7684" max="7936" width="9.109375" style="1423"/>
    <col min="7937" max="7937" width="13.33203125" style="1423" customWidth="1"/>
    <col min="7938" max="7938" width="31.109375" style="1423" customWidth="1"/>
    <col min="7939" max="7939" width="11.5546875" style="1423" customWidth="1"/>
    <col min="7940" max="8192" width="9.109375" style="1423"/>
    <col min="8193" max="8193" width="13.33203125" style="1423" customWidth="1"/>
    <col min="8194" max="8194" width="31.109375" style="1423" customWidth="1"/>
    <col min="8195" max="8195" width="11.5546875" style="1423" customWidth="1"/>
    <col min="8196" max="8448" width="9.109375" style="1423"/>
    <col min="8449" max="8449" width="13.33203125" style="1423" customWidth="1"/>
    <col min="8450" max="8450" width="31.109375" style="1423" customWidth="1"/>
    <col min="8451" max="8451" width="11.5546875" style="1423" customWidth="1"/>
    <col min="8452" max="8704" width="9.109375" style="1423"/>
    <col min="8705" max="8705" width="13.33203125" style="1423" customWidth="1"/>
    <col min="8706" max="8706" width="31.109375" style="1423" customWidth="1"/>
    <col min="8707" max="8707" width="11.5546875" style="1423" customWidth="1"/>
    <col min="8708" max="8960" width="9.109375" style="1423"/>
    <col min="8961" max="8961" width="13.33203125" style="1423" customWidth="1"/>
    <col min="8962" max="8962" width="31.109375" style="1423" customWidth="1"/>
    <col min="8963" max="8963" width="11.5546875" style="1423" customWidth="1"/>
    <col min="8964" max="9216" width="9.109375" style="1423"/>
    <col min="9217" max="9217" width="13.33203125" style="1423" customWidth="1"/>
    <col min="9218" max="9218" width="31.109375" style="1423" customWidth="1"/>
    <col min="9219" max="9219" width="11.5546875" style="1423" customWidth="1"/>
    <col min="9220" max="9472" width="9.109375" style="1423"/>
    <col min="9473" max="9473" width="13.33203125" style="1423" customWidth="1"/>
    <col min="9474" max="9474" width="31.109375" style="1423" customWidth="1"/>
    <col min="9475" max="9475" width="11.5546875" style="1423" customWidth="1"/>
    <col min="9476" max="9728" width="9.109375" style="1423"/>
    <col min="9729" max="9729" width="13.33203125" style="1423" customWidth="1"/>
    <col min="9730" max="9730" width="31.109375" style="1423" customWidth="1"/>
    <col min="9731" max="9731" width="11.5546875" style="1423" customWidth="1"/>
    <col min="9732" max="9984" width="9.109375" style="1423"/>
    <col min="9985" max="9985" width="13.33203125" style="1423" customWidth="1"/>
    <col min="9986" max="9986" width="31.109375" style="1423" customWidth="1"/>
    <col min="9987" max="9987" width="11.5546875" style="1423" customWidth="1"/>
    <col min="9988" max="10240" width="9.109375" style="1423"/>
    <col min="10241" max="10241" width="13.33203125" style="1423" customWidth="1"/>
    <col min="10242" max="10242" width="31.109375" style="1423" customWidth="1"/>
    <col min="10243" max="10243" width="11.5546875" style="1423" customWidth="1"/>
    <col min="10244" max="10496" width="9.109375" style="1423"/>
    <col min="10497" max="10497" width="13.33203125" style="1423" customWidth="1"/>
    <col min="10498" max="10498" width="31.109375" style="1423" customWidth="1"/>
    <col min="10499" max="10499" width="11.5546875" style="1423" customWidth="1"/>
    <col min="10500" max="10752" width="9.109375" style="1423"/>
    <col min="10753" max="10753" width="13.33203125" style="1423" customWidth="1"/>
    <col min="10754" max="10754" width="31.109375" style="1423" customWidth="1"/>
    <col min="10755" max="10755" width="11.5546875" style="1423" customWidth="1"/>
    <col min="10756" max="11008" width="9.109375" style="1423"/>
    <col min="11009" max="11009" width="13.33203125" style="1423" customWidth="1"/>
    <col min="11010" max="11010" width="31.109375" style="1423" customWidth="1"/>
    <col min="11011" max="11011" width="11.5546875" style="1423" customWidth="1"/>
    <col min="11012" max="11264" width="9.109375" style="1423"/>
    <col min="11265" max="11265" width="13.33203125" style="1423" customWidth="1"/>
    <col min="11266" max="11266" width="31.109375" style="1423" customWidth="1"/>
    <col min="11267" max="11267" width="11.5546875" style="1423" customWidth="1"/>
    <col min="11268" max="11520" width="9.109375" style="1423"/>
    <col min="11521" max="11521" width="13.33203125" style="1423" customWidth="1"/>
    <col min="11522" max="11522" width="31.109375" style="1423" customWidth="1"/>
    <col min="11523" max="11523" width="11.5546875" style="1423" customWidth="1"/>
    <col min="11524" max="11776" width="9.109375" style="1423"/>
    <col min="11777" max="11777" width="13.33203125" style="1423" customWidth="1"/>
    <col min="11778" max="11778" width="31.109375" style="1423" customWidth="1"/>
    <col min="11779" max="11779" width="11.5546875" style="1423" customWidth="1"/>
    <col min="11780" max="12032" width="9.109375" style="1423"/>
    <col min="12033" max="12033" width="13.33203125" style="1423" customWidth="1"/>
    <col min="12034" max="12034" width="31.109375" style="1423" customWidth="1"/>
    <col min="12035" max="12035" width="11.5546875" style="1423" customWidth="1"/>
    <col min="12036" max="12288" width="9.109375" style="1423"/>
    <col min="12289" max="12289" width="13.33203125" style="1423" customWidth="1"/>
    <col min="12290" max="12290" width="31.109375" style="1423" customWidth="1"/>
    <col min="12291" max="12291" width="11.5546875" style="1423" customWidth="1"/>
    <col min="12292" max="12544" width="9.109375" style="1423"/>
    <col min="12545" max="12545" width="13.33203125" style="1423" customWidth="1"/>
    <col min="12546" max="12546" width="31.109375" style="1423" customWidth="1"/>
    <col min="12547" max="12547" width="11.5546875" style="1423" customWidth="1"/>
    <col min="12548" max="12800" width="9.109375" style="1423"/>
    <col min="12801" max="12801" width="13.33203125" style="1423" customWidth="1"/>
    <col min="12802" max="12802" width="31.109375" style="1423" customWidth="1"/>
    <col min="12803" max="12803" width="11.5546875" style="1423" customWidth="1"/>
    <col min="12804" max="13056" width="9.109375" style="1423"/>
    <col min="13057" max="13057" width="13.33203125" style="1423" customWidth="1"/>
    <col min="13058" max="13058" width="31.109375" style="1423" customWidth="1"/>
    <col min="13059" max="13059" width="11.5546875" style="1423" customWidth="1"/>
    <col min="13060" max="13312" width="9.109375" style="1423"/>
    <col min="13313" max="13313" width="13.33203125" style="1423" customWidth="1"/>
    <col min="13314" max="13314" width="31.109375" style="1423" customWidth="1"/>
    <col min="13315" max="13315" width="11.5546875" style="1423" customWidth="1"/>
    <col min="13316" max="13568" width="9.109375" style="1423"/>
    <col min="13569" max="13569" width="13.33203125" style="1423" customWidth="1"/>
    <col min="13570" max="13570" width="31.109375" style="1423" customWidth="1"/>
    <col min="13571" max="13571" width="11.5546875" style="1423" customWidth="1"/>
    <col min="13572" max="13824" width="9.109375" style="1423"/>
    <col min="13825" max="13825" width="13.33203125" style="1423" customWidth="1"/>
    <col min="13826" max="13826" width="31.109375" style="1423" customWidth="1"/>
    <col min="13827" max="13827" width="11.5546875" style="1423" customWidth="1"/>
    <col min="13828" max="14080" width="9.109375" style="1423"/>
    <col min="14081" max="14081" width="13.33203125" style="1423" customWidth="1"/>
    <col min="14082" max="14082" width="31.109375" style="1423" customWidth="1"/>
    <col min="14083" max="14083" width="11.5546875" style="1423" customWidth="1"/>
    <col min="14084" max="14336" width="9.109375" style="1423"/>
    <col min="14337" max="14337" width="13.33203125" style="1423" customWidth="1"/>
    <col min="14338" max="14338" width="31.109375" style="1423" customWidth="1"/>
    <col min="14339" max="14339" width="11.5546875" style="1423" customWidth="1"/>
    <col min="14340" max="14592" width="9.109375" style="1423"/>
    <col min="14593" max="14593" width="13.33203125" style="1423" customWidth="1"/>
    <col min="14594" max="14594" width="31.109375" style="1423" customWidth="1"/>
    <col min="14595" max="14595" width="11.5546875" style="1423" customWidth="1"/>
    <col min="14596" max="14848" width="9.109375" style="1423"/>
    <col min="14849" max="14849" width="13.33203125" style="1423" customWidth="1"/>
    <col min="14850" max="14850" width="31.109375" style="1423" customWidth="1"/>
    <col min="14851" max="14851" width="11.5546875" style="1423" customWidth="1"/>
    <col min="14852" max="15104" width="9.109375" style="1423"/>
    <col min="15105" max="15105" width="13.33203125" style="1423" customWidth="1"/>
    <col min="15106" max="15106" width="31.109375" style="1423" customWidth="1"/>
    <col min="15107" max="15107" width="11.5546875" style="1423" customWidth="1"/>
    <col min="15108" max="15360" width="9.109375" style="1423"/>
    <col min="15361" max="15361" width="13.33203125" style="1423" customWidth="1"/>
    <col min="15362" max="15362" width="31.109375" style="1423" customWidth="1"/>
    <col min="15363" max="15363" width="11.5546875" style="1423" customWidth="1"/>
    <col min="15364" max="15616" width="9.109375" style="1423"/>
    <col min="15617" max="15617" width="13.33203125" style="1423" customWidth="1"/>
    <col min="15618" max="15618" width="31.109375" style="1423" customWidth="1"/>
    <col min="15619" max="15619" width="11.5546875" style="1423" customWidth="1"/>
    <col min="15620" max="15872" width="9.109375" style="1423"/>
    <col min="15873" max="15873" width="13.33203125" style="1423" customWidth="1"/>
    <col min="15874" max="15874" width="31.109375" style="1423" customWidth="1"/>
    <col min="15875" max="15875" width="11.5546875" style="1423" customWidth="1"/>
    <col min="15876" max="16128" width="9.109375" style="1423"/>
    <col min="16129" max="16129" width="13.33203125" style="1423" customWidth="1"/>
    <col min="16130" max="16130" width="31.109375" style="1423" customWidth="1"/>
    <col min="16131" max="16131" width="11.5546875" style="1423" customWidth="1"/>
    <col min="16132" max="16384" width="9.109375" style="1423"/>
  </cols>
  <sheetData>
    <row r="3" spans="1:8" ht="12.75" customHeight="1" x14ac:dyDescent="0.25">
      <c r="A3" s="1667" t="s">
        <v>1130</v>
      </c>
      <c r="B3" s="1667"/>
      <c r="C3" s="1667"/>
      <c r="D3" s="1667"/>
      <c r="E3" s="1667"/>
      <c r="F3" s="1667"/>
      <c r="G3" s="1667"/>
      <c r="H3" s="1667"/>
    </row>
    <row r="4" spans="1:8" ht="12.75" customHeight="1" x14ac:dyDescent="0.25">
      <c r="A4" s="1667" t="s">
        <v>1131</v>
      </c>
      <c r="B4" s="1667"/>
      <c r="C4" s="1667"/>
      <c r="D4" s="1667"/>
      <c r="E4" s="1667"/>
      <c r="F4" s="1667"/>
      <c r="G4" s="1667"/>
      <c r="H4" s="1667"/>
    </row>
    <row r="5" spans="1:8" x14ac:dyDescent="0.25">
      <c r="A5" s="1424"/>
      <c r="B5" s="1424"/>
      <c r="C5" s="1424"/>
      <c r="D5" s="1424"/>
      <c r="E5" s="1424"/>
      <c r="F5" s="1424"/>
      <c r="G5" s="1424"/>
      <c r="H5" s="1424"/>
    </row>
    <row r="7" spans="1:8" ht="12.75" customHeight="1" x14ac:dyDescent="0.25">
      <c r="A7" s="1425" t="s">
        <v>890</v>
      </c>
      <c r="B7" s="1425"/>
      <c r="C7" s="1426" t="s">
        <v>1132</v>
      </c>
      <c r="D7" s="1425" t="s">
        <v>1133</v>
      </c>
      <c r="E7" s="1668" t="s">
        <v>1134</v>
      </c>
      <c r="F7" s="1668"/>
      <c r="G7" s="1668"/>
      <c r="H7" s="1668"/>
    </row>
    <row r="8" spans="1:8" ht="26.4" x14ac:dyDescent="0.25">
      <c r="A8" s="1427"/>
      <c r="B8" s="1428" t="s">
        <v>1135</v>
      </c>
      <c r="C8" s="1429" t="s">
        <v>1136</v>
      </c>
      <c r="D8" s="1428" t="s">
        <v>1136</v>
      </c>
      <c r="E8" s="1428" t="s">
        <v>1041</v>
      </c>
      <c r="F8" s="1429" t="s">
        <v>1042</v>
      </c>
      <c r="G8" s="1429" t="s">
        <v>1043</v>
      </c>
      <c r="H8" s="1430" t="s">
        <v>1137</v>
      </c>
    </row>
    <row r="9" spans="1:8" x14ac:dyDescent="0.25">
      <c r="A9" s="1431"/>
      <c r="B9" s="1431"/>
      <c r="C9" s="1432"/>
      <c r="D9" s="1431"/>
      <c r="E9" s="1431"/>
      <c r="F9" s="1433"/>
      <c r="G9" s="1433"/>
      <c r="H9" s="1431"/>
    </row>
    <row r="10" spans="1:8" x14ac:dyDescent="0.25">
      <c r="A10" s="1428" t="s">
        <v>1047</v>
      </c>
      <c r="B10" s="1428" t="s">
        <v>506</v>
      </c>
      <c r="C10" s="1429" t="s">
        <v>507</v>
      </c>
      <c r="D10" s="1429" t="s">
        <v>1048</v>
      </c>
      <c r="E10" s="1429" t="s">
        <v>1049</v>
      </c>
      <c r="F10" s="1429" t="s">
        <v>1050</v>
      </c>
      <c r="G10" s="1429" t="s">
        <v>1051</v>
      </c>
      <c r="H10" s="1429" t="s">
        <v>1052</v>
      </c>
    </row>
    <row r="11" spans="1:8" x14ac:dyDescent="0.25">
      <c r="A11" s="1434"/>
      <c r="B11" s="1434" t="s">
        <v>1138</v>
      </c>
      <c r="C11" s="1434"/>
      <c r="D11" s="1434"/>
      <c r="E11" s="1434"/>
      <c r="F11" s="1434"/>
      <c r="G11" s="1434"/>
      <c r="H11" s="1434"/>
    </row>
    <row r="12" spans="1:8" ht="26.4" x14ac:dyDescent="0.25">
      <c r="A12" s="1434" t="s">
        <v>1047</v>
      </c>
      <c r="B12" s="1435" t="s">
        <v>1139</v>
      </c>
      <c r="C12" s="1436"/>
      <c r="D12" s="1436"/>
      <c r="E12" s="1437"/>
      <c r="F12" s="1437"/>
      <c r="G12" s="1437"/>
      <c r="H12" s="1437"/>
    </row>
    <row r="13" spans="1:8" x14ac:dyDescent="0.25">
      <c r="A13" s="1438" t="s">
        <v>506</v>
      </c>
      <c r="B13" s="1439"/>
      <c r="C13" s="1440"/>
      <c r="D13" s="1440"/>
      <c r="E13" s="1440"/>
      <c r="F13" s="1440"/>
      <c r="G13" s="1440"/>
      <c r="H13" s="1440"/>
    </row>
    <row r="14" spans="1:8" x14ac:dyDescent="0.25">
      <c r="A14" s="1434" t="s">
        <v>507</v>
      </c>
      <c r="B14" s="1441" t="s">
        <v>1140</v>
      </c>
      <c r="C14" s="1437"/>
      <c r="D14" s="1437"/>
      <c r="E14" s="1437"/>
      <c r="F14" s="1437"/>
      <c r="G14" s="1437"/>
      <c r="H14" s="1437"/>
    </row>
    <row r="15" spans="1:8" x14ac:dyDescent="0.25">
      <c r="A15" s="1434" t="s">
        <v>1048</v>
      </c>
      <c r="B15" s="1442"/>
      <c r="C15" s="1437"/>
      <c r="D15" s="1437"/>
      <c r="E15" s="1437"/>
      <c r="F15" s="1437"/>
      <c r="G15" s="1437"/>
      <c r="H15" s="1437"/>
    </row>
    <row r="16" spans="1:8" x14ac:dyDescent="0.25">
      <c r="A16" s="1425" t="s">
        <v>1049</v>
      </c>
      <c r="B16" s="1441" t="s">
        <v>1141</v>
      </c>
      <c r="C16" s="1443"/>
      <c r="D16" s="1443"/>
      <c r="E16" s="1443"/>
      <c r="F16" s="1443"/>
      <c r="G16" s="1443"/>
      <c r="H16" s="1443"/>
    </row>
    <row r="17" spans="1:8" ht="26.4" x14ac:dyDescent="0.25">
      <c r="A17" s="1434" t="s">
        <v>1050</v>
      </c>
      <c r="B17" s="1435" t="s">
        <v>1142</v>
      </c>
      <c r="C17" s="1436"/>
      <c r="D17" s="1436"/>
      <c r="E17" s="1444">
        <f>E19+E21</f>
        <v>1035126</v>
      </c>
      <c r="F17" s="1444">
        <f>F19+F21</f>
        <v>840281</v>
      </c>
      <c r="G17" s="1444">
        <f>G19+G21</f>
        <v>747452</v>
      </c>
      <c r="H17" s="1444">
        <f>H19+H21</f>
        <v>656580</v>
      </c>
    </row>
    <row r="18" spans="1:8" x14ac:dyDescent="0.25">
      <c r="A18" s="1438" t="s">
        <v>1051</v>
      </c>
      <c r="B18" s="1440" t="s">
        <v>1065</v>
      </c>
      <c r="C18" s="1440">
        <v>2014</v>
      </c>
      <c r="D18" s="1440">
        <v>2026</v>
      </c>
      <c r="E18" s="1445">
        <v>916667</v>
      </c>
      <c r="F18" s="1445">
        <v>742425</v>
      </c>
      <c r="G18" s="1445">
        <v>668183</v>
      </c>
      <c r="H18" s="1445">
        <v>593941</v>
      </c>
    </row>
    <row r="19" spans="1:8" x14ac:dyDescent="0.25">
      <c r="A19" s="1434" t="s">
        <v>1052</v>
      </c>
      <c r="B19" s="1441" t="s">
        <v>1143</v>
      </c>
      <c r="C19" s="1437"/>
      <c r="D19" s="1437"/>
      <c r="E19" s="1444">
        <f>SUM(E18:E18)</f>
        <v>916667</v>
      </c>
      <c r="F19" s="1444">
        <f>SUM(F18:F18)</f>
        <v>742425</v>
      </c>
      <c r="G19" s="1444">
        <f>SUM(G18:G18)</f>
        <v>668183</v>
      </c>
      <c r="H19" s="1444">
        <f>SUM(H18:H18)</f>
        <v>593941</v>
      </c>
    </row>
    <row r="20" spans="1:8" x14ac:dyDescent="0.25">
      <c r="A20" s="1434" t="s">
        <v>1053</v>
      </c>
      <c r="B20" s="1440" t="s">
        <v>1072</v>
      </c>
      <c r="C20" s="1440">
        <v>2014</v>
      </c>
      <c r="D20" s="1440">
        <v>2026</v>
      </c>
      <c r="E20" s="1446">
        <v>118459</v>
      </c>
      <c r="F20" s="1446">
        <v>97856</v>
      </c>
      <c r="G20" s="1446">
        <v>79269</v>
      </c>
      <c r="H20" s="1446">
        <v>62639</v>
      </c>
    </row>
    <row r="21" spans="1:8" x14ac:dyDescent="0.25">
      <c r="A21" s="1425" t="s">
        <v>1054</v>
      </c>
      <c r="B21" s="1447" t="s">
        <v>1144</v>
      </c>
      <c r="C21" s="1443"/>
      <c r="D21" s="1443"/>
      <c r="E21" s="1448">
        <f>SUM(E20:E20)</f>
        <v>118459</v>
      </c>
      <c r="F21" s="1448">
        <f>SUM(F20:F20)</f>
        <v>97856</v>
      </c>
      <c r="G21" s="1448">
        <f>SUM(G20:G20)</f>
        <v>79269</v>
      </c>
      <c r="H21" s="1448">
        <f>SUM(H20:H20)</f>
        <v>62639</v>
      </c>
    </row>
    <row r="22" spans="1:8" x14ac:dyDescent="0.25">
      <c r="A22" s="1434" t="s">
        <v>1055</v>
      </c>
      <c r="B22" s="1449" t="s">
        <v>1145</v>
      </c>
      <c r="C22" s="1436"/>
      <c r="D22" s="1436"/>
      <c r="E22" s="1444">
        <f>E17+E12</f>
        <v>1035126</v>
      </c>
      <c r="F22" s="1444">
        <f>F17+F12</f>
        <v>840281</v>
      </c>
      <c r="G22" s="1444">
        <f>G17+G12</f>
        <v>747452</v>
      </c>
      <c r="H22" s="1444">
        <f>H17+H12</f>
        <v>656580</v>
      </c>
    </row>
    <row r="23" spans="1:8" x14ac:dyDescent="0.25">
      <c r="A23" s="1434" t="s">
        <v>1056</v>
      </c>
      <c r="B23" s="1434" t="s">
        <v>1146</v>
      </c>
      <c r="C23" s="1434"/>
      <c r="D23" s="1434"/>
      <c r="E23" s="1434"/>
      <c r="F23" s="1434"/>
      <c r="G23" s="1434"/>
      <c r="H23" s="1434"/>
    </row>
    <row r="24" spans="1:8" ht="26.4" x14ac:dyDescent="0.25">
      <c r="A24" s="1434" t="s">
        <v>1071</v>
      </c>
      <c r="B24" s="1435" t="s">
        <v>1139</v>
      </c>
      <c r="C24" s="1436"/>
      <c r="D24" s="1436"/>
      <c r="E24" s="1437"/>
      <c r="F24" s="1437"/>
      <c r="G24" s="1437"/>
      <c r="H24" s="1437"/>
    </row>
    <row r="25" spans="1:8" x14ac:dyDescent="0.25">
      <c r="A25" s="1438" t="s">
        <v>1147</v>
      </c>
      <c r="B25" s="1439"/>
      <c r="C25" s="1440"/>
      <c r="D25" s="1440"/>
      <c r="E25" s="1440"/>
      <c r="F25" s="1440"/>
      <c r="G25" s="1440"/>
      <c r="H25" s="1440"/>
    </row>
    <row r="26" spans="1:8" x14ac:dyDescent="0.25">
      <c r="A26" s="1434" t="s">
        <v>1148</v>
      </c>
      <c r="B26" s="1441" t="s">
        <v>1140</v>
      </c>
      <c r="C26" s="1437"/>
      <c r="D26" s="1437"/>
      <c r="E26" s="1437"/>
      <c r="F26" s="1437"/>
      <c r="G26" s="1437"/>
      <c r="H26" s="1437"/>
    </row>
    <row r="27" spans="1:8" x14ac:dyDescent="0.25">
      <c r="A27" s="1434" t="s">
        <v>1149</v>
      </c>
      <c r="B27" s="1442"/>
      <c r="C27" s="1437"/>
      <c r="D27" s="1437"/>
      <c r="E27" s="1437"/>
      <c r="F27" s="1437"/>
      <c r="G27" s="1437"/>
      <c r="H27" s="1437"/>
    </row>
    <row r="28" spans="1:8" x14ac:dyDescent="0.25">
      <c r="A28" s="1425" t="s">
        <v>1150</v>
      </c>
      <c r="B28" s="1441" t="s">
        <v>1141</v>
      </c>
      <c r="C28" s="1443"/>
      <c r="D28" s="1443"/>
      <c r="E28" s="1443"/>
      <c r="F28" s="1443"/>
      <c r="G28" s="1443"/>
      <c r="H28" s="1443"/>
    </row>
    <row r="29" spans="1:8" ht="26.4" x14ac:dyDescent="0.25">
      <c r="A29" s="1434" t="s">
        <v>1151</v>
      </c>
      <c r="B29" s="1435" t="s">
        <v>1142</v>
      </c>
      <c r="C29" s="1436"/>
      <c r="D29" s="1436"/>
      <c r="E29" s="1444"/>
      <c r="F29" s="1444"/>
      <c r="G29" s="1444"/>
      <c r="H29" s="1444"/>
    </row>
    <row r="30" spans="1:8" x14ac:dyDescent="0.25">
      <c r="A30" s="1438" t="s">
        <v>1152</v>
      </c>
      <c r="B30" s="1440"/>
      <c r="C30" s="1440"/>
      <c r="D30" s="1440"/>
      <c r="E30" s="1445"/>
      <c r="F30" s="1445"/>
      <c r="G30" s="1445"/>
      <c r="H30" s="1445"/>
    </row>
    <row r="31" spans="1:8" x14ac:dyDescent="0.25">
      <c r="A31" s="1434" t="s">
        <v>1153</v>
      </c>
      <c r="B31" s="1437"/>
      <c r="C31" s="1437"/>
      <c r="D31" s="1437"/>
      <c r="E31" s="1446"/>
      <c r="F31" s="1446"/>
      <c r="G31" s="1446"/>
      <c r="H31" s="1446"/>
    </row>
    <row r="32" spans="1:8" x14ac:dyDescent="0.25">
      <c r="A32" s="1434" t="s">
        <v>1154</v>
      </c>
      <c r="B32" s="1437"/>
      <c r="C32" s="1437"/>
      <c r="D32" s="1437"/>
      <c r="E32" s="1446"/>
      <c r="F32" s="1446"/>
      <c r="G32" s="1446"/>
      <c r="H32" s="1446"/>
    </row>
    <row r="33" spans="1:8" x14ac:dyDescent="0.25">
      <c r="A33" s="1434" t="s">
        <v>1155</v>
      </c>
      <c r="B33" s="1441" t="s">
        <v>1140</v>
      </c>
      <c r="C33" s="1437"/>
      <c r="D33" s="1437"/>
      <c r="E33" s="1446"/>
      <c r="F33" s="1446"/>
      <c r="G33" s="1446"/>
      <c r="H33" s="1446"/>
    </row>
    <row r="34" spans="1:8" x14ac:dyDescent="0.25">
      <c r="A34" s="1434" t="s">
        <v>1156</v>
      </c>
      <c r="B34" s="1437"/>
      <c r="C34" s="1437"/>
      <c r="D34" s="1437"/>
      <c r="E34" s="1446"/>
      <c r="F34" s="1446"/>
      <c r="G34" s="1446"/>
      <c r="H34" s="1446"/>
    </row>
    <row r="35" spans="1:8" x14ac:dyDescent="0.25">
      <c r="A35" s="1434" t="s">
        <v>1157</v>
      </c>
      <c r="B35" s="1437"/>
      <c r="C35" s="1437"/>
      <c r="D35" s="1437"/>
      <c r="E35" s="1446"/>
      <c r="F35" s="1446"/>
      <c r="G35" s="1446"/>
      <c r="H35" s="1446"/>
    </row>
    <row r="36" spans="1:8" x14ac:dyDescent="0.25">
      <c r="A36" s="1434" t="s">
        <v>1158</v>
      </c>
      <c r="B36" s="1450"/>
      <c r="C36" s="1437"/>
      <c r="D36" s="1437"/>
      <c r="E36" s="1446"/>
      <c r="F36" s="1446"/>
      <c r="G36" s="1446"/>
      <c r="H36" s="1446"/>
    </row>
    <row r="37" spans="1:8" x14ac:dyDescent="0.25">
      <c r="A37" s="1425" t="s">
        <v>1159</v>
      </c>
      <c r="B37" s="1447" t="s">
        <v>1141</v>
      </c>
      <c r="C37" s="1443"/>
      <c r="D37" s="1443"/>
      <c r="E37" s="1451"/>
      <c r="F37" s="1451"/>
      <c r="G37" s="1451"/>
      <c r="H37" s="1451"/>
    </row>
    <row r="38" spans="1:8" x14ac:dyDescent="0.25">
      <c r="A38" s="1434" t="s">
        <v>1160</v>
      </c>
      <c r="B38" s="1449" t="s">
        <v>1161</v>
      </c>
      <c r="C38" s="1436"/>
      <c r="D38" s="1436"/>
      <c r="E38" s="1444"/>
      <c r="F38" s="1444"/>
      <c r="G38" s="1444"/>
      <c r="H38" s="1444"/>
    </row>
    <row r="39" spans="1:8" x14ac:dyDescent="0.25">
      <c r="A39" s="1452" t="s">
        <v>1162</v>
      </c>
      <c r="B39" s="1449" t="s">
        <v>1163</v>
      </c>
      <c r="C39" s="1442"/>
      <c r="D39" s="1442"/>
      <c r="E39" s="1453">
        <f>E22+E38</f>
        <v>1035126</v>
      </c>
      <c r="F39" s="1453">
        <f>F22+F38</f>
        <v>840281</v>
      </c>
      <c r="G39" s="1453">
        <f>G22+G38</f>
        <v>747452</v>
      </c>
      <c r="H39" s="1453">
        <f>H22+H38</f>
        <v>656580</v>
      </c>
    </row>
  </sheetData>
  <sheetProtection selectLockedCells="1" selectUnlockedCells="1"/>
  <mergeCells count="3">
    <mergeCell ref="A3:H3"/>
    <mergeCell ref="A4:H4"/>
    <mergeCell ref="E7:H7"/>
  </mergeCells>
  <pageMargins left="0.70866141732283472" right="0.70866141732283472" top="0.74803149606299213" bottom="0.74803149606299213" header="0.31496062992125984" footer="0.51181102362204722"/>
  <pageSetup paperSize="9" scale="87" firstPageNumber="0" orientation="portrait" horizontalDpi="300" verticalDpi="300" r:id="rId1"/>
  <headerFooter alignWithMargins="0">
    <oddHeader>&amp;C11. melléklet
az önkormányzat 2016. évi költségvetéséről szóló 8/2016. (II.26.) önkormányzati rendelethez&amp;R
&amp;P. oldal
ezer forint</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F30"/>
  <sheetViews>
    <sheetView view="pageLayout" zoomScaleNormal="100" zoomScaleSheetLayoutView="100" workbookViewId="0">
      <selection activeCell="F41" sqref="F41"/>
    </sheetView>
  </sheetViews>
  <sheetFormatPr defaultRowHeight="13.2" x14ac:dyDescent="0.25"/>
  <cols>
    <col min="1" max="1" width="9.109375" style="1454"/>
    <col min="2" max="2" width="25.44140625" style="1454" customWidth="1"/>
    <col min="3" max="3" width="20.88671875" style="1454" customWidth="1"/>
    <col min="4" max="4" width="17.33203125" style="1454" bestFit="1" customWidth="1"/>
    <col min="5" max="5" width="13.88671875" style="1454" bestFit="1" customWidth="1"/>
    <col min="6" max="257" width="9.109375" style="1454"/>
    <col min="258" max="258" width="25.44140625" style="1454" customWidth="1"/>
    <col min="259" max="259" width="20.88671875" style="1454" customWidth="1"/>
    <col min="260" max="260" width="17.33203125" style="1454" bestFit="1" customWidth="1"/>
    <col min="261" max="261" width="13.88671875" style="1454" bestFit="1" customWidth="1"/>
    <col min="262" max="513" width="9.109375" style="1454"/>
    <col min="514" max="514" width="25.44140625" style="1454" customWidth="1"/>
    <col min="515" max="515" width="20.88671875" style="1454" customWidth="1"/>
    <col min="516" max="516" width="17.33203125" style="1454" bestFit="1" customWidth="1"/>
    <col min="517" max="517" width="13.88671875" style="1454" bestFit="1" customWidth="1"/>
    <col min="518" max="769" width="9.109375" style="1454"/>
    <col min="770" max="770" width="25.44140625" style="1454" customWidth="1"/>
    <col min="771" max="771" width="20.88671875" style="1454" customWidth="1"/>
    <col min="772" max="772" width="17.33203125" style="1454" bestFit="1" customWidth="1"/>
    <col min="773" max="773" width="13.88671875" style="1454" bestFit="1" customWidth="1"/>
    <col min="774" max="1025" width="9.109375" style="1454"/>
    <col min="1026" max="1026" width="25.44140625" style="1454" customWidth="1"/>
    <col min="1027" max="1027" width="20.88671875" style="1454" customWidth="1"/>
    <col min="1028" max="1028" width="17.33203125" style="1454" bestFit="1" customWidth="1"/>
    <col min="1029" max="1029" width="13.88671875" style="1454" bestFit="1" customWidth="1"/>
    <col min="1030" max="1281" width="9.109375" style="1454"/>
    <col min="1282" max="1282" width="25.44140625" style="1454" customWidth="1"/>
    <col min="1283" max="1283" width="20.88671875" style="1454" customWidth="1"/>
    <col min="1284" max="1284" width="17.33203125" style="1454" bestFit="1" customWidth="1"/>
    <col min="1285" max="1285" width="13.88671875" style="1454" bestFit="1" customWidth="1"/>
    <col min="1286" max="1537" width="9.109375" style="1454"/>
    <col min="1538" max="1538" width="25.44140625" style="1454" customWidth="1"/>
    <col min="1539" max="1539" width="20.88671875" style="1454" customWidth="1"/>
    <col min="1540" max="1540" width="17.33203125" style="1454" bestFit="1" customWidth="1"/>
    <col min="1541" max="1541" width="13.88671875" style="1454" bestFit="1" customWidth="1"/>
    <col min="1542" max="1793" width="9.109375" style="1454"/>
    <col min="1794" max="1794" width="25.44140625" style="1454" customWidth="1"/>
    <col min="1795" max="1795" width="20.88671875" style="1454" customWidth="1"/>
    <col min="1796" max="1796" width="17.33203125" style="1454" bestFit="1" customWidth="1"/>
    <col min="1797" max="1797" width="13.88671875" style="1454" bestFit="1" customWidth="1"/>
    <col min="1798" max="2049" width="9.109375" style="1454"/>
    <col min="2050" max="2050" width="25.44140625" style="1454" customWidth="1"/>
    <col min="2051" max="2051" width="20.88671875" style="1454" customWidth="1"/>
    <col min="2052" max="2052" width="17.33203125" style="1454" bestFit="1" customWidth="1"/>
    <col min="2053" max="2053" width="13.88671875" style="1454" bestFit="1" customWidth="1"/>
    <col min="2054" max="2305" width="9.109375" style="1454"/>
    <col min="2306" max="2306" width="25.44140625" style="1454" customWidth="1"/>
    <col min="2307" max="2307" width="20.88671875" style="1454" customWidth="1"/>
    <col min="2308" max="2308" width="17.33203125" style="1454" bestFit="1" customWidth="1"/>
    <col min="2309" max="2309" width="13.88671875" style="1454" bestFit="1" customWidth="1"/>
    <col min="2310" max="2561" width="9.109375" style="1454"/>
    <col min="2562" max="2562" width="25.44140625" style="1454" customWidth="1"/>
    <col min="2563" max="2563" width="20.88671875" style="1454" customWidth="1"/>
    <col min="2564" max="2564" width="17.33203125" style="1454" bestFit="1" customWidth="1"/>
    <col min="2565" max="2565" width="13.88671875" style="1454" bestFit="1" customWidth="1"/>
    <col min="2566" max="2817" width="9.109375" style="1454"/>
    <col min="2818" max="2818" width="25.44140625" style="1454" customWidth="1"/>
    <col min="2819" max="2819" width="20.88671875" style="1454" customWidth="1"/>
    <col min="2820" max="2820" width="17.33203125" style="1454" bestFit="1" customWidth="1"/>
    <col min="2821" max="2821" width="13.88671875" style="1454" bestFit="1" customWidth="1"/>
    <col min="2822" max="3073" width="9.109375" style="1454"/>
    <col min="3074" max="3074" width="25.44140625" style="1454" customWidth="1"/>
    <col min="3075" max="3075" width="20.88671875" style="1454" customWidth="1"/>
    <col min="3076" max="3076" width="17.33203125" style="1454" bestFit="1" customWidth="1"/>
    <col min="3077" max="3077" width="13.88671875" style="1454" bestFit="1" customWidth="1"/>
    <col min="3078" max="3329" width="9.109375" style="1454"/>
    <col min="3330" max="3330" width="25.44140625" style="1454" customWidth="1"/>
    <col min="3331" max="3331" width="20.88671875" style="1454" customWidth="1"/>
    <col min="3332" max="3332" width="17.33203125" style="1454" bestFit="1" customWidth="1"/>
    <col min="3333" max="3333" width="13.88671875" style="1454" bestFit="1" customWidth="1"/>
    <col min="3334" max="3585" width="9.109375" style="1454"/>
    <col min="3586" max="3586" width="25.44140625" style="1454" customWidth="1"/>
    <col min="3587" max="3587" width="20.88671875" style="1454" customWidth="1"/>
    <col min="3588" max="3588" width="17.33203125" style="1454" bestFit="1" customWidth="1"/>
    <col min="3589" max="3589" width="13.88671875" style="1454" bestFit="1" customWidth="1"/>
    <col min="3590" max="3841" width="9.109375" style="1454"/>
    <col min="3842" max="3842" width="25.44140625" style="1454" customWidth="1"/>
    <col min="3843" max="3843" width="20.88671875" style="1454" customWidth="1"/>
    <col min="3844" max="3844" width="17.33203125" style="1454" bestFit="1" customWidth="1"/>
    <col min="3845" max="3845" width="13.88671875" style="1454" bestFit="1" customWidth="1"/>
    <col min="3846" max="4097" width="9.109375" style="1454"/>
    <col min="4098" max="4098" width="25.44140625" style="1454" customWidth="1"/>
    <col min="4099" max="4099" width="20.88671875" style="1454" customWidth="1"/>
    <col min="4100" max="4100" width="17.33203125" style="1454" bestFit="1" customWidth="1"/>
    <col min="4101" max="4101" width="13.88671875" style="1454" bestFit="1" customWidth="1"/>
    <col min="4102" max="4353" width="9.109375" style="1454"/>
    <col min="4354" max="4354" width="25.44140625" style="1454" customWidth="1"/>
    <col min="4355" max="4355" width="20.88671875" style="1454" customWidth="1"/>
    <col min="4356" max="4356" width="17.33203125" style="1454" bestFit="1" customWidth="1"/>
    <col min="4357" max="4357" width="13.88671875" style="1454" bestFit="1" customWidth="1"/>
    <col min="4358" max="4609" width="9.109375" style="1454"/>
    <col min="4610" max="4610" width="25.44140625" style="1454" customWidth="1"/>
    <col min="4611" max="4611" width="20.88671875" style="1454" customWidth="1"/>
    <col min="4612" max="4612" width="17.33203125" style="1454" bestFit="1" customWidth="1"/>
    <col min="4613" max="4613" width="13.88671875" style="1454" bestFit="1" customWidth="1"/>
    <col min="4614" max="4865" width="9.109375" style="1454"/>
    <col min="4866" max="4866" width="25.44140625" style="1454" customWidth="1"/>
    <col min="4867" max="4867" width="20.88671875" style="1454" customWidth="1"/>
    <col min="4868" max="4868" width="17.33203125" style="1454" bestFit="1" customWidth="1"/>
    <col min="4869" max="4869" width="13.88671875" style="1454" bestFit="1" customWidth="1"/>
    <col min="4870" max="5121" width="9.109375" style="1454"/>
    <col min="5122" max="5122" width="25.44140625" style="1454" customWidth="1"/>
    <col min="5123" max="5123" width="20.88671875" style="1454" customWidth="1"/>
    <col min="5124" max="5124" width="17.33203125" style="1454" bestFit="1" customWidth="1"/>
    <col min="5125" max="5125" width="13.88671875" style="1454" bestFit="1" customWidth="1"/>
    <col min="5126" max="5377" width="9.109375" style="1454"/>
    <col min="5378" max="5378" width="25.44140625" style="1454" customWidth="1"/>
    <col min="5379" max="5379" width="20.88671875" style="1454" customWidth="1"/>
    <col min="5380" max="5380" width="17.33203125" style="1454" bestFit="1" customWidth="1"/>
    <col min="5381" max="5381" width="13.88671875" style="1454" bestFit="1" customWidth="1"/>
    <col min="5382" max="5633" width="9.109375" style="1454"/>
    <col min="5634" max="5634" width="25.44140625" style="1454" customWidth="1"/>
    <col min="5635" max="5635" width="20.88671875" style="1454" customWidth="1"/>
    <col min="5636" max="5636" width="17.33203125" style="1454" bestFit="1" customWidth="1"/>
    <col min="5637" max="5637" width="13.88671875" style="1454" bestFit="1" customWidth="1"/>
    <col min="5638" max="5889" width="9.109375" style="1454"/>
    <col min="5890" max="5890" width="25.44140625" style="1454" customWidth="1"/>
    <col min="5891" max="5891" width="20.88671875" style="1454" customWidth="1"/>
    <col min="5892" max="5892" width="17.33203125" style="1454" bestFit="1" customWidth="1"/>
    <col min="5893" max="5893" width="13.88671875" style="1454" bestFit="1" customWidth="1"/>
    <col min="5894" max="6145" width="9.109375" style="1454"/>
    <col min="6146" max="6146" width="25.44140625" style="1454" customWidth="1"/>
    <col min="6147" max="6147" width="20.88671875" style="1454" customWidth="1"/>
    <col min="6148" max="6148" width="17.33203125" style="1454" bestFit="1" customWidth="1"/>
    <col min="6149" max="6149" width="13.88671875" style="1454" bestFit="1" customWidth="1"/>
    <col min="6150" max="6401" width="9.109375" style="1454"/>
    <col min="6402" max="6402" width="25.44140625" style="1454" customWidth="1"/>
    <col min="6403" max="6403" width="20.88671875" style="1454" customWidth="1"/>
    <col min="6404" max="6404" width="17.33203125" style="1454" bestFit="1" customWidth="1"/>
    <col min="6405" max="6405" width="13.88671875" style="1454" bestFit="1" customWidth="1"/>
    <col min="6406" max="6657" width="9.109375" style="1454"/>
    <col min="6658" max="6658" width="25.44140625" style="1454" customWidth="1"/>
    <col min="6659" max="6659" width="20.88671875" style="1454" customWidth="1"/>
    <col min="6660" max="6660" width="17.33203125" style="1454" bestFit="1" customWidth="1"/>
    <col min="6661" max="6661" width="13.88671875" style="1454" bestFit="1" customWidth="1"/>
    <col min="6662" max="6913" width="9.109375" style="1454"/>
    <col min="6914" max="6914" width="25.44140625" style="1454" customWidth="1"/>
    <col min="6915" max="6915" width="20.88671875" style="1454" customWidth="1"/>
    <col min="6916" max="6916" width="17.33203125" style="1454" bestFit="1" customWidth="1"/>
    <col min="6917" max="6917" width="13.88671875" style="1454" bestFit="1" customWidth="1"/>
    <col min="6918" max="7169" width="9.109375" style="1454"/>
    <col min="7170" max="7170" width="25.44140625" style="1454" customWidth="1"/>
    <col min="7171" max="7171" width="20.88671875" style="1454" customWidth="1"/>
    <col min="7172" max="7172" width="17.33203125" style="1454" bestFit="1" customWidth="1"/>
    <col min="7173" max="7173" width="13.88671875" style="1454" bestFit="1" customWidth="1"/>
    <col min="7174" max="7425" width="9.109375" style="1454"/>
    <col min="7426" max="7426" width="25.44140625" style="1454" customWidth="1"/>
    <col min="7427" max="7427" width="20.88671875" style="1454" customWidth="1"/>
    <col min="7428" max="7428" width="17.33203125" style="1454" bestFit="1" customWidth="1"/>
    <col min="7429" max="7429" width="13.88671875" style="1454" bestFit="1" customWidth="1"/>
    <col min="7430" max="7681" width="9.109375" style="1454"/>
    <col min="7682" max="7682" width="25.44140625" style="1454" customWidth="1"/>
    <col min="7683" max="7683" width="20.88671875" style="1454" customWidth="1"/>
    <col min="7684" max="7684" width="17.33203125" style="1454" bestFit="1" customWidth="1"/>
    <col min="7685" max="7685" width="13.88671875" style="1454" bestFit="1" customWidth="1"/>
    <col min="7686" max="7937" width="9.109375" style="1454"/>
    <col min="7938" max="7938" width="25.44140625" style="1454" customWidth="1"/>
    <col min="7939" max="7939" width="20.88671875" style="1454" customWidth="1"/>
    <col min="7940" max="7940" width="17.33203125" style="1454" bestFit="1" customWidth="1"/>
    <col min="7941" max="7941" width="13.88671875" style="1454" bestFit="1" customWidth="1"/>
    <col min="7942" max="8193" width="9.109375" style="1454"/>
    <col min="8194" max="8194" width="25.44140625" style="1454" customWidth="1"/>
    <col min="8195" max="8195" width="20.88671875" style="1454" customWidth="1"/>
    <col min="8196" max="8196" width="17.33203125" style="1454" bestFit="1" customWidth="1"/>
    <col min="8197" max="8197" width="13.88671875" style="1454" bestFit="1" customWidth="1"/>
    <col min="8198" max="8449" width="9.109375" style="1454"/>
    <col min="8450" max="8450" width="25.44140625" style="1454" customWidth="1"/>
    <col min="8451" max="8451" width="20.88671875" style="1454" customWidth="1"/>
    <col min="8452" max="8452" width="17.33203125" style="1454" bestFit="1" customWidth="1"/>
    <col min="8453" max="8453" width="13.88671875" style="1454" bestFit="1" customWidth="1"/>
    <col min="8454" max="8705" width="9.109375" style="1454"/>
    <col min="8706" max="8706" width="25.44140625" style="1454" customWidth="1"/>
    <col min="8707" max="8707" width="20.88671875" style="1454" customWidth="1"/>
    <col min="8708" max="8708" width="17.33203125" style="1454" bestFit="1" customWidth="1"/>
    <col min="8709" max="8709" width="13.88671875" style="1454" bestFit="1" customWidth="1"/>
    <col min="8710" max="8961" width="9.109375" style="1454"/>
    <col min="8962" max="8962" width="25.44140625" style="1454" customWidth="1"/>
    <col min="8963" max="8963" width="20.88671875" style="1454" customWidth="1"/>
    <col min="8964" max="8964" width="17.33203125" style="1454" bestFit="1" customWidth="1"/>
    <col min="8965" max="8965" width="13.88671875" style="1454" bestFit="1" customWidth="1"/>
    <col min="8966" max="9217" width="9.109375" style="1454"/>
    <col min="9218" max="9218" width="25.44140625" style="1454" customWidth="1"/>
    <col min="9219" max="9219" width="20.88671875" style="1454" customWidth="1"/>
    <col min="9220" max="9220" width="17.33203125" style="1454" bestFit="1" customWidth="1"/>
    <col min="9221" max="9221" width="13.88671875" style="1454" bestFit="1" customWidth="1"/>
    <col min="9222" max="9473" width="9.109375" style="1454"/>
    <col min="9474" max="9474" width="25.44140625" style="1454" customWidth="1"/>
    <col min="9475" max="9475" width="20.88671875" style="1454" customWidth="1"/>
    <col min="9476" max="9476" width="17.33203125" style="1454" bestFit="1" customWidth="1"/>
    <col min="9477" max="9477" width="13.88671875" style="1454" bestFit="1" customWidth="1"/>
    <col min="9478" max="9729" width="9.109375" style="1454"/>
    <col min="9730" max="9730" width="25.44140625" style="1454" customWidth="1"/>
    <col min="9731" max="9731" width="20.88671875" style="1454" customWidth="1"/>
    <col min="9732" max="9732" width="17.33203125" style="1454" bestFit="1" customWidth="1"/>
    <col min="9733" max="9733" width="13.88671875" style="1454" bestFit="1" customWidth="1"/>
    <col min="9734" max="9985" width="9.109375" style="1454"/>
    <col min="9986" max="9986" width="25.44140625" style="1454" customWidth="1"/>
    <col min="9987" max="9987" width="20.88671875" style="1454" customWidth="1"/>
    <col min="9988" max="9988" width="17.33203125" style="1454" bestFit="1" customWidth="1"/>
    <col min="9989" max="9989" width="13.88671875" style="1454" bestFit="1" customWidth="1"/>
    <col min="9990" max="10241" width="9.109375" style="1454"/>
    <col min="10242" max="10242" width="25.44140625" style="1454" customWidth="1"/>
    <col min="10243" max="10243" width="20.88671875" style="1454" customWidth="1"/>
    <col min="10244" max="10244" width="17.33203125" style="1454" bestFit="1" customWidth="1"/>
    <col min="10245" max="10245" width="13.88671875" style="1454" bestFit="1" customWidth="1"/>
    <col min="10246" max="10497" width="9.109375" style="1454"/>
    <col min="10498" max="10498" width="25.44140625" style="1454" customWidth="1"/>
    <col min="10499" max="10499" width="20.88671875" style="1454" customWidth="1"/>
    <col min="10500" max="10500" width="17.33203125" style="1454" bestFit="1" customWidth="1"/>
    <col min="10501" max="10501" width="13.88671875" style="1454" bestFit="1" customWidth="1"/>
    <col min="10502" max="10753" width="9.109375" style="1454"/>
    <col min="10754" max="10754" width="25.44140625" style="1454" customWidth="1"/>
    <col min="10755" max="10755" width="20.88671875" style="1454" customWidth="1"/>
    <col min="10756" max="10756" width="17.33203125" style="1454" bestFit="1" customWidth="1"/>
    <col min="10757" max="10757" width="13.88671875" style="1454" bestFit="1" customWidth="1"/>
    <col min="10758" max="11009" width="9.109375" style="1454"/>
    <col min="11010" max="11010" width="25.44140625" style="1454" customWidth="1"/>
    <col min="11011" max="11011" width="20.88671875" style="1454" customWidth="1"/>
    <col min="11012" max="11012" width="17.33203125" style="1454" bestFit="1" customWidth="1"/>
    <col min="11013" max="11013" width="13.88671875" style="1454" bestFit="1" customWidth="1"/>
    <col min="11014" max="11265" width="9.109375" style="1454"/>
    <col min="11266" max="11266" width="25.44140625" style="1454" customWidth="1"/>
    <col min="11267" max="11267" width="20.88671875" style="1454" customWidth="1"/>
    <col min="11268" max="11268" width="17.33203125" style="1454" bestFit="1" customWidth="1"/>
    <col min="11269" max="11269" width="13.88671875" style="1454" bestFit="1" customWidth="1"/>
    <col min="11270" max="11521" width="9.109375" style="1454"/>
    <col min="11522" max="11522" width="25.44140625" style="1454" customWidth="1"/>
    <col min="11523" max="11523" width="20.88671875" style="1454" customWidth="1"/>
    <col min="11524" max="11524" width="17.33203125" style="1454" bestFit="1" customWidth="1"/>
    <col min="11525" max="11525" width="13.88671875" style="1454" bestFit="1" customWidth="1"/>
    <col min="11526" max="11777" width="9.109375" style="1454"/>
    <col min="11778" max="11778" width="25.44140625" style="1454" customWidth="1"/>
    <col min="11779" max="11779" width="20.88671875" style="1454" customWidth="1"/>
    <col min="11780" max="11780" width="17.33203125" style="1454" bestFit="1" customWidth="1"/>
    <col min="11781" max="11781" width="13.88671875" style="1454" bestFit="1" customWidth="1"/>
    <col min="11782" max="12033" width="9.109375" style="1454"/>
    <col min="12034" max="12034" width="25.44140625" style="1454" customWidth="1"/>
    <col min="12035" max="12035" width="20.88671875" style="1454" customWidth="1"/>
    <col min="12036" max="12036" width="17.33203125" style="1454" bestFit="1" customWidth="1"/>
    <col min="12037" max="12037" width="13.88671875" style="1454" bestFit="1" customWidth="1"/>
    <col min="12038" max="12289" width="9.109375" style="1454"/>
    <col min="12290" max="12290" width="25.44140625" style="1454" customWidth="1"/>
    <col min="12291" max="12291" width="20.88671875" style="1454" customWidth="1"/>
    <col min="12292" max="12292" width="17.33203125" style="1454" bestFit="1" customWidth="1"/>
    <col min="12293" max="12293" width="13.88671875" style="1454" bestFit="1" customWidth="1"/>
    <col min="12294" max="12545" width="9.109375" style="1454"/>
    <col min="12546" max="12546" width="25.44140625" style="1454" customWidth="1"/>
    <col min="12547" max="12547" width="20.88671875" style="1454" customWidth="1"/>
    <col min="12548" max="12548" width="17.33203125" style="1454" bestFit="1" customWidth="1"/>
    <col min="12549" max="12549" width="13.88671875" style="1454" bestFit="1" customWidth="1"/>
    <col min="12550" max="12801" width="9.109375" style="1454"/>
    <col min="12802" max="12802" width="25.44140625" style="1454" customWidth="1"/>
    <col min="12803" max="12803" width="20.88671875" style="1454" customWidth="1"/>
    <col min="12804" max="12804" width="17.33203125" style="1454" bestFit="1" customWidth="1"/>
    <col min="12805" max="12805" width="13.88671875" style="1454" bestFit="1" customWidth="1"/>
    <col min="12806" max="13057" width="9.109375" style="1454"/>
    <col min="13058" max="13058" width="25.44140625" style="1454" customWidth="1"/>
    <col min="13059" max="13059" width="20.88671875" style="1454" customWidth="1"/>
    <col min="13060" max="13060" width="17.33203125" style="1454" bestFit="1" customWidth="1"/>
    <col min="13061" max="13061" width="13.88671875" style="1454" bestFit="1" customWidth="1"/>
    <col min="13062" max="13313" width="9.109375" style="1454"/>
    <col min="13314" max="13314" width="25.44140625" style="1454" customWidth="1"/>
    <col min="13315" max="13315" width="20.88671875" style="1454" customWidth="1"/>
    <col min="13316" max="13316" width="17.33203125" style="1454" bestFit="1" customWidth="1"/>
    <col min="13317" max="13317" width="13.88671875" style="1454" bestFit="1" customWidth="1"/>
    <col min="13318" max="13569" width="9.109375" style="1454"/>
    <col min="13570" max="13570" width="25.44140625" style="1454" customWidth="1"/>
    <col min="13571" max="13571" width="20.88671875" style="1454" customWidth="1"/>
    <col min="13572" max="13572" width="17.33203125" style="1454" bestFit="1" customWidth="1"/>
    <col min="13573" max="13573" width="13.88671875" style="1454" bestFit="1" customWidth="1"/>
    <col min="13574" max="13825" width="9.109375" style="1454"/>
    <col min="13826" max="13826" width="25.44140625" style="1454" customWidth="1"/>
    <col min="13827" max="13827" width="20.88671875" style="1454" customWidth="1"/>
    <col min="13828" max="13828" width="17.33203125" style="1454" bestFit="1" customWidth="1"/>
    <col min="13829" max="13829" width="13.88671875" style="1454" bestFit="1" customWidth="1"/>
    <col min="13830" max="14081" width="9.109375" style="1454"/>
    <col min="14082" max="14082" width="25.44140625" style="1454" customWidth="1"/>
    <col min="14083" max="14083" width="20.88671875" style="1454" customWidth="1"/>
    <col min="14084" max="14084" width="17.33203125" style="1454" bestFit="1" customWidth="1"/>
    <col min="14085" max="14085" width="13.88671875" style="1454" bestFit="1" customWidth="1"/>
    <col min="14086" max="14337" width="9.109375" style="1454"/>
    <col min="14338" max="14338" width="25.44140625" style="1454" customWidth="1"/>
    <col min="14339" max="14339" width="20.88671875" style="1454" customWidth="1"/>
    <col min="14340" max="14340" width="17.33203125" style="1454" bestFit="1" customWidth="1"/>
    <col min="14341" max="14341" width="13.88671875" style="1454" bestFit="1" customWidth="1"/>
    <col min="14342" max="14593" width="9.109375" style="1454"/>
    <col min="14594" max="14594" width="25.44140625" style="1454" customWidth="1"/>
    <col min="14595" max="14595" width="20.88671875" style="1454" customWidth="1"/>
    <col min="14596" max="14596" width="17.33203125" style="1454" bestFit="1" customWidth="1"/>
    <col min="14597" max="14597" width="13.88671875" style="1454" bestFit="1" customWidth="1"/>
    <col min="14598" max="14849" width="9.109375" style="1454"/>
    <col min="14850" max="14850" width="25.44140625" style="1454" customWidth="1"/>
    <col min="14851" max="14851" width="20.88671875" style="1454" customWidth="1"/>
    <col min="14852" max="14852" width="17.33203125" style="1454" bestFit="1" customWidth="1"/>
    <col min="14853" max="14853" width="13.88671875" style="1454" bestFit="1" customWidth="1"/>
    <col min="14854" max="15105" width="9.109375" style="1454"/>
    <col min="15106" max="15106" width="25.44140625" style="1454" customWidth="1"/>
    <col min="15107" max="15107" width="20.88671875" style="1454" customWidth="1"/>
    <col min="15108" max="15108" width="17.33203125" style="1454" bestFit="1" customWidth="1"/>
    <col min="15109" max="15109" width="13.88671875" style="1454" bestFit="1" customWidth="1"/>
    <col min="15110" max="15361" width="9.109375" style="1454"/>
    <col min="15362" max="15362" width="25.44140625" style="1454" customWidth="1"/>
    <col min="15363" max="15363" width="20.88671875" style="1454" customWidth="1"/>
    <col min="15364" max="15364" width="17.33203125" style="1454" bestFit="1" customWidth="1"/>
    <col min="15365" max="15365" width="13.88671875" style="1454" bestFit="1" customWidth="1"/>
    <col min="15366" max="15617" width="9.109375" style="1454"/>
    <col min="15618" max="15618" width="25.44140625" style="1454" customWidth="1"/>
    <col min="15619" max="15619" width="20.88671875" style="1454" customWidth="1"/>
    <col min="15620" max="15620" width="17.33203125" style="1454" bestFit="1" customWidth="1"/>
    <col min="15621" max="15621" width="13.88671875" style="1454" bestFit="1" customWidth="1"/>
    <col min="15622" max="15873" width="9.109375" style="1454"/>
    <col min="15874" max="15874" width="25.44140625" style="1454" customWidth="1"/>
    <col min="15875" max="15875" width="20.88671875" style="1454" customWidth="1"/>
    <col min="15876" max="15876" width="17.33203125" style="1454" bestFit="1" customWidth="1"/>
    <col min="15877" max="15877" width="13.88671875" style="1454" bestFit="1" customWidth="1"/>
    <col min="15878" max="16129" width="9.109375" style="1454"/>
    <col min="16130" max="16130" width="25.44140625" style="1454" customWidth="1"/>
    <col min="16131" max="16131" width="20.88671875" style="1454" customWidth="1"/>
    <col min="16132" max="16132" width="17.33203125" style="1454" bestFit="1" customWidth="1"/>
    <col min="16133" max="16133" width="13.88671875" style="1454" bestFit="1" customWidth="1"/>
    <col min="16134" max="16384" width="9.109375" style="1454"/>
  </cols>
  <sheetData>
    <row r="4" spans="1:5" x14ac:dyDescent="0.25">
      <c r="A4" s="1669" t="s">
        <v>1164</v>
      </c>
      <c r="B4" s="1669"/>
      <c r="C4" s="1669"/>
      <c r="D4" s="1669"/>
      <c r="E4" s="1669"/>
    </row>
    <row r="5" spans="1:5" x14ac:dyDescent="0.25">
      <c r="A5" s="1669" t="s">
        <v>1165</v>
      </c>
      <c r="B5" s="1669"/>
      <c r="C5" s="1669"/>
      <c r="D5" s="1669"/>
      <c r="E5" s="1669"/>
    </row>
    <row r="6" spans="1:5" ht="13.8" thickBot="1" x14ac:dyDescent="0.3"/>
    <row r="7" spans="1:5" x14ac:dyDescent="0.25">
      <c r="A7" s="1455" t="s">
        <v>890</v>
      </c>
      <c r="B7" s="1456" t="s">
        <v>1166</v>
      </c>
      <c r="C7" s="1456" t="s">
        <v>1167</v>
      </c>
      <c r="D7" s="1456" t="s">
        <v>1168</v>
      </c>
      <c r="E7" s="1457" t="s">
        <v>1169</v>
      </c>
    </row>
    <row r="8" spans="1:5" x14ac:dyDescent="0.25">
      <c r="A8" s="1458"/>
      <c r="B8" s="1459"/>
      <c r="C8" s="1460" t="s">
        <v>1170</v>
      </c>
      <c r="D8" s="1461" t="s">
        <v>1171</v>
      </c>
      <c r="E8" s="1462" t="s">
        <v>1172</v>
      </c>
    </row>
    <row r="9" spans="1:5" x14ac:dyDescent="0.25">
      <c r="A9" s="1458"/>
      <c r="B9" s="1459"/>
      <c r="C9" s="1459"/>
      <c r="D9" s="1461" t="s">
        <v>1173</v>
      </c>
      <c r="E9" s="1462" t="s">
        <v>1174</v>
      </c>
    </row>
    <row r="10" spans="1:5" ht="13.8" thickBot="1" x14ac:dyDescent="0.3">
      <c r="A10" s="1463" t="s">
        <v>1047</v>
      </c>
      <c r="B10" s="1464" t="s">
        <v>506</v>
      </c>
      <c r="C10" s="1464" t="s">
        <v>507</v>
      </c>
      <c r="D10" s="1464" t="s">
        <v>1048</v>
      </c>
      <c r="E10" s="1465" t="s">
        <v>1049</v>
      </c>
    </row>
    <row r="11" spans="1:5" ht="65.25" customHeight="1" x14ac:dyDescent="0.25">
      <c r="A11" s="1466" t="s">
        <v>506</v>
      </c>
      <c r="B11" s="1467" t="s">
        <v>1175</v>
      </c>
      <c r="C11" s="1468"/>
      <c r="D11" s="1469">
        <f>SUM(D12:D13)</f>
        <v>35614</v>
      </c>
      <c r="E11" s="1470">
        <f>SUM(E12:E17)</f>
        <v>0</v>
      </c>
    </row>
    <row r="12" spans="1:5" x14ac:dyDescent="0.25">
      <c r="A12" s="1471"/>
      <c r="B12" s="1472"/>
      <c r="C12" s="1472" t="s">
        <v>1176</v>
      </c>
      <c r="D12" s="1473">
        <v>3056</v>
      </c>
      <c r="E12" s="1474">
        <v>0</v>
      </c>
    </row>
    <row r="13" spans="1:5" x14ac:dyDescent="0.25">
      <c r="A13" s="1471"/>
      <c r="B13" s="1472"/>
      <c r="C13" s="1472" t="s">
        <v>1177</v>
      </c>
      <c r="D13" s="1473">
        <f>SUM(D14:D18)</f>
        <v>32558</v>
      </c>
      <c r="E13" s="1473">
        <f>SUM(E14:E18)</f>
        <v>0</v>
      </c>
    </row>
    <row r="14" spans="1:5" x14ac:dyDescent="0.25">
      <c r="A14" s="1471"/>
      <c r="B14" s="1472"/>
      <c r="C14" s="1472" t="s">
        <v>1178</v>
      </c>
      <c r="D14" s="1473">
        <v>894</v>
      </c>
      <c r="E14" s="1474">
        <v>0</v>
      </c>
    </row>
    <row r="15" spans="1:5" x14ac:dyDescent="0.25">
      <c r="A15" s="1471"/>
      <c r="B15" s="1472"/>
      <c r="C15" s="1472" t="s">
        <v>1179</v>
      </c>
      <c r="D15" s="1473">
        <v>14957</v>
      </c>
      <c r="E15" s="1474">
        <v>0</v>
      </c>
    </row>
    <row r="16" spans="1:5" x14ac:dyDescent="0.25">
      <c r="A16" s="1471"/>
      <c r="B16" s="1472"/>
      <c r="C16" s="1472" t="s">
        <v>1180</v>
      </c>
      <c r="D16" s="1473">
        <v>13525</v>
      </c>
      <c r="E16" s="1474">
        <v>0</v>
      </c>
    </row>
    <row r="17" spans="1:6" x14ac:dyDescent="0.25">
      <c r="A17" s="1471"/>
      <c r="B17" s="1472"/>
      <c r="C17" s="1472" t="s">
        <v>1181</v>
      </c>
      <c r="D17" s="1473"/>
      <c r="E17" s="1474">
        <v>0</v>
      </c>
    </row>
    <row r="18" spans="1:6" x14ac:dyDescent="0.25">
      <c r="A18" s="1471"/>
      <c r="B18" s="1472"/>
      <c r="C18" s="1472" t="s">
        <v>1182</v>
      </c>
      <c r="D18" s="1473">
        <v>3182</v>
      </c>
      <c r="E18" s="1474">
        <v>0</v>
      </c>
    </row>
    <row r="19" spans="1:6" ht="69" customHeight="1" x14ac:dyDescent="0.25">
      <c r="A19" s="1475" t="s">
        <v>507</v>
      </c>
      <c r="B19" s="1476" t="s">
        <v>1183</v>
      </c>
      <c r="C19" s="1472"/>
      <c r="D19" s="1473"/>
      <c r="E19" s="1474">
        <v>0</v>
      </c>
    </row>
    <row r="20" spans="1:6" ht="55.5" customHeight="1" x14ac:dyDescent="0.25">
      <c r="A20" s="1475"/>
      <c r="B20" s="1477" t="s">
        <v>1184</v>
      </c>
      <c r="C20" s="1478"/>
      <c r="D20" s="1479">
        <f>SUM(D21:D27)</f>
        <v>1993111</v>
      </c>
      <c r="E20" s="1479">
        <f>SUM(E21:E27)</f>
        <v>481211</v>
      </c>
      <c r="F20" s="1479">
        <f>SUM(F21:F27)</f>
        <v>1511900</v>
      </c>
    </row>
    <row r="21" spans="1:6" x14ac:dyDescent="0.25">
      <c r="A21" s="1475"/>
      <c r="B21" s="1480"/>
      <c r="C21" s="1481" t="s">
        <v>1185</v>
      </c>
      <c r="D21" s="1473">
        <f t="shared" ref="D21:D28" si="0">F21+E21</f>
        <v>569629</v>
      </c>
      <c r="E21" s="1474">
        <v>193629</v>
      </c>
      <c r="F21" s="1482">
        <v>376000</v>
      </c>
    </row>
    <row r="22" spans="1:6" x14ac:dyDescent="0.25">
      <c r="A22" s="1475"/>
      <c r="B22" s="1480"/>
      <c r="C22" s="1481" t="s">
        <v>1186</v>
      </c>
      <c r="D22" s="1473">
        <f t="shared" si="0"/>
        <v>788595</v>
      </c>
      <c r="E22" s="1474">
        <v>48595</v>
      </c>
      <c r="F22" s="1482">
        <v>740000</v>
      </c>
    </row>
    <row r="23" spans="1:6" ht="16.5" customHeight="1" x14ac:dyDescent="0.25">
      <c r="A23" s="1475"/>
      <c r="B23" s="1480"/>
      <c r="C23" s="1483" t="s">
        <v>1187</v>
      </c>
      <c r="D23" s="1473">
        <f t="shared" si="0"/>
        <v>405991</v>
      </c>
      <c r="E23" s="1474">
        <v>90991</v>
      </c>
      <c r="F23" s="1482">
        <v>315000</v>
      </c>
    </row>
    <row r="24" spans="1:6" ht="16.5" customHeight="1" x14ac:dyDescent="0.25">
      <c r="A24" s="1475"/>
      <c r="B24" s="1480"/>
      <c r="C24" s="1483" t="s">
        <v>1188</v>
      </c>
      <c r="D24" s="1473">
        <f t="shared" si="0"/>
        <v>29181</v>
      </c>
      <c r="E24" s="1474">
        <v>2181</v>
      </c>
      <c r="F24" s="1482">
        <v>27000</v>
      </c>
    </row>
    <row r="25" spans="1:6" ht="16.5" customHeight="1" x14ac:dyDescent="0.25">
      <c r="A25" s="1475"/>
      <c r="B25" s="1480"/>
      <c r="C25" s="1483" t="s">
        <v>1189</v>
      </c>
      <c r="D25" s="1473">
        <f t="shared" si="0"/>
        <v>900</v>
      </c>
      <c r="E25" s="1474">
        <v>0</v>
      </c>
      <c r="F25" s="1484">
        <v>900</v>
      </c>
    </row>
    <row r="26" spans="1:6" x14ac:dyDescent="0.25">
      <c r="A26" s="1475"/>
      <c r="B26" s="1480"/>
      <c r="C26" s="1481" t="s">
        <v>1190</v>
      </c>
      <c r="D26" s="1473">
        <f t="shared" si="0"/>
        <v>59728</v>
      </c>
      <c r="E26" s="1474">
        <v>9728</v>
      </c>
      <c r="F26" s="1484">
        <v>50000</v>
      </c>
    </row>
    <row r="27" spans="1:6" x14ac:dyDescent="0.25">
      <c r="A27" s="1475"/>
      <c r="B27" s="1480"/>
      <c r="C27" s="1481" t="s">
        <v>1191</v>
      </c>
      <c r="D27" s="1473">
        <f t="shared" si="0"/>
        <v>139087</v>
      </c>
      <c r="E27" s="1474">
        <v>136087</v>
      </c>
      <c r="F27" s="1484">
        <v>3000</v>
      </c>
    </row>
    <row r="28" spans="1:6" ht="66" x14ac:dyDescent="0.25">
      <c r="A28" s="1475" t="s">
        <v>1048</v>
      </c>
      <c r="B28" s="1476" t="s">
        <v>1192</v>
      </c>
      <c r="C28" s="1472"/>
      <c r="D28" s="1473">
        <f t="shared" si="0"/>
        <v>276857</v>
      </c>
      <c r="E28" s="1474">
        <v>14815</v>
      </c>
      <c r="F28" s="1484">
        <f>249342+12700</f>
        <v>262042</v>
      </c>
    </row>
    <row r="29" spans="1:6" ht="40.200000000000003" thickBot="1" x14ac:dyDescent="0.3">
      <c r="A29" s="1485" t="s">
        <v>1049</v>
      </c>
      <c r="B29" s="1486" t="s">
        <v>1193</v>
      </c>
      <c r="C29" s="1487"/>
      <c r="D29" s="1488">
        <f>F29+E29+G29</f>
        <v>94735</v>
      </c>
      <c r="E29" s="1489">
        <v>0</v>
      </c>
      <c r="F29" s="1484">
        <f>93465+1270</f>
        <v>94735</v>
      </c>
    </row>
    <row r="30" spans="1:6" ht="13.8" thickBot="1" x14ac:dyDescent="0.3">
      <c r="A30" s="1490"/>
      <c r="B30" s="1491" t="s">
        <v>1194</v>
      </c>
      <c r="C30" s="1491"/>
      <c r="D30" s="1492">
        <f>D29+D28+D19+D20+D11</f>
        <v>2400317</v>
      </c>
      <c r="E30" s="1493">
        <f>E29+E28+E19+E20+E11</f>
        <v>496026</v>
      </c>
    </row>
  </sheetData>
  <mergeCells count="2">
    <mergeCell ref="A4:E4"/>
    <mergeCell ref="A5:E5"/>
  </mergeCells>
  <pageMargins left="0.75" right="0.75" top="1" bottom="1" header="0.5" footer="0.5"/>
  <pageSetup paperSize="9" scale="91" orientation="portrait" r:id="rId1"/>
  <headerFooter alignWithMargins="0">
    <oddHeader>&amp;C12. melléklet
az önkormányzat 2016. évi költségvetéséről szóló 8/2016. (II.26.) önkormányzati rendelethez&amp;R
&amp;P. oldal
ezer forint</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42"/>
  <sheetViews>
    <sheetView view="pageLayout" zoomScaleNormal="100" workbookViewId="0">
      <selection activeCell="C1" sqref="C1"/>
    </sheetView>
  </sheetViews>
  <sheetFormatPr defaultRowHeight="13.2" x14ac:dyDescent="0.25"/>
  <cols>
    <col min="1" max="1" width="35.88671875" style="1423" customWidth="1"/>
    <col min="2" max="2" width="13.6640625" style="1514" customWidth="1"/>
    <col min="3" max="3" width="14.5546875" style="1423" customWidth="1"/>
    <col min="4" max="4" width="12.33203125" style="1423" customWidth="1"/>
    <col min="5" max="5" width="17.88671875" style="1423" customWidth="1"/>
    <col min="6" max="6" width="15.33203125" style="1423" customWidth="1"/>
    <col min="7" max="7" width="13.5546875" style="1423" customWidth="1"/>
    <col min="8" max="8" width="20.6640625" style="1423" customWidth="1"/>
    <col min="9" max="9" width="18" style="1423" customWidth="1"/>
    <col min="10" max="256" width="9.109375" style="1423"/>
    <col min="257" max="257" width="35.88671875" style="1423" customWidth="1"/>
    <col min="258" max="258" width="13.6640625" style="1423" customWidth="1"/>
    <col min="259" max="259" width="14.5546875" style="1423" customWidth="1"/>
    <col min="260" max="260" width="12.33203125" style="1423" customWidth="1"/>
    <col min="261" max="261" width="17.88671875" style="1423" customWidth="1"/>
    <col min="262" max="262" width="15.33203125" style="1423" customWidth="1"/>
    <col min="263" max="263" width="13.5546875" style="1423" customWidth="1"/>
    <col min="264" max="264" width="20.6640625" style="1423" customWidth="1"/>
    <col min="265" max="265" width="18" style="1423" customWidth="1"/>
    <col min="266" max="512" width="9.109375" style="1423"/>
    <col min="513" max="513" width="35.88671875" style="1423" customWidth="1"/>
    <col min="514" max="514" width="13.6640625" style="1423" customWidth="1"/>
    <col min="515" max="515" width="14.5546875" style="1423" customWidth="1"/>
    <col min="516" max="516" width="12.33203125" style="1423" customWidth="1"/>
    <col min="517" max="517" width="17.88671875" style="1423" customWidth="1"/>
    <col min="518" max="518" width="15.33203125" style="1423" customWidth="1"/>
    <col min="519" max="519" width="13.5546875" style="1423" customWidth="1"/>
    <col min="520" max="520" width="20.6640625" style="1423" customWidth="1"/>
    <col min="521" max="521" width="18" style="1423" customWidth="1"/>
    <col min="522" max="768" width="9.109375" style="1423"/>
    <col min="769" max="769" width="35.88671875" style="1423" customWidth="1"/>
    <col min="770" max="770" width="13.6640625" style="1423" customWidth="1"/>
    <col min="771" max="771" width="14.5546875" style="1423" customWidth="1"/>
    <col min="772" max="772" width="12.33203125" style="1423" customWidth="1"/>
    <col min="773" max="773" width="17.88671875" style="1423" customWidth="1"/>
    <col min="774" max="774" width="15.33203125" style="1423" customWidth="1"/>
    <col min="775" max="775" width="13.5546875" style="1423" customWidth="1"/>
    <col min="776" max="776" width="20.6640625" style="1423" customWidth="1"/>
    <col min="777" max="777" width="18" style="1423" customWidth="1"/>
    <col min="778" max="1024" width="9.109375" style="1423"/>
    <col min="1025" max="1025" width="35.88671875" style="1423" customWidth="1"/>
    <col min="1026" max="1026" width="13.6640625" style="1423" customWidth="1"/>
    <col min="1027" max="1027" width="14.5546875" style="1423" customWidth="1"/>
    <col min="1028" max="1028" width="12.33203125" style="1423" customWidth="1"/>
    <col min="1029" max="1029" width="17.88671875" style="1423" customWidth="1"/>
    <col min="1030" max="1030" width="15.33203125" style="1423" customWidth="1"/>
    <col min="1031" max="1031" width="13.5546875" style="1423" customWidth="1"/>
    <col min="1032" max="1032" width="20.6640625" style="1423" customWidth="1"/>
    <col min="1033" max="1033" width="18" style="1423" customWidth="1"/>
    <col min="1034" max="1280" width="9.109375" style="1423"/>
    <col min="1281" max="1281" width="35.88671875" style="1423" customWidth="1"/>
    <col min="1282" max="1282" width="13.6640625" style="1423" customWidth="1"/>
    <col min="1283" max="1283" width="14.5546875" style="1423" customWidth="1"/>
    <col min="1284" max="1284" width="12.33203125" style="1423" customWidth="1"/>
    <col min="1285" max="1285" width="17.88671875" style="1423" customWidth="1"/>
    <col min="1286" max="1286" width="15.33203125" style="1423" customWidth="1"/>
    <col min="1287" max="1287" width="13.5546875" style="1423" customWidth="1"/>
    <col min="1288" max="1288" width="20.6640625" style="1423" customWidth="1"/>
    <col min="1289" max="1289" width="18" style="1423" customWidth="1"/>
    <col min="1290" max="1536" width="9.109375" style="1423"/>
    <col min="1537" max="1537" width="35.88671875" style="1423" customWidth="1"/>
    <col min="1538" max="1538" width="13.6640625" style="1423" customWidth="1"/>
    <col min="1539" max="1539" width="14.5546875" style="1423" customWidth="1"/>
    <col min="1540" max="1540" width="12.33203125" style="1423" customWidth="1"/>
    <col min="1541" max="1541" width="17.88671875" style="1423" customWidth="1"/>
    <col min="1542" max="1542" width="15.33203125" style="1423" customWidth="1"/>
    <col min="1543" max="1543" width="13.5546875" style="1423" customWidth="1"/>
    <col min="1544" max="1544" width="20.6640625" style="1423" customWidth="1"/>
    <col min="1545" max="1545" width="18" style="1423" customWidth="1"/>
    <col min="1546" max="1792" width="9.109375" style="1423"/>
    <col min="1793" max="1793" width="35.88671875" style="1423" customWidth="1"/>
    <col min="1794" max="1794" width="13.6640625" style="1423" customWidth="1"/>
    <col min="1795" max="1795" width="14.5546875" style="1423" customWidth="1"/>
    <col min="1796" max="1796" width="12.33203125" style="1423" customWidth="1"/>
    <col min="1797" max="1797" width="17.88671875" style="1423" customWidth="1"/>
    <col min="1798" max="1798" width="15.33203125" style="1423" customWidth="1"/>
    <col min="1799" max="1799" width="13.5546875" style="1423" customWidth="1"/>
    <col min="1800" max="1800" width="20.6640625" style="1423" customWidth="1"/>
    <col min="1801" max="1801" width="18" style="1423" customWidth="1"/>
    <col min="1802" max="2048" width="9.109375" style="1423"/>
    <col min="2049" max="2049" width="35.88671875" style="1423" customWidth="1"/>
    <col min="2050" max="2050" width="13.6640625" style="1423" customWidth="1"/>
    <col min="2051" max="2051" width="14.5546875" style="1423" customWidth="1"/>
    <col min="2052" max="2052" width="12.33203125" style="1423" customWidth="1"/>
    <col min="2053" max="2053" width="17.88671875" style="1423" customWidth="1"/>
    <col min="2054" max="2054" width="15.33203125" style="1423" customWidth="1"/>
    <col min="2055" max="2055" width="13.5546875" style="1423" customWidth="1"/>
    <col min="2056" max="2056" width="20.6640625" style="1423" customWidth="1"/>
    <col min="2057" max="2057" width="18" style="1423" customWidth="1"/>
    <col min="2058" max="2304" width="9.109375" style="1423"/>
    <col min="2305" max="2305" width="35.88671875" style="1423" customWidth="1"/>
    <col min="2306" max="2306" width="13.6640625" style="1423" customWidth="1"/>
    <col min="2307" max="2307" width="14.5546875" style="1423" customWidth="1"/>
    <col min="2308" max="2308" width="12.33203125" style="1423" customWidth="1"/>
    <col min="2309" max="2309" width="17.88671875" style="1423" customWidth="1"/>
    <col min="2310" max="2310" width="15.33203125" style="1423" customWidth="1"/>
    <col min="2311" max="2311" width="13.5546875" style="1423" customWidth="1"/>
    <col min="2312" max="2312" width="20.6640625" style="1423" customWidth="1"/>
    <col min="2313" max="2313" width="18" style="1423" customWidth="1"/>
    <col min="2314" max="2560" width="9.109375" style="1423"/>
    <col min="2561" max="2561" width="35.88671875" style="1423" customWidth="1"/>
    <col min="2562" max="2562" width="13.6640625" style="1423" customWidth="1"/>
    <col min="2563" max="2563" width="14.5546875" style="1423" customWidth="1"/>
    <col min="2564" max="2564" width="12.33203125" style="1423" customWidth="1"/>
    <col min="2565" max="2565" width="17.88671875" style="1423" customWidth="1"/>
    <col min="2566" max="2566" width="15.33203125" style="1423" customWidth="1"/>
    <col min="2567" max="2567" width="13.5546875" style="1423" customWidth="1"/>
    <col min="2568" max="2568" width="20.6640625" style="1423" customWidth="1"/>
    <col min="2569" max="2569" width="18" style="1423" customWidth="1"/>
    <col min="2570" max="2816" width="9.109375" style="1423"/>
    <col min="2817" max="2817" width="35.88671875" style="1423" customWidth="1"/>
    <col min="2818" max="2818" width="13.6640625" style="1423" customWidth="1"/>
    <col min="2819" max="2819" width="14.5546875" style="1423" customWidth="1"/>
    <col min="2820" max="2820" width="12.33203125" style="1423" customWidth="1"/>
    <col min="2821" max="2821" width="17.88671875" style="1423" customWidth="1"/>
    <col min="2822" max="2822" width="15.33203125" style="1423" customWidth="1"/>
    <col min="2823" max="2823" width="13.5546875" style="1423" customWidth="1"/>
    <col min="2824" max="2824" width="20.6640625" style="1423" customWidth="1"/>
    <col min="2825" max="2825" width="18" style="1423" customWidth="1"/>
    <col min="2826" max="3072" width="9.109375" style="1423"/>
    <col min="3073" max="3073" width="35.88671875" style="1423" customWidth="1"/>
    <col min="3074" max="3074" width="13.6640625" style="1423" customWidth="1"/>
    <col min="3075" max="3075" width="14.5546875" style="1423" customWidth="1"/>
    <col min="3076" max="3076" width="12.33203125" style="1423" customWidth="1"/>
    <col min="3077" max="3077" width="17.88671875" style="1423" customWidth="1"/>
    <col min="3078" max="3078" width="15.33203125" style="1423" customWidth="1"/>
    <col min="3079" max="3079" width="13.5546875" style="1423" customWidth="1"/>
    <col min="3080" max="3080" width="20.6640625" style="1423" customWidth="1"/>
    <col min="3081" max="3081" width="18" style="1423" customWidth="1"/>
    <col min="3082" max="3328" width="9.109375" style="1423"/>
    <col min="3329" max="3329" width="35.88671875" style="1423" customWidth="1"/>
    <col min="3330" max="3330" width="13.6640625" style="1423" customWidth="1"/>
    <col min="3331" max="3331" width="14.5546875" style="1423" customWidth="1"/>
    <col min="3332" max="3332" width="12.33203125" style="1423" customWidth="1"/>
    <col min="3333" max="3333" width="17.88671875" style="1423" customWidth="1"/>
    <col min="3334" max="3334" width="15.33203125" style="1423" customWidth="1"/>
    <col min="3335" max="3335" width="13.5546875" style="1423" customWidth="1"/>
    <col min="3336" max="3336" width="20.6640625" style="1423" customWidth="1"/>
    <col min="3337" max="3337" width="18" style="1423" customWidth="1"/>
    <col min="3338" max="3584" width="9.109375" style="1423"/>
    <col min="3585" max="3585" width="35.88671875" style="1423" customWidth="1"/>
    <col min="3586" max="3586" width="13.6640625" style="1423" customWidth="1"/>
    <col min="3587" max="3587" width="14.5546875" style="1423" customWidth="1"/>
    <col min="3588" max="3588" width="12.33203125" style="1423" customWidth="1"/>
    <col min="3589" max="3589" width="17.88671875" style="1423" customWidth="1"/>
    <col min="3590" max="3590" width="15.33203125" style="1423" customWidth="1"/>
    <col min="3591" max="3591" width="13.5546875" style="1423" customWidth="1"/>
    <col min="3592" max="3592" width="20.6640625" style="1423" customWidth="1"/>
    <col min="3593" max="3593" width="18" style="1423" customWidth="1"/>
    <col min="3594" max="3840" width="9.109375" style="1423"/>
    <col min="3841" max="3841" width="35.88671875" style="1423" customWidth="1"/>
    <col min="3842" max="3842" width="13.6640625" style="1423" customWidth="1"/>
    <col min="3843" max="3843" width="14.5546875" style="1423" customWidth="1"/>
    <col min="3844" max="3844" width="12.33203125" style="1423" customWidth="1"/>
    <col min="3845" max="3845" width="17.88671875" style="1423" customWidth="1"/>
    <col min="3846" max="3846" width="15.33203125" style="1423" customWidth="1"/>
    <col min="3847" max="3847" width="13.5546875" style="1423" customWidth="1"/>
    <col min="3848" max="3848" width="20.6640625" style="1423" customWidth="1"/>
    <col min="3849" max="3849" width="18" style="1423" customWidth="1"/>
    <col min="3850" max="4096" width="9.109375" style="1423"/>
    <col min="4097" max="4097" width="35.88671875" style="1423" customWidth="1"/>
    <col min="4098" max="4098" width="13.6640625" style="1423" customWidth="1"/>
    <col min="4099" max="4099" width="14.5546875" style="1423" customWidth="1"/>
    <col min="4100" max="4100" width="12.33203125" style="1423" customWidth="1"/>
    <col min="4101" max="4101" width="17.88671875" style="1423" customWidth="1"/>
    <col min="4102" max="4102" width="15.33203125" style="1423" customWidth="1"/>
    <col min="4103" max="4103" width="13.5546875" style="1423" customWidth="1"/>
    <col min="4104" max="4104" width="20.6640625" style="1423" customWidth="1"/>
    <col min="4105" max="4105" width="18" style="1423" customWidth="1"/>
    <col min="4106" max="4352" width="9.109375" style="1423"/>
    <col min="4353" max="4353" width="35.88671875" style="1423" customWidth="1"/>
    <col min="4354" max="4354" width="13.6640625" style="1423" customWidth="1"/>
    <col min="4355" max="4355" width="14.5546875" style="1423" customWidth="1"/>
    <col min="4356" max="4356" width="12.33203125" style="1423" customWidth="1"/>
    <col min="4357" max="4357" width="17.88671875" style="1423" customWidth="1"/>
    <col min="4358" max="4358" width="15.33203125" style="1423" customWidth="1"/>
    <col min="4359" max="4359" width="13.5546875" style="1423" customWidth="1"/>
    <col min="4360" max="4360" width="20.6640625" style="1423" customWidth="1"/>
    <col min="4361" max="4361" width="18" style="1423" customWidth="1"/>
    <col min="4362" max="4608" width="9.109375" style="1423"/>
    <col min="4609" max="4609" width="35.88671875" style="1423" customWidth="1"/>
    <col min="4610" max="4610" width="13.6640625" style="1423" customWidth="1"/>
    <col min="4611" max="4611" width="14.5546875" style="1423" customWidth="1"/>
    <col min="4612" max="4612" width="12.33203125" style="1423" customWidth="1"/>
    <col min="4613" max="4613" width="17.88671875" style="1423" customWidth="1"/>
    <col min="4614" max="4614" width="15.33203125" style="1423" customWidth="1"/>
    <col min="4615" max="4615" width="13.5546875" style="1423" customWidth="1"/>
    <col min="4616" max="4616" width="20.6640625" style="1423" customWidth="1"/>
    <col min="4617" max="4617" width="18" style="1423" customWidth="1"/>
    <col min="4618" max="4864" width="9.109375" style="1423"/>
    <col min="4865" max="4865" width="35.88671875" style="1423" customWidth="1"/>
    <col min="4866" max="4866" width="13.6640625" style="1423" customWidth="1"/>
    <col min="4867" max="4867" width="14.5546875" style="1423" customWidth="1"/>
    <col min="4868" max="4868" width="12.33203125" style="1423" customWidth="1"/>
    <col min="4869" max="4869" width="17.88671875" style="1423" customWidth="1"/>
    <col min="4870" max="4870" width="15.33203125" style="1423" customWidth="1"/>
    <col min="4871" max="4871" width="13.5546875" style="1423" customWidth="1"/>
    <col min="4872" max="4872" width="20.6640625" style="1423" customWidth="1"/>
    <col min="4873" max="4873" width="18" style="1423" customWidth="1"/>
    <col min="4874" max="5120" width="9.109375" style="1423"/>
    <col min="5121" max="5121" width="35.88671875" style="1423" customWidth="1"/>
    <col min="5122" max="5122" width="13.6640625" style="1423" customWidth="1"/>
    <col min="5123" max="5123" width="14.5546875" style="1423" customWidth="1"/>
    <col min="5124" max="5124" width="12.33203125" style="1423" customWidth="1"/>
    <col min="5125" max="5125" width="17.88671875" style="1423" customWidth="1"/>
    <col min="5126" max="5126" width="15.33203125" style="1423" customWidth="1"/>
    <col min="5127" max="5127" width="13.5546875" style="1423" customWidth="1"/>
    <col min="5128" max="5128" width="20.6640625" style="1423" customWidth="1"/>
    <col min="5129" max="5129" width="18" style="1423" customWidth="1"/>
    <col min="5130" max="5376" width="9.109375" style="1423"/>
    <col min="5377" max="5377" width="35.88671875" style="1423" customWidth="1"/>
    <col min="5378" max="5378" width="13.6640625" style="1423" customWidth="1"/>
    <col min="5379" max="5379" width="14.5546875" style="1423" customWidth="1"/>
    <col min="5380" max="5380" width="12.33203125" style="1423" customWidth="1"/>
    <col min="5381" max="5381" width="17.88671875" style="1423" customWidth="1"/>
    <col min="5382" max="5382" width="15.33203125" style="1423" customWidth="1"/>
    <col min="5383" max="5383" width="13.5546875" style="1423" customWidth="1"/>
    <col min="5384" max="5384" width="20.6640625" style="1423" customWidth="1"/>
    <col min="5385" max="5385" width="18" style="1423" customWidth="1"/>
    <col min="5386" max="5632" width="9.109375" style="1423"/>
    <col min="5633" max="5633" width="35.88671875" style="1423" customWidth="1"/>
    <col min="5634" max="5634" width="13.6640625" style="1423" customWidth="1"/>
    <col min="5635" max="5635" width="14.5546875" style="1423" customWidth="1"/>
    <col min="5636" max="5636" width="12.33203125" style="1423" customWidth="1"/>
    <col min="5637" max="5637" width="17.88671875" style="1423" customWidth="1"/>
    <col min="5638" max="5638" width="15.33203125" style="1423" customWidth="1"/>
    <col min="5639" max="5639" width="13.5546875" style="1423" customWidth="1"/>
    <col min="5640" max="5640" width="20.6640625" style="1423" customWidth="1"/>
    <col min="5641" max="5641" width="18" style="1423" customWidth="1"/>
    <col min="5642" max="5888" width="9.109375" style="1423"/>
    <col min="5889" max="5889" width="35.88671875" style="1423" customWidth="1"/>
    <col min="5890" max="5890" width="13.6640625" style="1423" customWidth="1"/>
    <col min="5891" max="5891" width="14.5546875" style="1423" customWidth="1"/>
    <col min="5892" max="5892" width="12.33203125" style="1423" customWidth="1"/>
    <col min="5893" max="5893" width="17.88671875" style="1423" customWidth="1"/>
    <col min="5894" max="5894" width="15.33203125" style="1423" customWidth="1"/>
    <col min="5895" max="5895" width="13.5546875" style="1423" customWidth="1"/>
    <col min="5896" max="5896" width="20.6640625" style="1423" customWidth="1"/>
    <col min="5897" max="5897" width="18" style="1423" customWidth="1"/>
    <col min="5898" max="6144" width="9.109375" style="1423"/>
    <col min="6145" max="6145" width="35.88671875" style="1423" customWidth="1"/>
    <col min="6146" max="6146" width="13.6640625" style="1423" customWidth="1"/>
    <col min="6147" max="6147" width="14.5546875" style="1423" customWidth="1"/>
    <col min="6148" max="6148" width="12.33203125" style="1423" customWidth="1"/>
    <col min="6149" max="6149" width="17.88671875" style="1423" customWidth="1"/>
    <col min="6150" max="6150" width="15.33203125" style="1423" customWidth="1"/>
    <col min="6151" max="6151" width="13.5546875" style="1423" customWidth="1"/>
    <col min="6152" max="6152" width="20.6640625" style="1423" customWidth="1"/>
    <col min="6153" max="6153" width="18" style="1423" customWidth="1"/>
    <col min="6154" max="6400" width="9.109375" style="1423"/>
    <col min="6401" max="6401" width="35.88671875" style="1423" customWidth="1"/>
    <col min="6402" max="6402" width="13.6640625" style="1423" customWidth="1"/>
    <col min="6403" max="6403" width="14.5546875" style="1423" customWidth="1"/>
    <col min="6404" max="6404" width="12.33203125" style="1423" customWidth="1"/>
    <col min="6405" max="6405" width="17.88671875" style="1423" customWidth="1"/>
    <col min="6406" max="6406" width="15.33203125" style="1423" customWidth="1"/>
    <col min="6407" max="6407" width="13.5546875" style="1423" customWidth="1"/>
    <col min="6408" max="6408" width="20.6640625" style="1423" customWidth="1"/>
    <col min="6409" max="6409" width="18" style="1423" customWidth="1"/>
    <col min="6410" max="6656" width="9.109375" style="1423"/>
    <col min="6657" max="6657" width="35.88671875" style="1423" customWidth="1"/>
    <col min="6658" max="6658" width="13.6640625" style="1423" customWidth="1"/>
    <col min="6659" max="6659" width="14.5546875" style="1423" customWidth="1"/>
    <col min="6660" max="6660" width="12.33203125" style="1423" customWidth="1"/>
    <col min="6661" max="6661" width="17.88671875" style="1423" customWidth="1"/>
    <col min="6662" max="6662" width="15.33203125" style="1423" customWidth="1"/>
    <col min="6663" max="6663" width="13.5546875" style="1423" customWidth="1"/>
    <col min="6664" max="6664" width="20.6640625" style="1423" customWidth="1"/>
    <col min="6665" max="6665" width="18" style="1423" customWidth="1"/>
    <col min="6666" max="6912" width="9.109375" style="1423"/>
    <col min="6913" max="6913" width="35.88671875" style="1423" customWidth="1"/>
    <col min="6914" max="6914" width="13.6640625" style="1423" customWidth="1"/>
    <col min="6915" max="6915" width="14.5546875" style="1423" customWidth="1"/>
    <col min="6916" max="6916" width="12.33203125" style="1423" customWidth="1"/>
    <col min="6917" max="6917" width="17.88671875" style="1423" customWidth="1"/>
    <col min="6918" max="6918" width="15.33203125" style="1423" customWidth="1"/>
    <col min="6919" max="6919" width="13.5546875" style="1423" customWidth="1"/>
    <col min="6920" max="6920" width="20.6640625" style="1423" customWidth="1"/>
    <col min="6921" max="6921" width="18" style="1423" customWidth="1"/>
    <col min="6922" max="7168" width="9.109375" style="1423"/>
    <col min="7169" max="7169" width="35.88671875" style="1423" customWidth="1"/>
    <col min="7170" max="7170" width="13.6640625" style="1423" customWidth="1"/>
    <col min="7171" max="7171" width="14.5546875" style="1423" customWidth="1"/>
    <col min="7172" max="7172" width="12.33203125" style="1423" customWidth="1"/>
    <col min="7173" max="7173" width="17.88671875" style="1423" customWidth="1"/>
    <col min="7174" max="7174" width="15.33203125" style="1423" customWidth="1"/>
    <col min="7175" max="7175" width="13.5546875" style="1423" customWidth="1"/>
    <col min="7176" max="7176" width="20.6640625" style="1423" customWidth="1"/>
    <col min="7177" max="7177" width="18" style="1423" customWidth="1"/>
    <col min="7178" max="7424" width="9.109375" style="1423"/>
    <col min="7425" max="7425" width="35.88671875" style="1423" customWidth="1"/>
    <col min="7426" max="7426" width="13.6640625" style="1423" customWidth="1"/>
    <col min="7427" max="7427" width="14.5546875" style="1423" customWidth="1"/>
    <col min="7428" max="7428" width="12.33203125" style="1423" customWidth="1"/>
    <col min="7429" max="7429" width="17.88671875" style="1423" customWidth="1"/>
    <col min="7430" max="7430" width="15.33203125" style="1423" customWidth="1"/>
    <col min="7431" max="7431" width="13.5546875" style="1423" customWidth="1"/>
    <col min="7432" max="7432" width="20.6640625" style="1423" customWidth="1"/>
    <col min="7433" max="7433" width="18" style="1423" customWidth="1"/>
    <col min="7434" max="7680" width="9.109375" style="1423"/>
    <col min="7681" max="7681" width="35.88671875" style="1423" customWidth="1"/>
    <col min="7682" max="7682" width="13.6640625" style="1423" customWidth="1"/>
    <col min="7683" max="7683" width="14.5546875" style="1423" customWidth="1"/>
    <col min="7684" max="7684" width="12.33203125" style="1423" customWidth="1"/>
    <col min="7685" max="7685" width="17.88671875" style="1423" customWidth="1"/>
    <col min="7686" max="7686" width="15.33203125" style="1423" customWidth="1"/>
    <col min="7687" max="7687" width="13.5546875" style="1423" customWidth="1"/>
    <col min="7688" max="7688" width="20.6640625" style="1423" customWidth="1"/>
    <col min="7689" max="7689" width="18" style="1423" customWidth="1"/>
    <col min="7690" max="7936" width="9.109375" style="1423"/>
    <col min="7937" max="7937" width="35.88671875" style="1423" customWidth="1"/>
    <col min="7938" max="7938" width="13.6640625" style="1423" customWidth="1"/>
    <col min="7939" max="7939" width="14.5546875" style="1423" customWidth="1"/>
    <col min="7940" max="7940" width="12.33203125" style="1423" customWidth="1"/>
    <col min="7941" max="7941" width="17.88671875" style="1423" customWidth="1"/>
    <col min="7942" max="7942" width="15.33203125" style="1423" customWidth="1"/>
    <col min="7943" max="7943" width="13.5546875" style="1423" customWidth="1"/>
    <col min="7944" max="7944" width="20.6640625" style="1423" customWidth="1"/>
    <col min="7945" max="7945" width="18" style="1423" customWidth="1"/>
    <col min="7946" max="8192" width="9.109375" style="1423"/>
    <col min="8193" max="8193" width="35.88671875" style="1423" customWidth="1"/>
    <col min="8194" max="8194" width="13.6640625" style="1423" customWidth="1"/>
    <col min="8195" max="8195" width="14.5546875" style="1423" customWidth="1"/>
    <col min="8196" max="8196" width="12.33203125" style="1423" customWidth="1"/>
    <col min="8197" max="8197" width="17.88671875" style="1423" customWidth="1"/>
    <col min="8198" max="8198" width="15.33203125" style="1423" customWidth="1"/>
    <col min="8199" max="8199" width="13.5546875" style="1423" customWidth="1"/>
    <col min="8200" max="8200" width="20.6640625" style="1423" customWidth="1"/>
    <col min="8201" max="8201" width="18" style="1423" customWidth="1"/>
    <col min="8202" max="8448" width="9.109375" style="1423"/>
    <col min="8449" max="8449" width="35.88671875" style="1423" customWidth="1"/>
    <col min="8450" max="8450" width="13.6640625" style="1423" customWidth="1"/>
    <col min="8451" max="8451" width="14.5546875" style="1423" customWidth="1"/>
    <col min="8452" max="8452" width="12.33203125" style="1423" customWidth="1"/>
    <col min="8453" max="8453" width="17.88671875" style="1423" customWidth="1"/>
    <col min="8454" max="8454" width="15.33203125" style="1423" customWidth="1"/>
    <col min="8455" max="8455" width="13.5546875" style="1423" customWidth="1"/>
    <col min="8456" max="8456" width="20.6640625" style="1423" customWidth="1"/>
    <col min="8457" max="8457" width="18" style="1423" customWidth="1"/>
    <col min="8458" max="8704" width="9.109375" style="1423"/>
    <col min="8705" max="8705" width="35.88671875" style="1423" customWidth="1"/>
    <col min="8706" max="8706" width="13.6640625" style="1423" customWidth="1"/>
    <col min="8707" max="8707" width="14.5546875" style="1423" customWidth="1"/>
    <col min="8708" max="8708" width="12.33203125" style="1423" customWidth="1"/>
    <col min="8709" max="8709" width="17.88671875" style="1423" customWidth="1"/>
    <col min="8710" max="8710" width="15.33203125" style="1423" customWidth="1"/>
    <col min="8711" max="8711" width="13.5546875" style="1423" customWidth="1"/>
    <col min="8712" max="8712" width="20.6640625" style="1423" customWidth="1"/>
    <col min="8713" max="8713" width="18" style="1423" customWidth="1"/>
    <col min="8714" max="8960" width="9.109375" style="1423"/>
    <col min="8961" max="8961" width="35.88671875" style="1423" customWidth="1"/>
    <col min="8962" max="8962" width="13.6640625" style="1423" customWidth="1"/>
    <col min="8963" max="8963" width="14.5546875" style="1423" customWidth="1"/>
    <col min="8964" max="8964" width="12.33203125" style="1423" customWidth="1"/>
    <col min="8965" max="8965" width="17.88671875" style="1423" customWidth="1"/>
    <col min="8966" max="8966" width="15.33203125" style="1423" customWidth="1"/>
    <col min="8967" max="8967" width="13.5546875" style="1423" customWidth="1"/>
    <col min="8968" max="8968" width="20.6640625" style="1423" customWidth="1"/>
    <col min="8969" max="8969" width="18" style="1423" customWidth="1"/>
    <col min="8970" max="9216" width="9.109375" style="1423"/>
    <col min="9217" max="9217" width="35.88671875" style="1423" customWidth="1"/>
    <col min="9218" max="9218" width="13.6640625" style="1423" customWidth="1"/>
    <col min="9219" max="9219" width="14.5546875" style="1423" customWidth="1"/>
    <col min="9220" max="9220" width="12.33203125" style="1423" customWidth="1"/>
    <col min="9221" max="9221" width="17.88671875" style="1423" customWidth="1"/>
    <col min="9222" max="9222" width="15.33203125" style="1423" customWidth="1"/>
    <col min="9223" max="9223" width="13.5546875" style="1423" customWidth="1"/>
    <col min="9224" max="9224" width="20.6640625" style="1423" customWidth="1"/>
    <col min="9225" max="9225" width="18" style="1423" customWidth="1"/>
    <col min="9226" max="9472" width="9.109375" style="1423"/>
    <col min="9473" max="9473" width="35.88671875" style="1423" customWidth="1"/>
    <col min="9474" max="9474" width="13.6640625" style="1423" customWidth="1"/>
    <col min="9475" max="9475" width="14.5546875" style="1423" customWidth="1"/>
    <col min="9476" max="9476" width="12.33203125" style="1423" customWidth="1"/>
    <col min="9477" max="9477" width="17.88671875" style="1423" customWidth="1"/>
    <col min="9478" max="9478" width="15.33203125" style="1423" customWidth="1"/>
    <col min="9479" max="9479" width="13.5546875" style="1423" customWidth="1"/>
    <col min="9480" max="9480" width="20.6640625" style="1423" customWidth="1"/>
    <col min="9481" max="9481" width="18" style="1423" customWidth="1"/>
    <col min="9482" max="9728" width="9.109375" style="1423"/>
    <col min="9729" max="9729" width="35.88671875" style="1423" customWidth="1"/>
    <col min="9730" max="9730" width="13.6640625" style="1423" customWidth="1"/>
    <col min="9731" max="9731" width="14.5546875" style="1423" customWidth="1"/>
    <col min="9732" max="9732" width="12.33203125" style="1423" customWidth="1"/>
    <col min="9733" max="9733" width="17.88671875" style="1423" customWidth="1"/>
    <col min="9734" max="9734" width="15.33203125" style="1423" customWidth="1"/>
    <col min="9735" max="9735" width="13.5546875" style="1423" customWidth="1"/>
    <col min="9736" max="9736" width="20.6640625" style="1423" customWidth="1"/>
    <col min="9737" max="9737" width="18" style="1423" customWidth="1"/>
    <col min="9738" max="9984" width="9.109375" style="1423"/>
    <col min="9985" max="9985" width="35.88671875" style="1423" customWidth="1"/>
    <col min="9986" max="9986" width="13.6640625" style="1423" customWidth="1"/>
    <col min="9987" max="9987" width="14.5546875" style="1423" customWidth="1"/>
    <col min="9988" max="9988" width="12.33203125" style="1423" customWidth="1"/>
    <col min="9989" max="9989" width="17.88671875" style="1423" customWidth="1"/>
    <col min="9990" max="9990" width="15.33203125" style="1423" customWidth="1"/>
    <col min="9991" max="9991" width="13.5546875" style="1423" customWidth="1"/>
    <col min="9992" max="9992" width="20.6640625" style="1423" customWidth="1"/>
    <col min="9993" max="9993" width="18" style="1423" customWidth="1"/>
    <col min="9994" max="10240" width="9.109375" style="1423"/>
    <col min="10241" max="10241" width="35.88671875" style="1423" customWidth="1"/>
    <col min="10242" max="10242" width="13.6640625" style="1423" customWidth="1"/>
    <col min="10243" max="10243" width="14.5546875" style="1423" customWidth="1"/>
    <col min="10244" max="10244" width="12.33203125" style="1423" customWidth="1"/>
    <col min="10245" max="10245" width="17.88671875" style="1423" customWidth="1"/>
    <col min="10246" max="10246" width="15.33203125" style="1423" customWidth="1"/>
    <col min="10247" max="10247" width="13.5546875" style="1423" customWidth="1"/>
    <col min="10248" max="10248" width="20.6640625" style="1423" customWidth="1"/>
    <col min="10249" max="10249" width="18" style="1423" customWidth="1"/>
    <col min="10250" max="10496" width="9.109375" style="1423"/>
    <col min="10497" max="10497" width="35.88671875" style="1423" customWidth="1"/>
    <col min="10498" max="10498" width="13.6640625" style="1423" customWidth="1"/>
    <col min="10499" max="10499" width="14.5546875" style="1423" customWidth="1"/>
    <col min="10500" max="10500" width="12.33203125" style="1423" customWidth="1"/>
    <col min="10501" max="10501" width="17.88671875" style="1423" customWidth="1"/>
    <col min="10502" max="10502" width="15.33203125" style="1423" customWidth="1"/>
    <col min="10503" max="10503" width="13.5546875" style="1423" customWidth="1"/>
    <col min="10504" max="10504" width="20.6640625" style="1423" customWidth="1"/>
    <col min="10505" max="10505" width="18" style="1423" customWidth="1"/>
    <col min="10506" max="10752" width="9.109375" style="1423"/>
    <col min="10753" max="10753" width="35.88671875" style="1423" customWidth="1"/>
    <col min="10754" max="10754" width="13.6640625" style="1423" customWidth="1"/>
    <col min="10755" max="10755" width="14.5546875" style="1423" customWidth="1"/>
    <col min="10756" max="10756" width="12.33203125" style="1423" customWidth="1"/>
    <col min="10757" max="10757" width="17.88671875" style="1423" customWidth="1"/>
    <col min="10758" max="10758" width="15.33203125" style="1423" customWidth="1"/>
    <col min="10759" max="10759" width="13.5546875" style="1423" customWidth="1"/>
    <col min="10760" max="10760" width="20.6640625" style="1423" customWidth="1"/>
    <col min="10761" max="10761" width="18" style="1423" customWidth="1"/>
    <col min="10762" max="11008" width="9.109375" style="1423"/>
    <col min="11009" max="11009" width="35.88671875" style="1423" customWidth="1"/>
    <col min="11010" max="11010" width="13.6640625" style="1423" customWidth="1"/>
    <col min="11011" max="11011" width="14.5546875" style="1423" customWidth="1"/>
    <col min="11012" max="11012" width="12.33203125" style="1423" customWidth="1"/>
    <col min="11013" max="11013" width="17.88671875" style="1423" customWidth="1"/>
    <col min="11014" max="11014" width="15.33203125" style="1423" customWidth="1"/>
    <col min="11015" max="11015" width="13.5546875" style="1423" customWidth="1"/>
    <col min="11016" max="11016" width="20.6640625" style="1423" customWidth="1"/>
    <col min="11017" max="11017" width="18" style="1423" customWidth="1"/>
    <col min="11018" max="11264" width="9.109375" style="1423"/>
    <col min="11265" max="11265" width="35.88671875" style="1423" customWidth="1"/>
    <col min="11266" max="11266" width="13.6640625" style="1423" customWidth="1"/>
    <col min="11267" max="11267" width="14.5546875" style="1423" customWidth="1"/>
    <col min="11268" max="11268" width="12.33203125" style="1423" customWidth="1"/>
    <col min="11269" max="11269" width="17.88671875" style="1423" customWidth="1"/>
    <col min="11270" max="11270" width="15.33203125" style="1423" customWidth="1"/>
    <col min="11271" max="11271" width="13.5546875" style="1423" customWidth="1"/>
    <col min="11272" max="11272" width="20.6640625" style="1423" customWidth="1"/>
    <col min="11273" max="11273" width="18" style="1423" customWidth="1"/>
    <col min="11274" max="11520" width="9.109375" style="1423"/>
    <col min="11521" max="11521" width="35.88671875" style="1423" customWidth="1"/>
    <col min="11522" max="11522" width="13.6640625" style="1423" customWidth="1"/>
    <col min="11523" max="11523" width="14.5546875" style="1423" customWidth="1"/>
    <col min="11524" max="11524" width="12.33203125" style="1423" customWidth="1"/>
    <col min="11525" max="11525" width="17.88671875" style="1423" customWidth="1"/>
    <col min="11526" max="11526" width="15.33203125" style="1423" customWidth="1"/>
    <col min="11527" max="11527" width="13.5546875" style="1423" customWidth="1"/>
    <col min="11528" max="11528" width="20.6640625" style="1423" customWidth="1"/>
    <col min="11529" max="11529" width="18" style="1423" customWidth="1"/>
    <col min="11530" max="11776" width="9.109375" style="1423"/>
    <col min="11777" max="11777" width="35.88671875" style="1423" customWidth="1"/>
    <col min="11778" max="11778" width="13.6640625" style="1423" customWidth="1"/>
    <col min="11779" max="11779" width="14.5546875" style="1423" customWidth="1"/>
    <col min="11780" max="11780" width="12.33203125" style="1423" customWidth="1"/>
    <col min="11781" max="11781" width="17.88671875" style="1423" customWidth="1"/>
    <col min="11782" max="11782" width="15.33203125" style="1423" customWidth="1"/>
    <col min="11783" max="11783" width="13.5546875" style="1423" customWidth="1"/>
    <col min="11784" max="11784" width="20.6640625" style="1423" customWidth="1"/>
    <col min="11785" max="11785" width="18" style="1423" customWidth="1"/>
    <col min="11786" max="12032" width="9.109375" style="1423"/>
    <col min="12033" max="12033" width="35.88671875" style="1423" customWidth="1"/>
    <col min="12034" max="12034" width="13.6640625" style="1423" customWidth="1"/>
    <col min="12035" max="12035" width="14.5546875" style="1423" customWidth="1"/>
    <col min="12036" max="12036" width="12.33203125" style="1423" customWidth="1"/>
    <col min="12037" max="12037" width="17.88671875" style="1423" customWidth="1"/>
    <col min="12038" max="12038" width="15.33203125" style="1423" customWidth="1"/>
    <col min="12039" max="12039" width="13.5546875" style="1423" customWidth="1"/>
    <col min="12040" max="12040" width="20.6640625" style="1423" customWidth="1"/>
    <col min="12041" max="12041" width="18" style="1423" customWidth="1"/>
    <col min="12042" max="12288" width="9.109375" style="1423"/>
    <col min="12289" max="12289" width="35.88671875" style="1423" customWidth="1"/>
    <col min="12290" max="12290" width="13.6640625" style="1423" customWidth="1"/>
    <col min="12291" max="12291" width="14.5546875" style="1423" customWidth="1"/>
    <col min="12292" max="12292" width="12.33203125" style="1423" customWidth="1"/>
    <col min="12293" max="12293" width="17.88671875" style="1423" customWidth="1"/>
    <col min="12294" max="12294" width="15.33203125" style="1423" customWidth="1"/>
    <col min="12295" max="12295" width="13.5546875" style="1423" customWidth="1"/>
    <col min="12296" max="12296" width="20.6640625" style="1423" customWidth="1"/>
    <col min="12297" max="12297" width="18" style="1423" customWidth="1"/>
    <col min="12298" max="12544" width="9.109375" style="1423"/>
    <col min="12545" max="12545" width="35.88671875" style="1423" customWidth="1"/>
    <col min="12546" max="12546" width="13.6640625" style="1423" customWidth="1"/>
    <col min="12547" max="12547" width="14.5546875" style="1423" customWidth="1"/>
    <col min="12548" max="12548" width="12.33203125" style="1423" customWidth="1"/>
    <col min="12549" max="12549" width="17.88671875" style="1423" customWidth="1"/>
    <col min="12550" max="12550" width="15.33203125" style="1423" customWidth="1"/>
    <col min="12551" max="12551" width="13.5546875" style="1423" customWidth="1"/>
    <col min="12552" max="12552" width="20.6640625" style="1423" customWidth="1"/>
    <col min="12553" max="12553" width="18" style="1423" customWidth="1"/>
    <col min="12554" max="12800" width="9.109375" style="1423"/>
    <col min="12801" max="12801" width="35.88671875" style="1423" customWidth="1"/>
    <col min="12802" max="12802" width="13.6640625" style="1423" customWidth="1"/>
    <col min="12803" max="12803" width="14.5546875" style="1423" customWidth="1"/>
    <col min="12804" max="12804" width="12.33203125" style="1423" customWidth="1"/>
    <col min="12805" max="12805" width="17.88671875" style="1423" customWidth="1"/>
    <col min="12806" max="12806" width="15.33203125" style="1423" customWidth="1"/>
    <col min="12807" max="12807" width="13.5546875" style="1423" customWidth="1"/>
    <col min="12808" max="12808" width="20.6640625" style="1423" customWidth="1"/>
    <col min="12809" max="12809" width="18" style="1423" customWidth="1"/>
    <col min="12810" max="13056" width="9.109375" style="1423"/>
    <col min="13057" max="13057" width="35.88671875" style="1423" customWidth="1"/>
    <col min="13058" max="13058" width="13.6640625" style="1423" customWidth="1"/>
    <col min="13059" max="13059" width="14.5546875" style="1423" customWidth="1"/>
    <col min="13060" max="13060" width="12.33203125" style="1423" customWidth="1"/>
    <col min="13061" max="13061" width="17.88671875" style="1423" customWidth="1"/>
    <col min="13062" max="13062" width="15.33203125" style="1423" customWidth="1"/>
    <col min="13063" max="13063" width="13.5546875" style="1423" customWidth="1"/>
    <col min="13064" max="13064" width="20.6640625" style="1423" customWidth="1"/>
    <col min="13065" max="13065" width="18" style="1423" customWidth="1"/>
    <col min="13066" max="13312" width="9.109375" style="1423"/>
    <col min="13313" max="13313" width="35.88671875" style="1423" customWidth="1"/>
    <col min="13314" max="13314" width="13.6640625" style="1423" customWidth="1"/>
    <col min="13315" max="13315" width="14.5546875" style="1423" customWidth="1"/>
    <col min="13316" max="13316" width="12.33203125" style="1423" customWidth="1"/>
    <col min="13317" max="13317" width="17.88671875" style="1423" customWidth="1"/>
    <col min="13318" max="13318" width="15.33203125" style="1423" customWidth="1"/>
    <col min="13319" max="13319" width="13.5546875" style="1423" customWidth="1"/>
    <col min="13320" max="13320" width="20.6640625" style="1423" customWidth="1"/>
    <col min="13321" max="13321" width="18" style="1423" customWidth="1"/>
    <col min="13322" max="13568" width="9.109375" style="1423"/>
    <col min="13569" max="13569" width="35.88671875" style="1423" customWidth="1"/>
    <col min="13570" max="13570" width="13.6640625" style="1423" customWidth="1"/>
    <col min="13571" max="13571" width="14.5546875" style="1423" customWidth="1"/>
    <col min="13572" max="13572" width="12.33203125" style="1423" customWidth="1"/>
    <col min="13573" max="13573" width="17.88671875" style="1423" customWidth="1"/>
    <col min="13574" max="13574" width="15.33203125" style="1423" customWidth="1"/>
    <col min="13575" max="13575" width="13.5546875" style="1423" customWidth="1"/>
    <col min="13576" max="13576" width="20.6640625" style="1423" customWidth="1"/>
    <col min="13577" max="13577" width="18" style="1423" customWidth="1"/>
    <col min="13578" max="13824" width="9.109375" style="1423"/>
    <col min="13825" max="13825" width="35.88671875" style="1423" customWidth="1"/>
    <col min="13826" max="13826" width="13.6640625" style="1423" customWidth="1"/>
    <col min="13827" max="13827" width="14.5546875" style="1423" customWidth="1"/>
    <col min="13828" max="13828" width="12.33203125" style="1423" customWidth="1"/>
    <col min="13829" max="13829" width="17.88671875" style="1423" customWidth="1"/>
    <col min="13830" max="13830" width="15.33203125" style="1423" customWidth="1"/>
    <col min="13831" max="13831" width="13.5546875" style="1423" customWidth="1"/>
    <col min="13832" max="13832" width="20.6640625" style="1423" customWidth="1"/>
    <col min="13833" max="13833" width="18" style="1423" customWidth="1"/>
    <col min="13834" max="14080" width="9.109375" style="1423"/>
    <col min="14081" max="14081" width="35.88671875" style="1423" customWidth="1"/>
    <col min="14082" max="14082" width="13.6640625" style="1423" customWidth="1"/>
    <col min="14083" max="14083" width="14.5546875" style="1423" customWidth="1"/>
    <col min="14084" max="14084" width="12.33203125" style="1423" customWidth="1"/>
    <col min="14085" max="14085" width="17.88671875" style="1423" customWidth="1"/>
    <col min="14086" max="14086" width="15.33203125" style="1423" customWidth="1"/>
    <col min="14087" max="14087" width="13.5546875" style="1423" customWidth="1"/>
    <col min="14088" max="14088" width="20.6640625" style="1423" customWidth="1"/>
    <col min="14089" max="14089" width="18" style="1423" customWidth="1"/>
    <col min="14090" max="14336" width="9.109375" style="1423"/>
    <col min="14337" max="14337" width="35.88671875" style="1423" customWidth="1"/>
    <col min="14338" max="14338" width="13.6640625" style="1423" customWidth="1"/>
    <col min="14339" max="14339" width="14.5546875" style="1423" customWidth="1"/>
    <col min="14340" max="14340" width="12.33203125" style="1423" customWidth="1"/>
    <col min="14341" max="14341" width="17.88671875" style="1423" customWidth="1"/>
    <col min="14342" max="14342" width="15.33203125" style="1423" customWidth="1"/>
    <col min="14343" max="14343" width="13.5546875" style="1423" customWidth="1"/>
    <col min="14344" max="14344" width="20.6640625" style="1423" customWidth="1"/>
    <col min="14345" max="14345" width="18" style="1423" customWidth="1"/>
    <col min="14346" max="14592" width="9.109375" style="1423"/>
    <col min="14593" max="14593" width="35.88671875" style="1423" customWidth="1"/>
    <col min="14594" max="14594" width="13.6640625" style="1423" customWidth="1"/>
    <col min="14595" max="14595" width="14.5546875" style="1423" customWidth="1"/>
    <col min="14596" max="14596" width="12.33203125" style="1423" customWidth="1"/>
    <col min="14597" max="14597" width="17.88671875" style="1423" customWidth="1"/>
    <col min="14598" max="14598" width="15.33203125" style="1423" customWidth="1"/>
    <col min="14599" max="14599" width="13.5546875" style="1423" customWidth="1"/>
    <col min="14600" max="14600" width="20.6640625" style="1423" customWidth="1"/>
    <col min="14601" max="14601" width="18" style="1423" customWidth="1"/>
    <col min="14602" max="14848" width="9.109375" style="1423"/>
    <col min="14849" max="14849" width="35.88671875" style="1423" customWidth="1"/>
    <col min="14850" max="14850" width="13.6640625" style="1423" customWidth="1"/>
    <col min="14851" max="14851" width="14.5546875" style="1423" customWidth="1"/>
    <col min="14852" max="14852" width="12.33203125" style="1423" customWidth="1"/>
    <col min="14853" max="14853" width="17.88671875" style="1423" customWidth="1"/>
    <col min="14854" max="14854" width="15.33203125" style="1423" customWidth="1"/>
    <col min="14855" max="14855" width="13.5546875" style="1423" customWidth="1"/>
    <col min="14856" max="14856" width="20.6640625" style="1423" customWidth="1"/>
    <col min="14857" max="14857" width="18" style="1423" customWidth="1"/>
    <col min="14858" max="15104" width="9.109375" style="1423"/>
    <col min="15105" max="15105" width="35.88671875" style="1423" customWidth="1"/>
    <col min="15106" max="15106" width="13.6640625" style="1423" customWidth="1"/>
    <col min="15107" max="15107" width="14.5546875" style="1423" customWidth="1"/>
    <col min="15108" max="15108" width="12.33203125" style="1423" customWidth="1"/>
    <col min="15109" max="15109" width="17.88671875" style="1423" customWidth="1"/>
    <col min="15110" max="15110" width="15.33203125" style="1423" customWidth="1"/>
    <col min="15111" max="15111" width="13.5546875" style="1423" customWidth="1"/>
    <col min="15112" max="15112" width="20.6640625" style="1423" customWidth="1"/>
    <col min="15113" max="15113" width="18" style="1423" customWidth="1"/>
    <col min="15114" max="15360" width="9.109375" style="1423"/>
    <col min="15361" max="15361" width="35.88671875" style="1423" customWidth="1"/>
    <col min="15362" max="15362" width="13.6640625" style="1423" customWidth="1"/>
    <col min="15363" max="15363" width="14.5546875" style="1423" customWidth="1"/>
    <col min="15364" max="15364" width="12.33203125" style="1423" customWidth="1"/>
    <col min="15365" max="15365" width="17.88671875" style="1423" customWidth="1"/>
    <col min="15366" max="15366" width="15.33203125" style="1423" customWidth="1"/>
    <col min="15367" max="15367" width="13.5546875" style="1423" customWidth="1"/>
    <col min="15368" max="15368" width="20.6640625" style="1423" customWidth="1"/>
    <col min="15369" max="15369" width="18" style="1423" customWidth="1"/>
    <col min="15370" max="15616" width="9.109375" style="1423"/>
    <col min="15617" max="15617" width="35.88671875" style="1423" customWidth="1"/>
    <col min="15618" max="15618" width="13.6640625" style="1423" customWidth="1"/>
    <col min="15619" max="15619" width="14.5546875" style="1423" customWidth="1"/>
    <col min="15620" max="15620" width="12.33203125" style="1423" customWidth="1"/>
    <col min="15621" max="15621" width="17.88671875" style="1423" customWidth="1"/>
    <col min="15622" max="15622" width="15.33203125" style="1423" customWidth="1"/>
    <col min="15623" max="15623" width="13.5546875" style="1423" customWidth="1"/>
    <col min="15624" max="15624" width="20.6640625" style="1423" customWidth="1"/>
    <col min="15625" max="15625" width="18" style="1423" customWidth="1"/>
    <col min="15626" max="15872" width="9.109375" style="1423"/>
    <col min="15873" max="15873" width="35.88671875" style="1423" customWidth="1"/>
    <col min="15874" max="15874" width="13.6640625" style="1423" customWidth="1"/>
    <col min="15875" max="15875" width="14.5546875" style="1423" customWidth="1"/>
    <col min="15876" max="15876" width="12.33203125" style="1423" customWidth="1"/>
    <col min="15877" max="15877" width="17.88671875" style="1423" customWidth="1"/>
    <col min="15878" max="15878" width="15.33203125" style="1423" customWidth="1"/>
    <col min="15879" max="15879" width="13.5546875" style="1423" customWidth="1"/>
    <col min="15880" max="15880" width="20.6640625" style="1423" customWidth="1"/>
    <col min="15881" max="15881" width="18" style="1423" customWidth="1"/>
    <col min="15882" max="16128" width="9.109375" style="1423"/>
    <col min="16129" max="16129" width="35.88671875" style="1423" customWidth="1"/>
    <col min="16130" max="16130" width="13.6640625" style="1423" customWidth="1"/>
    <col min="16131" max="16131" width="14.5546875" style="1423" customWidth="1"/>
    <col min="16132" max="16132" width="12.33203125" style="1423" customWidth="1"/>
    <col min="16133" max="16133" width="17.88671875" style="1423" customWidth="1"/>
    <col min="16134" max="16134" width="15.33203125" style="1423" customWidth="1"/>
    <col min="16135" max="16135" width="13.5546875" style="1423" customWidth="1"/>
    <col min="16136" max="16136" width="20.6640625" style="1423" customWidth="1"/>
    <col min="16137" max="16137" width="18" style="1423" customWidth="1"/>
    <col min="16138" max="16384" width="9.109375" style="1423"/>
  </cols>
  <sheetData>
    <row r="4" spans="1:6" ht="13.8" x14ac:dyDescent="0.25">
      <c r="A4" s="1494"/>
      <c r="B4" s="1495"/>
      <c r="C4" s="1494"/>
      <c r="D4" s="1494"/>
      <c r="E4" s="1494"/>
      <c r="F4" s="1494"/>
    </row>
    <row r="5" spans="1:6" ht="13.8" x14ac:dyDescent="0.25">
      <c r="A5" s="1494"/>
      <c r="B5" s="1496" t="s">
        <v>1195</v>
      </c>
      <c r="C5" s="1497"/>
      <c r="D5" s="1498"/>
      <c r="E5" s="1498"/>
      <c r="F5" s="1498"/>
    </row>
    <row r="6" spans="1:6" ht="13.8" x14ac:dyDescent="0.25">
      <c r="A6" s="1499" t="s">
        <v>1196</v>
      </c>
      <c r="B6" s="1500" t="s">
        <v>1197</v>
      </c>
      <c r="C6" s="1501"/>
      <c r="D6" s="1501"/>
      <c r="E6" s="1501"/>
      <c r="F6" s="1501"/>
    </row>
    <row r="7" spans="1:6" ht="13.8" x14ac:dyDescent="0.25">
      <c r="A7" s="1502"/>
      <c r="B7" s="1500"/>
      <c r="C7" s="1503"/>
      <c r="D7" s="1503"/>
      <c r="E7" s="1503"/>
      <c r="F7" s="1503"/>
    </row>
    <row r="8" spans="1:6" ht="13.8" x14ac:dyDescent="0.25">
      <c r="A8" s="1502"/>
      <c r="B8" s="1500"/>
      <c r="C8" s="1503"/>
      <c r="D8" s="1503"/>
      <c r="E8" s="1503"/>
      <c r="F8" s="1503"/>
    </row>
    <row r="9" spans="1:6" ht="13.8" x14ac:dyDescent="0.25">
      <c r="A9" s="1504" t="s">
        <v>1198</v>
      </c>
      <c r="B9" s="1505" t="s">
        <v>1199</v>
      </c>
      <c r="C9" s="1506" t="s">
        <v>1200</v>
      </c>
      <c r="D9" s="1506" t="s">
        <v>1201</v>
      </c>
      <c r="E9" s="1506" t="s">
        <v>1202</v>
      </c>
      <c r="F9" s="1506" t="s">
        <v>888</v>
      </c>
    </row>
    <row r="10" spans="1:6" ht="13.8" x14ac:dyDescent="0.25">
      <c r="A10" s="1507" t="s">
        <v>1203</v>
      </c>
      <c r="B10" s="1508">
        <v>927997</v>
      </c>
      <c r="C10" s="1508"/>
      <c r="D10" s="1508"/>
      <c r="E10" s="1508"/>
      <c r="F10" s="1508">
        <f>SUM(B10:E10)</f>
        <v>927997</v>
      </c>
    </row>
    <row r="11" spans="1:6" ht="13.8" x14ac:dyDescent="0.25">
      <c r="A11" s="1507" t="s">
        <v>1204</v>
      </c>
      <c r="B11" s="1508"/>
      <c r="C11" s="1508"/>
      <c r="D11" s="1508"/>
      <c r="E11" s="1508"/>
      <c r="F11" s="1508">
        <f>SUM(B11:E11)</f>
        <v>0</v>
      </c>
    </row>
    <row r="12" spans="1:6" ht="13.8" x14ac:dyDescent="0.25">
      <c r="A12" s="1507" t="s">
        <v>1205</v>
      </c>
      <c r="B12" s="1508">
        <v>7273028</v>
      </c>
      <c r="C12" s="1508"/>
      <c r="D12" s="1508"/>
      <c r="E12" s="1508"/>
      <c r="F12" s="1508">
        <f>SUM(B12:E12)</f>
        <v>7273028</v>
      </c>
    </row>
    <row r="13" spans="1:6" ht="13.8" x14ac:dyDescent="0.25">
      <c r="A13" s="1509" t="s">
        <v>888</v>
      </c>
      <c r="B13" s="1510">
        <f>SUM(B10:B12)</f>
        <v>8201025</v>
      </c>
      <c r="C13" s="1510">
        <f>SUM(C10:C12)</f>
        <v>0</v>
      </c>
      <c r="D13" s="1510">
        <f>SUM(D10:D12)</f>
        <v>0</v>
      </c>
      <c r="E13" s="1510">
        <f>SUM(E10:E12)</f>
        <v>0</v>
      </c>
      <c r="F13" s="1508">
        <f>SUM(B13:E13)</f>
        <v>8201025</v>
      </c>
    </row>
    <row r="14" spans="1:6" ht="14.25" customHeight="1" x14ac:dyDescent="0.25">
      <c r="A14" s="1511"/>
      <c r="B14" s="1511"/>
      <c r="C14" s="1511"/>
      <c r="D14" s="1511"/>
      <c r="E14" s="1511"/>
      <c r="F14" s="1511"/>
    </row>
    <row r="15" spans="1:6" ht="13.8" x14ac:dyDescent="0.25">
      <c r="A15" s="1504" t="s">
        <v>1206</v>
      </c>
      <c r="B15" s="1505" t="s">
        <v>1199</v>
      </c>
      <c r="C15" s="1506" t="s">
        <v>1200</v>
      </c>
      <c r="D15" s="1506" t="s">
        <v>1201</v>
      </c>
      <c r="E15" s="1506" t="s">
        <v>1202</v>
      </c>
      <c r="F15" s="1506" t="s">
        <v>888</v>
      </c>
    </row>
    <row r="16" spans="1:6" ht="13.8" x14ac:dyDescent="0.25">
      <c r="A16" s="1507" t="s">
        <v>1207</v>
      </c>
      <c r="B16" s="1508">
        <v>0</v>
      </c>
      <c r="C16" s="1508"/>
      <c r="D16" s="1508"/>
      <c r="E16" s="1508"/>
      <c r="F16" s="1508">
        <f t="shared" ref="F16:F21" si="0">SUM(B16:E16)</f>
        <v>0</v>
      </c>
    </row>
    <row r="17" spans="1:6" ht="13.8" x14ac:dyDescent="0.25">
      <c r="A17" s="1507" t="s">
        <v>1208</v>
      </c>
      <c r="B17" s="1508"/>
      <c r="C17" s="1508"/>
      <c r="D17" s="1508"/>
      <c r="E17" s="1508"/>
      <c r="F17" s="1508">
        <f t="shared" si="0"/>
        <v>0</v>
      </c>
    </row>
    <row r="18" spans="1:6" ht="13.8" x14ac:dyDescent="0.25">
      <c r="A18" s="1507" t="s">
        <v>1209</v>
      </c>
      <c r="B18" s="1508">
        <v>6524625</v>
      </c>
      <c r="C18" s="1508"/>
      <c r="D18" s="1508"/>
      <c r="E18" s="1508"/>
      <c r="F18" s="1508">
        <f t="shared" si="0"/>
        <v>6524625</v>
      </c>
    </row>
    <row r="19" spans="1:6" ht="13.8" x14ac:dyDescent="0.25">
      <c r="A19" s="1507" t="s">
        <v>1210</v>
      </c>
      <c r="B19" s="1508"/>
      <c r="C19" s="1508"/>
      <c r="D19" s="1508"/>
      <c r="E19" s="1508"/>
      <c r="F19" s="1508">
        <f t="shared" si="0"/>
        <v>0</v>
      </c>
    </row>
    <row r="20" spans="1:6" ht="13.8" x14ac:dyDescent="0.25">
      <c r="A20" s="1507" t="s">
        <v>1211</v>
      </c>
      <c r="B20" s="1508">
        <v>1676400</v>
      </c>
      <c r="C20" s="1508"/>
      <c r="D20" s="1508"/>
      <c r="E20" s="1508"/>
      <c r="F20" s="1508">
        <f t="shared" si="0"/>
        <v>1676400</v>
      </c>
    </row>
    <row r="21" spans="1:6" ht="13.8" x14ac:dyDescent="0.25">
      <c r="A21" s="1507" t="s">
        <v>1212</v>
      </c>
      <c r="B21" s="1508"/>
      <c r="C21" s="1508"/>
      <c r="D21" s="1508"/>
      <c r="E21" s="1508"/>
      <c r="F21" s="1508">
        <f t="shared" si="0"/>
        <v>0</v>
      </c>
    </row>
    <row r="22" spans="1:6" ht="13.8" x14ac:dyDescent="0.25">
      <c r="A22" s="1509" t="s">
        <v>888</v>
      </c>
      <c r="B22" s="1510">
        <f>SUM(B16:B21)</f>
        <v>8201025</v>
      </c>
      <c r="C22" s="1509">
        <f>SUM(C16:C21)</f>
        <v>0</v>
      </c>
      <c r="D22" s="1509">
        <f>SUM(D16:D21)</f>
        <v>0</v>
      </c>
      <c r="E22" s="1509">
        <f>SUM(E16:E21)</f>
        <v>0</v>
      </c>
      <c r="F22" s="1510">
        <f>SUM(F16:F21)</f>
        <v>8201025</v>
      </c>
    </row>
    <row r="23" spans="1:6" ht="13.8" x14ac:dyDescent="0.25">
      <c r="A23" s="1498"/>
      <c r="B23" s="1512"/>
      <c r="C23" s="1498"/>
      <c r="D23" s="1498"/>
      <c r="E23" s="1498"/>
      <c r="F23" s="1498"/>
    </row>
    <row r="26" spans="1:6" ht="13.8" x14ac:dyDescent="0.25">
      <c r="A26" s="1498"/>
      <c r="B26" s="1496" t="s">
        <v>1213</v>
      </c>
      <c r="C26" s="1497"/>
      <c r="D26" s="1498"/>
      <c r="E26" s="1498"/>
      <c r="F26" s="1498"/>
    </row>
    <row r="27" spans="1:6" ht="13.8" x14ac:dyDescent="0.25">
      <c r="A27" s="1499" t="s">
        <v>1196</v>
      </c>
      <c r="B27" s="1500" t="s">
        <v>1214</v>
      </c>
      <c r="C27" s="1503"/>
      <c r="D27" s="1503"/>
      <c r="E27" s="1513"/>
      <c r="F27" s="1513"/>
    </row>
    <row r="28" spans="1:6" ht="13.8" x14ac:dyDescent="0.25">
      <c r="A28" s="1502"/>
      <c r="B28" s="1500"/>
      <c r="C28" s="1503"/>
      <c r="D28" s="1503"/>
      <c r="E28" s="1513"/>
      <c r="F28" s="1513"/>
    </row>
    <row r="29" spans="1:6" ht="13.8" x14ac:dyDescent="0.25">
      <c r="A29" s="1504" t="s">
        <v>1198</v>
      </c>
      <c r="B29" s="1505" t="s">
        <v>1199</v>
      </c>
      <c r="C29" s="1506" t="s">
        <v>1200</v>
      </c>
      <c r="D29" s="1506" t="s">
        <v>1201</v>
      </c>
      <c r="E29" s="1506" t="s">
        <v>1202</v>
      </c>
      <c r="F29" s="1506" t="s">
        <v>888</v>
      </c>
    </row>
    <row r="30" spans="1:6" ht="13.8" x14ac:dyDescent="0.25">
      <c r="A30" s="1507" t="s">
        <v>1203</v>
      </c>
      <c r="B30" s="1508">
        <v>14893342</v>
      </c>
      <c r="C30" s="1508"/>
      <c r="D30" s="1508"/>
      <c r="E30" s="1508"/>
      <c r="F30" s="1508">
        <f>SUM(B30:E30)</f>
        <v>14893342</v>
      </c>
    </row>
    <row r="31" spans="1:6" ht="13.8" x14ac:dyDescent="0.25">
      <c r="A31" s="1507" t="s">
        <v>1204</v>
      </c>
      <c r="B31" s="1508"/>
      <c r="C31" s="1508"/>
      <c r="D31" s="1508"/>
      <c r="E31" s="1508"/>
      <c r="F31" s="1508">
        <f>SUM(B31:E31)</f>
        <v>0</v>
      </c>
    </row>
    <row r="32" spans="1:6" ht="13.8" x14ac:dyDescent="0.25">
      <c r="A32" s="1507" t="s">
        <v>1205</v>
      </c>
      <c r="B32" s="1508"/>
      <c r="C32" s="1508"/>
      <c r="D32" s="1508"/>
      <c r="E32" s="1508"/>
      <c r="F32" s="1508">
        <f>SUM(B32:E32)</f>
        <v>0</v>
      </c>
    </row>
    <row r="33" spans="1:6" ht="13.8" x14ac:dyDescent="0.25">
      <c r="A33" s="1509" t="s">
        <v>888</v>
      </c>
      <c r="B33" s="1510">
        <f>SUM(B30:B32)</f>
        <v>14893342</v>
      </c>
      <c r="C33" s="1510">
        <f>SUM(C30:C32)</f>
        <v>0</v>
      </c>
      <c r="D33" s="1510">
        <f>SUM(D30:D32)</f>
        <v>0</v>
      </c>
      <c r="E33" s="1510">
        <f>SUM(E30:E32)</f>
        <v>0</v>
      </c>
      <c r="F33" s="1510">
        <f>SUM(F30:F32)</f>
        <v>14893342</v>
      </c>
    </row>
    <row r="34" spans="1:6" ht="13.8" x14ac:dyDescent="0.25">
      <c r="A34" s="1511"/>
      <c r="B34" s="1511"/>
      <c r="C34" s="1511"/>
      <c r="D34" s="1511"/>
      <c r="E34" s="1511"/>
      <c r="F34" s="1511"/>
    </row>
    <row r="35" spans="1:6" ht="13.8" x14ac:dyDescent="0.25">
      <c r="A35" s="1504" t="s">
        <v>1206</v>
      </c>
      <c r="B35" s="1505" t="s">
        <v>1199</v>
      </c>
      <c r="C35" s="1506" t="s">
        <v>1200</v>
      </c>
      <c r="D35" s="1506" t="s">
        <v>1201</v>
      </c>
      <c r="E35" s="1506" t="s">
        <v>1202</v>
      </c>
      <c r="F35" s="1506" t="s">
        <v>888</v>
      </c>
    </row>
    <row r="36" spans="1:6" ht="13.8" x14ac:dyDescent="0.25">
      <c r="A36" s="1507" t="s">
        <v>1207</v>
      </c>
      <c r="B36" s="1508"/>
      <c r="C36" s="1508"/>
      <c r="D36" s="1508"/>
      <c r="E36" s="1508"/>
      <c r="F36" s="1508">
        <f t="shared" ref="F36:F41" si="1">SUM(B36:E36)</f>
        <v>0</v>
      </c>
    </row>
    <row r="37" spans="1:6" ht="13.8" x14ac:dyDescent="0.25">
      <c r="A37" s="1507" t="s">
        <v>1208</v>
      </c>
      <c r="B37" s="1508"/>
      <c r="C37" s="1508"/>
      <c r="D37" s="1508"/>
      <c r="E37" s="1508"/>
      <c r="F37" s="1508">
        <f t="shared" si="1"/>
        <v>0</v>
      </c>
    </row>
    <row r="38" spans="1:6" ht="13.8" x14ac:dyDescent="0.25">
      <c r="A38" s="1507" t="s">
        <v>1209</v>
      </c>
      <c r="B38" s="1508"/>
      <c r="C38" s="1508"/>
      <c r="D38" s="1508"/>
      <c r="E38" s="1508"/>
      <c r="F38" s="1508">
        <f t="shared" si="1"/>
        <v>0</v>
      </c>
    </row>
    <row r="39" spans="1:6" ht="13.8" x14ac:dyDescent="0.25">
      <c r="A39" s="1507" t="s">
        <v>1210</v>
      </c>
      <c r="B39" s="1508"/>
      <c r="C39" s="1508"/>
      <c r="D39" s="1508"/>
      <c r="E39" s="1508"/>
      <c r="F39" s="1508">
        <f t="shared" si="1"/>
        <v>0</v>
      </c>
    </row>
    <row r="40" spans="1:6" ht="13.8" x14ac:dyDescent="0.25">
      <c r="A40" s="1507" t="s">
        <v>1211</v>
      </c>
      <c r="B40" s="1508"/>
      <c r="C40" s="1508"/>
      <c r="D40" s="1508"/>
      <c r="E40" s="1508"/>
      <c r="F40" s="1508">
        <f t="shared" si="1"/>
        <v>0</v>
      </c>
    </row>
    <row r="41" spans="1:6" ht="13.8" x14ac:dyDescent="0.25">
      <c r="A41" s="1507" t="s">
        <v>1212</v>
      </c>
      <c r="B41" s="1508"/>
      <c r="C41" s="1508"/>
      <c r="D41" s="1508"/>
      <c r="E41" s="1508"/>
      <c r="F41" s="1508">
        <f t="shared" si="1"/>
        <v>0</v>
      </c>
    </row>
    <row r="42" spans="1:6" ht="13.8" x14ac:dyDescent="0.25">
      <c r="A42" s="1509" t="s">
        <v>888</v>
      </c>
      <c r="B42" s="1510">
        <f>SUM(B36:B41)</f>
        <v>0</v>
      </c>
      <c r="C42" s="1510">
        <f>SUM(C36:C41)</f>
        <v>0</v>
      </c>
      <c r="D42" s="1510">
        <f>SUM(D36:D41)</f>
        <v>0</v>
      </c>
      <c r="E42" s="1510">
        <f>SUM(E36:E41)</f>
        <v>0</v>
      </c>
      <c r="F42" s="1510">
        <f>SUM(F36:F41)</f>
        <v>0</v>
      </c>
    </row>
  </sheetData>
  <sheetProtection selectLockedCells="1" selectUnlockedCells="1"/>
  <pageMargins left="0.59027777777777779" right="0.59027777777777779" top="0.59027777777777768" bottom="0.59027777777777779" header="0.51180555555555551" footer="0.51180555555555551"/>
  <pageSetup paperSize="9" scale="72" firstPageNumber="0" orientation="portrait" r:id="rId1"/>
  <headerFooter alignWithMargins="0">
    <oddHeader>&amp;CEURÓPAI UNIÓS TÁMOGATÁSSAL MEGVALÓSULÓ PROGRAMOK BEVÉTELEI ÉS KIADÁSAI 2016. ÉV
13. melléklet
az önkormányzat 2016. évi költségvetéséről szóló 8/2016. (II.26.) önkormányzati rendelethez
&amp;R
&amp;P. oldal
ezer forint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5"/>
  <sheetViews>
    <sheetView view="pageLayout" zoomScaleNormal="100" zoomScaleSheetLayoutView="68" workbookViewId="0">
      <selection activeCell="A16" sqref="A16"/>
    </sheetView>
  </sheetViews>
  <sheetFormatPr defaultRowHeight="13.2" x14ac:dyDescent="0.25"/>
  <cols>
    <col min="1" max="1" width="60.88671875" style="1517" customWidth="1"/>
    <col min="2" max="2" width="13.44140625" style="1515" customWidth="1"/>
    <col min="3" max="3" width="12.109375" style="1515" customWidth="1"/>
    <col min="4" max="4" width="11.109375" style="1515" customWidth="1"/>
    <col min="5" max="5" width="11.33203125" style="1515" customWidth="1"/>
    <col min="6" max="6" width="12.33203125" style="1515" customWidth="1"/>
    <col min="7" max="7" width="18" style="1515" customWidth="1"/>
    <col min="8" max="256" width="9.109375" style="1515"/>
    <col min="257" max="257" width="60.88671875" style="1515" customWidth="1"/>
    <col min="258" max="258" width="13.44140625" style="1515" customWidth="1"/>
    <col min="259" max="259" width="12.109375" style="1515" customWidth="1"/>
    <col min="260" max="260" width="11.109375" style="1515" customWidth="1"/>
    <col min="261" max="261" width="11.33203125" style="1515" customWidth="1"/>
    <col min="262" max="262" width="12.33203125" style="1515" customWidth="1"/>
    <col min="263" max="263" width="18" style="1515" customWidth="1"/>
    <col min="264" max="512" width="9.109375" style="1515"/>
    <col min="513" max="513" width="60.88671875" style="1515" customWidth="1"/>
    <col min="514" max="514" width="13.44140625" style="1515" customWidth="1"/>
    <col min="515" max="515" width="12.109375" style="1515" customWidth="1"/>
    <col min="516" max="516" width="11.109375" style="1515" customWidth="1"/>
    <col min="517" max="517" width="11.33203125" style="1515" customWidth="1"/>
    <col min="518" max="518" width="12.33203125" style="1515" customWidth="1"/>
    <col min="519" max="519" width="18" style="1515" customWidth="1"/>
    <col min="520" max="768" width="9.109375" style="1515"/>
    <col min="769" max="769" width="60.88671875" style="1515" customWidth="1"/>
    <col min="770" max="770" width="13.44140625" style="1515" customWidth="1"/>
    <col min="771" max="771" width="12.109375" style="1515" customWidth="1"/>
    <col min="772" max="772" width="11.109375" style="1515" customWidth="1"/>
    <col min="773" max="773" width="11.33203125" style="1515" customWidth="1"/>
    <col min="774" max="774" width="12.33203125" style="1515" customWidth="1"/>
    <col min="775" max="775" width="18" style="1515" customWidth="1"/>
    <col min="776" max="1024" width="9.109375" style="1515"/>
    <col min="1025" max="1025" width="60.88671875" style="1515" customWidth="1"/>
    <col min="1026" max="1026" width="13.44140625" style="1515" customWidth="1"/>
    <col min="1027" max="1027" width="12.109375" style="1515" customWidth="1"/>
    <col min="1028" max="1028" width="11.109375" style="1515" customWidth="1"/>
    <col min="1029" max="1029" width="11.33203125" style="1515" customWidth="1"/>
    <col min="1030" max="1030" width="12.33203125" style="1515" customWidth="1"/>
    <col min="1031" max="1031" width="18" style="1515" customWidth="1"/>
    <col min="1032" max="1280" width="9.109375" style="1515"/>
    <col min="1281" max="1281" width="60.88671875" style="1515" customWidth="1"/>
    <col min="1282" max="1282" width="13.44140625" style="1515" customWidth="1"/>
    <col min="1283" max="1283" width="12.109375" style="1515" customWidth="1"/>
    <col min="1284" max="1284" width="11.109375" style="1515" customWidth="1"/>
    <col min="1285" max="1285" width="11.33203125" style="1515" customWidth="1"/>
    <col min="1286" max="1286" width="12.33203125" style="1515" customWidth="1"/>
    <col min="1287" max="1287" width="18" style="1515" customWidth="1"/>
    <col min="1288" max="1536" width="9.109375" style="1515"/>
    <col min="1537" max="1537" width="60.88671875" style="1515" customWidth="1"/>
    <col min="1538" max="1538" width="13.44140625" style="1515" customWidth="1"/>
    <col min="1539" max="1539" width="12.109375" style="1515" customWidth="1"/>
    <col min="1540" max="1540" width="11.109375" style="1515" customWidth="1"/>
    <col min="1541" max="1541" width="11.33203125" style="1515" customWidth="1"/>
    <col min="1542" max="1542" width="12.33203125" style="1515" customWidth="1"/>
    <col min="1543" max="1543" width="18" style="1515" customWidth="1"/>
    <col min="1544" max="1792" width="9.109375" style="1515"/>
    <col min="1793" max="1793" width="60.88671875" style="1515" customWidth="1"/>
    <col min="1794" max="1794" width="13.44140625" style="1515" customWidth="1"/>
    <col min="1795" max="1795" width="12.109375" style="1515" customWidth="1"/>
    <col min="1796" max="1796" width="11.109375" style="1515" customWidth="1"/>
    <col min="1797" max="1797" width="11.33203125" style="1515" customWidth="1"/>
    <col min="1798" max="1798" width="12.33203125" style="1515" customWidth="1"/>
    <col min="1799" max="1799" width="18" style="1515" customWidth="1"/>
    <col min="1800" max="2048" width="9.109375" style="1515"/>
    <col min="2049" max="2049" width="60.88671875" style="1515" customWidth="1"/>
    <col min="2050" max="2050" width="13.44140625" style="1515" customWidth="1"/>
    <col min="2051" max="2051" width="12.109375" style="1515" customWidth="1"/>
    <col min="2052" max="2052" width="11.109375" style="1515" customWidth="1"/>
    <col min="2053" max="2053" width="11.33203125" style="1515" customWidth="1"/>
    <col min="2054" max="2054" width="12.33203125" style="1515" customWidth="1"/>
    <col min="2055" max="2055" width="18" style="1515" customWidth="1"/>
    <col min="2056" max="2304" width="9.109375" style="1515"/>
    <col min="2305" max="2305" width="60.88671875" style="1515" customWidth="1"/>
    <col min="2306" max="2306" width="13.44140625" style="1515" customWidth="1"/>
    <col min="2307" max="2307" width="12.109375" style="1515" customWidth="1"/>
    <col min="2308" max="2308" width="11.109375" style="1515" customWidth="1"/>
    <col min="2309" max="2309" width="11.33203125" style="1515" customWidth="1"/>
    <col min="2310" max="2310" width="12.33203125" style="1515" customWidth="1"/>
    <col min="2311" max="2311" width="18" style="1515" customWidth="1"/>
    <col min="2312" max="2560" width="9.109375" style="1515"/>
    <col min="2561" max="2561" width="60.88671875" style="1515" customWidth="1"/>
    <col min="2562" max="2562" width="13.44140625" style="1515" customWidth="1"/>
    <col min="2563" max="2563" width="12.109375" style="1515" customWidth="1"/>
    <col min="2564" max="2564" width="11.109375" style="1515" customWidth="1"/>
    <col min="2565" max="2565" width="11.33203125" style="1515" customWidth="1"/>
    <col min="2566" max="2566" width="12.33203125" style="1515" customWidth="1"/>
    <col min="2567" max="2567" width="18" style="1515" customWidth="1"/>
    <col min="2568" max="2816" width="9.109375" style="1515"/>
    <col min="2817" max="2817" width="60.88671875" style="1515" customWidth="1"/>
    <col min="2818" max="2818" width="13.44140625" style="1515" customWidth="1"/>
    <col min="2819" max="2819" width="12.109375" style="1515" customWidth="1"/>
    <col min="2820" max="2820" width="11.109375" style="1515" customWidth="1"/>
    <col min="2821" max="2821" width="11.33203125" style="1515" customWidth="1"/>
    <col min="2822" max="2822" width="12.33203125" style="1515" customWidth="1"/>
    <col min="2823" max="2823" width="18" style="1515" customWidth="1"/>
    <col min="2824" max="3072" width="9.109375" style="1515"/>
    <col min="3073" max="3073" width="60.88671875" style="1515" customWidth="1"/>
    <col min="3074" max="3074" width="13.44140625" style="1515" customWidth="1"/>
    <col min="3075" max="3075" width="12.109375" style="1515" customWidth="1"/>
    <col min="3076" max="3076" width="11.109375" style="1515" customWidth="1"/>
    <col min="3077" max="3077" width="11.33203125" style="1515" customWidth="1"/>
    <col min="3078" max="3078" width="12.33203125" style="1515" customWidth="1"/>
    <col min="3079" max="3079" width="18" style="1515" customWidth="1"/>
    <col min="3080" max="3328" width="9.109375" style="1515"/>
    <col min="3329" max="3329" width="60.88671875" style="1515" customWidth="1"/>
    <col min="3330" max="3330" width="13.44140625" style="1515" customWidth="1"/>
    <col min="3331" max="3331" width="12.109375" style="1515" customWidth="1"/>
    <col min="3332" max="3332" width="11.109375" style="1515" customWidth="1"/>
    <col min="3333" max="3333" width="11.33203125" style="1515" customWidth="1"/>
    <col min="3334" max="3334" width="12.33203125" style="1515" customWidth="1"/>
    <col min="3335" max="3335" width="18" style="1515" customWidth="1"/>
    <col min="3336" max="3584" width="9.109375" style="1515"/>
    <col min="3585" max="3585" width="60.88671875" style="1515" customWidth="1"/>
    <col min="3586" max="3586" width="13.44140625" style="1515" customWidth="1"/>
    <col min="3587" max="3587" width="12.109375" style="1515" customWidth="1"/>
    <col min="3588" max="3588" width="11.109375" style="1515" customWidth="1"/>
    <col min="3589" max="3589" width="11.33203125" style="1515" customWidth="1"/>
    <col min="3590" max="3590" width="12.33203125" style="1515" customWidth="1"/>
    <col min="3591" max="3591" width="18" style="1515" customWidth="1"/>
    <col min="3592" max="3840" width="9.109375" style="1515"/>
    <col min="3841" max="3841" width="60.88671875" style="1515" customWidth="1"/>
    <col min="3842" max="3842" width="13.44140625" style="1515" customWidth="1"/>
    <col min="3843" max="3843" width="12.109375" style="1515" customWidth="1"/>
    <col min="3844" max="3844" width="11.109375" style="1515" customWidth="1"/>
    <col min="3845" max="3845" width="11.33203125" style="1515" customWidth="1"/>
    <col min="3846" max="3846" width="12.33203125" style="1515" customWidth="1"/>
    <col min="3847" max="3847" width="18" style="1515" customWidth="1"/>
    <col min="3848" max="4096" width="9.109375" style="1515"/>
    <col min="4097" max="4097" width="60.88671875" style="1515" customWidth="1"/>
    <col min="4098" max="4098" width="13.44140625" style="1515" customWidth="1"/>
    <col min="4099" max="4099" width="12.109375" style="1515" customWidth="1"/>
    <col min="4100" max="4100" width="11.109375" style="1515" customWidth="1"/>
    <col min="4101" max="4101" width="11.33203125" style="1515" customWidth="1"/>
    <col min="4102" max="4102" width="12.33203125" style="1515" customWidth="1"/>
    <col min="4103" max="4103" width="18" style="1515" customWidth="1"/>
    <col min="4104" max="4352" width="9.109375" style="1515"/>
    <col min="4353" max="4353" width="60.88671875" style="1515" customWidth="1"/>
    <col min="4354" max="4354" width="13.44140625" style="1515" customWidth="1"/>
    <col min="4355" max="4355" width="12.109375" style="1515" customWidth="1"/>
    <col min="4356" max="4356" width="11.109375" style="1515" customWidth="1"/>
    <col min="4357" max="4357" width="11.33203125" style="1515" customWidth="1"/>
    <col min="4358" max="4358" width="12.33203125" style="1515" customWidth="1"/>
    <col min="4359" max="4359" width="18" style="1515" customWidth="1"/>
    <col min="4360" max="4608" width="9.109375" style="1515"/>
    <col min="4609" max="4609" width="60.88671875" style="1515" customWidth="1"/>
    <col min="4610" max="4610" width="13.44140625" style="1515" customWidth="1"/>
    <col min="4611" max="4611" width="12.109375" style="1515" customWidth="1"/>
    <col min="4612" max="4612" width="11.109375" style="1515" customWidth="1"/>
    <col min="4613" max="4613" width="11.33203125" style="1515" customWidth="1"/>
    <col min="4614" max="4614" width="12.33203125" style="1515" customWidth="1"/>
    <col min="4615" max="4615" width="18" style="1515" customWidth="1"/>
    <col min="4616" max="4864" width="9.109375" style="1515"/>
    <col min="4865" max="4865" width="60.88671875" style="1515" customWidth="1"/>
    <col min="4866" max="4866" width="13.44140625" style="1515" customWidth="1"/>
    <col min="4867" max="4867" width="12.109375" style="1515" customWidth="1"/>
    <col min="4868" max="4868" width="11.109375" style="1515" customWidth="1"/>
    <col min="4869" max="4869" width="11.33203125" style="1515" customWidth="1"/>
    <col min="4870" max="4870" width="12.33203125" style="1515" customWidth="1"/>
    <col min="4871" max="4871" width="18" style="1515" customWidth="1"/>
    <col min="4872" max="5120" width="9.109375" style="1515"/>
    <col min="5121" max="5121" width="60.88671875" style="1515" customWidth="1"/>
    <col min="5122" max="5122" width="13.44140625" style="1515" customWidth="1"/>
    <col min="5123" max="5123" width="12.109375" style="1515" customWidth="1"/>
    <col min="5124" max="5124" width="11.109375" style="1515" customWidth="1"/>
    <col min="5125" max="5125" width="11.33203125" style="1515" customWidth="1"/>
    <col min="5126" max="5126" width="12.33203125" style="1515" customWidth="1"/>
    <col min="5127" max="5127" width="18" style="1515" customWidth="1"/>
    <col min="5128" max="5376" width="9.109375" style="1515"/>
    <col min="5377" max="5377" width="60.88671875" style="1515" customWidth="1"/>
    <col min="5378" max="5378" width="13.44140625" style="1515" customWidth="1"/>
    <col min="5379" max="5379" width="12.109375" style="1515" customWidth="1"/>
    <col min="5380" max="5380" width="11.109375" style="1515" customWidth="1"/>
    <col min="5381" max="5381" width="11.33203125" style="1515" customWidth="1"/>
    <col min="5382" max="5382" width="12.33203125" style="1515" customWidth="1"/>
    <col min="5383" max="5383" width="18" style="1515" customWidth="1"/>
    <col min="5384" max="5632" width="9.109375" style="1515"/>
    <col min="5633" max="5633" width="60.88671875" style="1515" customWidth="1"/>
    <col min="5634" max="5634" width="13.44140625" style="1515" customWidth="1"/>
    <col min="5635" max="5635" width="12.109375" style="1515" customWidth="1"/>
    <col min="5636" max="5636" width="11.109375" style="1515" customWidth="1"/>
    <col min="5637" max="5637" width="11.33203125" style="1515" customWidth="1"/>
    <col min="5638" max="5638" width="12.33203125" style="1515" customWidth="1"/>
    <col min="5639" max="5639" width="18" style="1515" customWidth="1"/>
    <col min="5640" max="5888" width="9.109375" style="1515"/>
    <col min="5889" max="5889" width="60.88671875" style="1515" customWidth="1"/>
    <col min="5890" max="5890" width="13.44140625" style="1515" customWidth="1"/>
    <col min="5891" max="5891" width="12.109375" style="1515" customWidth="1"/>
    <col min="5892" max="5892" width="11.109375" style="1515" customWidth="1"/>
    <col min="5893" max="5893" width="11.33203125" style="1515" customWidth="1"/>
    <col min="5894" max="5894" width="12.33203125" style="1515" customWidth="1"/>
    <col min="5895" max="5895" width="18" style="1515" customWidth="1"/>
    <col min="5896" max="6144" width="9.109375" style="1515"/>
    <col min="6145" max="6145" width="60.88671875" style="1515" customWidth="1"/>
    <col min="6146" max="6146" width="13.44140625" style="1515" customWidth="1"/>
    <col min="6147" max="6147" width="12.109375" style="1515" customWidth="1"/>
    <col min="6148" max="6148" width="11.109375" style="1515" customWidth="1"/>
    <col min="6149" max="6149" width="11.33203125" style="1515" customWidth="1"/>
    <col min="6150" max="6150" width="12.33203125" style="1515" customWidth="1"/>
    <col min="6151" max="6151" width="18" style="1515" customWidth="1"/>
    <col min="6152" max="6400" width="9.109375" style="1515"/>
    <col min="6401" max="6401" width="60.88671875" style="1515" customWidth="1"/>
    <col min="6402" max="6402" width="13.44140625" style="1515" customWidth="1"/>
    <col min="6403" max="6403" width="12.109375" style="1515" customWidth="1"/>
    <col min="6404" max="6404" width="11.109375" style="1515" customWidth="1"/>
    <col min="6405" max="6405" width="11.33203125" style="1515" customWidth="1"/>
    <col min="6406" max="6406" width="12.33203125" style="1515" customWidth="1"/>
    <col min="6407" max="6407" width="18" style="1515" customWidth="1"/>
    <col min="6408" max="6656" width="9.109375" style="1515"/>
    <col min="6657" max="6657" width="60.88671875" style="1515" customWidth="1"/>
    <col min="6658" max="6658" width="13.44140625" style="1515" customWidth="1"/>
    <col min="6659" max="6659" width="12.109375" style="1515" customWidth="1"/>
    <col min="6660" max="6660" width="11.109375" style="1515" customWidth="1"/>
    <col min="6661" max="6661" width="11.33203125" style="1515" customWidth="1"/>
    <col min="6662" max="6662" width="12.33203125" style="1515" customWidth="1"/>
    <col min="6663" max="6663" width="18" style="1515" customWidth="1"/>
    <col min="6664" max="6912" width="9.109375" style="1515"/>
    <col min="6913" max="6913" width="60.88671875" style="1515" customWidth="1"/>
    <col min="6914" max="6914" width="13.44140625" style="1515" customWidth="1"/>
    <col min="6915" max="6915" width="12.109375" style="1515" customWidth="1"/>
    <col min="6916" max="6916" width="11.109375" style="1515" customWidth="1"/>
    <col min="6917" max="6917" width="11.33203125" style="1515" customWidth="1"/>
    <col min="6918" max="6918" width="12.33203125" style="1515" customWidth="1"/>
    <col min="6919" max="6919" width="18" style="1515" customWidth="1"/>
    <col min="6920" max="7168" width="9.109375" style="1515"/>
    <col min="7169" max="7169" width="60.88671875" style="1515" customWidth="1"/>
    <col min="7170" max="7170" width="13.44140625" style="1515" customWidth="1"/>
    <col min="7171" max="7171" width="12.109375" style="1515" customWidth="1"/>
    <col min="7172" max="7172" width="11.109375" style="1515" customWidth="1"/>
    <col min="7173" max="7173" width="11.33203125" style="1515" customWidth="1"/>
    <col min="7174" max="7174" width="12.33203125" style="1515" customWidth="1"/>
    <col min="7175" max="7175" width="18" style="1515" customWidth="1"/>
    <col min="7176" max="7424" width="9.109375" style="1515"/>
    <col min="7425" max="7425" width="60.88671875" style="1515" customWidth="1"/>
    <col min="7426" max="7426" width="13.44140625" style="1515" customWidth="1"/>
    <col min="7427" max="7427" width="12.109375" style="1515" customWidth="1"/>
    <col min="7428" max="7428" width="11.109375" style="1515" customWidth="1"/>
    <col min="7429" max="7429" width="11.33203125" style="1515" customWidth="1"/>
    <col min="7430" max="7430" width="12.33203125" style="1515" customWidth="1"/>
    <col min="7431" max="7431" width="18" style="1515" customWidth="1"/>
    <col min="7432" max="7680" width="9.109375" style="1515"/>
    <col min="7681" max="7681" width="60.88671875" style="1515" customWidth="1"/>
    <col min="7682" max="7682" width="13.44140625" style="1515" customWidth="1"/>
    <col min="7683" max="7683" width="12.109375" style="1515" customWidth="1"/>
    <col min="7684" max="7684" width="11.109375" style="1515" customWidth="1"/>
    <col min="7685" max="7685" width="11.33203125" style="1515" customWidth="1"/>
    <col min="7686" max="7686" width="12.33203125" style="1515" customWidth="1"/>
    <col min="7687" max="7687" width="18" style="1515" customWidth="1"/>
    <col min="7688" max="7936" width="9.109375" style="1515"/>
    <col min="7937" max="7937" width="60.88671875" style="1515" customWidth="1"/>
    <col min="7938" max="7938" width="13.44140625" style="1515" customWidth="1"/>
    <col min="7939" max="7939" width="12.109375" style="1515" customWidth="1"/>
    <col min="7940" max="7940" width="11.109375" style="1515" customWidth="1"/>
    <col min="7941" max="7941" width="11.33203125" style="1515" customWidth="1"/>
    <col min="7942" max="7942" width="12.33203125" style="1515" customWidth="1"/>
    <col min="7943" max="7943" width="18" style="1515" customWidth="1"/>
    <col min="7944" max="8192" width="9.109375" style="1515"/>
    <col min="8193" max="8193" width="60.88671875" style="1515" customWidth="1"/>
    <col min="8194" max="8194" width="13.44140625" style="1515" customWidth="1"/>
    <col min="8195" max="8195" width="12.109375" style="1515" customWidth="1"/>
    <col min="8196" max="8196" width="11.109375" style="1515" customWidth="1"/>
    <col min="8197" max="8197" width="11.33203125" style="1515" customWidth="1"/>
    <col min="8198" max="8198" width="12.33203125" style="1515" customWidth="1"/>
    <col min="8199" max="8199" width="18" style="1515" customWidth="1"/>
    <col min="8200" max="8448" width="9.109375" style="1515"/>
    <col min="8449" max="8449" width="60.88671875" style="1515" customWidth="1"/>
    <col min="8450" max="8450" width="13.44140625" style="1515" customWidth="1"/>
    <col min="8451" max="8451" width="12.109375" style="1515" customWidth="1"/>
    <col min="8452" max="8452" width="11.109375" style="1515" customWidth="1"/>
    <col min="8453" max="8453" width="11.33203125" style="1515" customWidth="1"/>
    <col min="8454" max="8454" width="12.33203125" style="1515" customWidth="1"/>
    <col min="8455" max="8455" width="18" style="1515" customWidth="1"/>
    <col min="8456" max="8704" width="9.109375" style="1515"/>
    <col min="8705" max="8705" width="60.88671875" style="1515" customWidth="1"/>
    <col min="8706" max="8706" width="13.44140625" style="1515" customWidth="1"/>
    <col min="8707" max="8707" width="12.109375" style="1515" customWidth="1"/>
    <col min="8708" max="8708" width="11.109375" style="1515" customWidth="1"/>
    <col min="8709" max="8709" width="11.33203125" style="1515" customWidth="1"/>
    <col min="8710" max="8710" width="12.33203125" style="1515" customWidth="1"/>
    <col min="8711" max="8711" width="18" style="1515" customWidth="1"/>
    <col min="8712" max="8960" width="9.109375" style="1515"/>
    <col min="8961" max="8961" width="60.88671875" style="1515" customWidth="1"/>
    <col min="8962" max="8962" width="13.44140625" style="1515" customWidth="1"/>
    <col min="8963" max="8963" width="12.109375" style="1515" customWidth="1"/>
    <col min="8964" max="8964" width="11.109375" style="1515" customWidth="1"/>
    <col min="8965" max="8965" width="11.33203125" style="1515" customWidth="1"/>
    <col min="8966" max="8966" width="12.33203125" style="1515" customWidth="1"/>
    <col min="8967" max="8967" width="18" style="1515" customWidth="1"/>
    <col min="8968" max="9216" width="9.109375" style="1515"/>
    <col min="9217" max="9217" width="60.88671875" style="1515" customWidth="1"/>
    <col min="9218" max="9218" width="13.44140625" style="1515" customWidth="1"/>
    <col min="9219" max="9219" width="12.109375" style="1515" customWidth="1"/>
    <col min="9220" max="9220" width="11.109375" style="1515" customWidth="1"/>
    <col min="9221" max="9221" width="11.33203125" style="1515" customWidth="1"/>
    <col min="9222" max="9222" width="12.33203125" style="1515" customWidth="1"/>
    <col min="9223" max="9223" width="18" style="1515" customWidth="1"/>
    <col min="9224" max="9472" width="9.109375" style="1515"/>
    <col min="9473" max="9473" width="60.88671875" style="1515" customWidth="1"/>
    <col min="9474" max="9474" width="13.44140625" style="1515" customWidth="1"/>
    <col min="9475" max="9475" width="12.109375" style="1515" customWidth="1"/>
    <col min="9476" max="9476" width="11.109375" style="1515" customWidth="1"/>
    <col min="9477" max="9477" width="11.33203125" style="1515" customWidth="1"/>
    <col min="9478" max="9478" width="12.33203125" style="1515" customWidth="1"/>
    <col min="9479" max="9479" width="18" style="1515" customWidth="1"/>
    <col min="9480" max="9728" width="9.109375" style="1515"/>
    <col min="9729" max="9729" width="60.88671875" style="1515" customWidth="1"/>
    <col min="9730" max="9730" width="13.44140625" style="1515" customWidth="1"/>
    <col min="9731" max="9731" width="12.109375" style="1515" customWidth="1"/>
    <col min="9732" max="9732" width="11.109375" style="1515" customWidth="1"/>
    <col min="9733" max="9733" width="11.33203125" style="1515" customWidth="1"/>
    <col min="9734" max="9734" width="12.33203125" style="1515" customWidth="1"/>
    <col min="9735" max="9735" width="18" style="1515" customWidth="1"/>
    <col min="9736" max="9984" width="9.109375" style="1515"/>
    <col min="9985" max="9985" width="60.88671875" style="1515" customWidth="1"/>
    <col min="9986" max="9986" width="13.44140625" style="1515" customWidth="1"/>
    <col min="9987" max="9987" width="12.109375" style="1515" customWidth="1"/>
    <col min="9988" max="9988" width="11.109375" style="1515" customWidth="1"/>
    <col min="9989" max="9989" width="11.33203125" style="1515" customWidth="1"/>
    <col min="9990" max="9990" width="12.33203125" style="1515" customWidth="1"/>
    <col min="9991" max="9991" width="18" style="1515" customWidth="1"/>
    <col min="9992" max="10240" width="9.109375" style="1515"/>
    <col min="10241" max="10241" width="60.88671875" style="1515" customWidth="1"/>
    <col min="10242" max="10242" width="13.44140625" style="1515" customWidth="1"/>
    <col min="10243" max="10243" width="12.109375" style="1515" customWidth="1"/>
    <col min="10244" max="10244" width="11.109375" style="1515" customWidth="1"/>
    <col min="10245" max="10245" width="11.33203125" style="1515" customWidth="1"/>
    <col min="10246" max="10246" width="12.33203125" style="1515" customWidth="1"/>
    <col min="10247" max="10247" width="18" style="1515" customWidth="1"/>
    <col min="10248" max="10496" width="9.109375" style="1515"/>
    <col min="10497" max="10497" width="60.88671875" style="1515" customWidth="1"/>
    <col min="10498" max="10498" width="13.44140625" style="1515" customWidth="1"/>
    <col min="10499" max="10499" width="12.109375" style="1515" customWidth="1"/>
    <col min="10500" max="10500" width="11.109375" style="1515" customWidth="1"/>
    <col min="10501" max="10501" width="11.33203125" style="1515" customWidth="1"/>
    <col min="10502" max="10502" width="12.33203125" style="1515" customWidth="1"/>
    <col min="10503" max="10503" width="18" style="1515" customWidth="1"/>
    <col min="10504" max="10752" width="9.109375" style="1515"/>
    <col min="10753" max="10753" width="60.88671875" style="1515" customWidth="1"/>
    <col min="10754" max="10754" width="13.44140625" style="1515" customWidth="1"/>
    <col min="10755" max="10755" width="12.109375" style="1515" customWidth="1"/>
    <col min="10756" max="10756" width="11.109375" style="1515" customWidth="1"/>
    <col min="10757" max="10757" width="11.33203125" style="1515" customWidth="1"/>
    <col min="10758" max="10758" width="12.33203125" style="1515" customWidth="1"/>
    <col min="10759" max="10759" width="18" style="1515" customWidth="1"/>
    <col min="10760" max="11008" width="9.109375" style="1515"/>
    <col min="11009" max="11009" width="60.88671875" style="1515" customWidth="1"/>
    <col min="11010" max="11010" width="13.44140625" style="1515" customWidth="1"/>
    <col min="11011" max="11011" width="12.109375" style="1515" customWidth="1"/>
    <col min="11012" max="11012" width="11.109375" style="1515" customWidth="1"/>
    <col min="11013" max="11013" width="11.33203125" style="1515" customWidth="1"/>
    <col min="11014" max="11014" width="12.33203125" style="1515" customWidth="1"/>
    <col min="11015" max="11015" width="18" style="1515" customWidth="1"/>
    <col min="11016" max="11264" width="9.109375" style="1515"/>
    <col min="11265" max="11265" width="60.88671875" style="1515" customWidth="1"/>
    <col min="11266" max="11266" width="13.44140625" style="1515" customWidth="1"/>
    <col min="11267" max="11267" width="12.109375" style="1515" customWidth="1"/>
    <col min="11268" max="11268" width="11.109375" style="1515" customWidth="1"/>
    <col min="11269" max="11269" width="11.33203125" style="1515" customWidth="1"/>
    <col min="11270" max="11270" width="12.33203125" style="1515" customWidth="1"/>
    <col min="11271" max="11271" width="18" style="1515" customWidth="1"/>
    <col min="11272" max="11520" width="9.109375" style="1515"/>
    <col min="11521" max="11521" width="60.88671875" style="1515" customWidth="1"/>
    <col min="11522" max="11522" width="13.44140625" style="1515" customWidth="1"/>
    <col min="11523" max="11523" width="12.109375" style="1515" customWidth="1"/>
    <col min="11524" max="11524" width="11.109375" style="1515" customWidth="1"/>
    <col min="11525" max="11525" width="11.33203125" style="1515" customWidth="1"/>
    <col min="11526" max="11526" width="12.33203125" style="1515" customWidth="1"/>
    <col min="11527" max="11527" width="18" style="1515" customWidth="1"/>
    <col min="11528" max="11776" width="9.109375" style="1515"/>
    <col min="11777" max="11777" width="60.88671875" style="1515" customWidth="1"/>
    <col min="11778" max="11778" width="13.44140625" style="1515" customWidth="1"/>
    <col min="11779" max="11779" width="12.109375" style="1515" customWidth="1"/>
    <col min="11780" max="11780" width="11.109375" style="1515" customWidth="1"/>
    <col min="11781" max="11781" width="11.33203125" style="1515" customWidth="1"/>
    <col min="11782" max="11782" width="12.33203125" style="1515" customWidth="1"/>
    <col min="11783" max="11783" width="18" style="1515" customWidth="1"/>
    <col min="11784" max="12032" width="9.109375" style="1515"/>
    <col min="12033" max="12033" width="60.88671875" style="1515" customWidth="1"/>
    <col min="12034" max="12034" width="13.44140625" style="1515" customWidth="1"/>
    <col min="12035" max="12035" width="12.109375" style="1515" customWidth="1"/>
    <col min="12036" max="12036" width="11.109375" style="1515" customWidth="1"/>
    <col min="12037" max="12037" width="11.33203125" style="1515" customWidth="1"/>
    <col min="12038" max="12038" width="12.33203125" style="1515" customWidth="1"/>
    <col min="12039" max="12039" width="18" style="1515" customWidth="1"/>
    <col min="12040" max="12288" width="9.109375" style="1515"/>
    <col min="12289" max="12289" width="60.88671875" style="1515" customWidth="1"/>
    <col min="12290" max="12290" width="13.44140625" style="1515" customWidth="1"/>
    <col min="12291" max="12291" width="12.109375" style="1515" customWidth="1"/>
    <col min="12292" max="12292" width="11.109375" style="1515" customWidth="1"/>
    <col min="12293" max="12293" width="11.33203125" style="1515" customWidth="1"/>
    <col min="12294" max="12294" width="12.33203125" style="1515" customWidth="1"/>
    <col min="12295" max="12295" width="18" style="1515" customWidth="1"/>
    <col min="12296" max="12544" width="9.109375" style="1515"/>
    <col min="12545" max="12545" width="60.88671875" style="1515" customWidth="1"/>
    <col min="12546" max="12546" width="13.44140625" style="1515" customWidth="1"/>
    <col min="12547" max="12547" width="12.109375" style="1515" customWidth="1"/>
    <col min="12548" max="12548" width="11.109375" style="1515" customWidth="1"/>
    <col min="12549" max="12549" width="11.33203125" style="1515" customWidth="1"/>
    <col min="12550" max="12550" width="12.33203125" style="1515" customWidth="1"/>
    <col min="12551" max="12551" width="18" style="1515" customWidth="1"/>
    <col min="12552" max="12800" width="9.109375" style="1515"/>
    <col min="12801" max="12801" width="60.88671875" style="1515" customWidth="1"/>
    <col min="12802" max="12802" width="13.44140625" style="1515" customWidth="1"/>
    <col min="12803" max="12803" width="12.109375" style="1515" customWidth="1"/>
    <col min="12804" max="12804" width="11.109375" style="1515" customWidth="1"/>
    <col min="12805" max="12805" width="11.33203125" style="1515" customWidth="1"/>
    <col min="12806" max="12806" width="12.33203125" style="1515" customWidth="1"/>
    <col min="12807" max="12807" width="18" style="1515" customWidth="1"/>
    <col min="12808" max="13056" width="9.109375" style="1515"/>
    <col min="13057" max="13057" width="60.88671875" style="1515" customWidth="1"/>
    <col min="13058" max="13058" width="13.44140625" style="1515" customWidth="1"/>
    <col min="13059" max="13059" width="12.109375" style="1515" customWidth="1"/>
    <col min="13060" max="13060" width="11.109375" style="1515" customWidth="1"/>
    <col min="13061" max="13061" width="11.33203125" style="1515" customWidth="1"/>
    <col min="13062" max="13062" width="12.33203125" style="1515" customWidth="1"/>
    <col min="13063" max="13063" width="18" style="1515" customWidth="1"/>
    <col min="13064" max="13312" width="9.109375" style="1515"/>
    <col min="13313" max="13313" width="60.88671875" style="1515" customWidth="1"/>
    <col min="13314" max="13314" width="13.44140625" style="1515" customWidth="1"/>
    <col min="13315" max="13315" width="12.109375" style="1515" customWidth="1"/>
    <col min="13316" max="13316" width="11.109375" style="1515" customWidth="1"/>
    <col min="13317" max="13317" width="11.33203125" style="1515" customWidth="1"/>
    <col min="13318" max="13318" width="12.33203125" style="1515" customWidth="1"/>
    <col min="13319" max="13319" width="18" style="1515" customWidth="1"/>
    <col min="13320" max="13568" width="9.109375" style="1515"/>
    <col min="13569" max="13569" width="60.88671875" style="1515" customWidth="1"/>
    <col min="13570" max="13570" width="13.44140625" style="1515" customWidth="1"/>
    <col min="13571" max="13571" width="12.109375" style="1515" customWidth="1"/>
    <col min="13572" max="13572" width="11.109375" style="1515" customWidth="1"/>
    <col min="13573" max="13573" width="11.33203125" style="1515" customWidth="1"/>
    <col min="13574" max="13574" width="12.33203125" style="1515" customWidth="1"/>
    <col min="13575" max="13575" width="18" style="1515" customWidth="1"/>
    <col min="13576" max="13824" width="9.109375" style="1515"/>
    <col min="13825" max="13825" width="60.88671875" style="1515" customWidth="1"/>
    <col min="13826" max="13826" width="13.44140625" style="1515" customWidth="1"/>
    <col min="13827" max="13827" width="12.109375" style="1515" customWidth="1"/>
    <col min="13828" max="13828" width="11.109375" style="1515" customWidth="1"/>
    <col min="13829" max="13829" width="11.33203125" style="1515" customWidth="1"/>
    <col min="13830" max="13830" width="12.33203125" style="1515" customWidth="1"/>
    <col min="13831" max="13831" width="18" style="1515" customWidth="1"/>
    <col min="13832" max="14080" width="9.109375" style="1515"/>
    <col min="14081" max="14081" width="60.88671875" style="1515" customWidth="1"/>
    <col min="14082" max="14082" width="13.44140625" style="1515" customWidth="1"/>
    <col min="14083" max="14083" width="12.109375" style="1515" customWidth="1"/>
    <col min="14084" max="14084" width="11.109375" style="1515" customWidth="1"/>
    <col min="14085" max="14085" width="11.33203125" style="1515" customWidth="1"/>
    <col min="14086" max="14086" width="12.33203125" style="1515" customWidth="1"/>
    <col min="14087" max="14087" width="18" style="1515" customWidth="1"/>
    <col min="14088" max="14336" width="9.109375" style="1515"/>
    <col min="14337" max="14337" width="60.88671875" style="1515" customWidth="1"/>
    <col min="14338" max="14338" width="13.44140625" style="1515" customWidth="1"/>
    <col min="14339" max="14339" width="12.109375" style="1515" customWidth="1"/>
    <col min="14340" max="14340" width="11.109375" style="1515" customWidth="1"/>
    <col min="14341" max="14341" width="11.33203125" style="1515" customWidth="1"/>
    <col min="14342" max="14342" width="12.33203125" style="1515" customWidth="1"/>
    <col min="14343" max="14343" width="18" style="1515" customWidth="1"/>
    <col min="14344" max="14592" width="9.109375" style="1515"/>
    <col min="14593" max="14593" width="60.88671875" style="1515" customWidth="1"/>
    <col min="14594" max="14594" width="13.44140625" style="1515" customWidth="1"/>
    <col min="14595" max="14595" width="12.109375" style="1515" customWidth="1"/>
    <col min="14596" max="14596" width="11.109375" style="1515" customWidth="1"/>
    <col min="14597" max="14597" width="11.33203125" style="1515" customWidth="1"/>
    <col min="14598" max="14598" width="12.33203125" style="1515" customWidth="1"/>
    <col min="14599" max="14599" width="18" style="1515" customWidth="1"/>
    <col min="14600" max="14848" width="9.109375" style="1515"/>
    <col min="14849" max="14849" width="60.88671875" style="1515" customWidth="1"/>
    <col min="14850" max="14850" width="13.44140625" style="1515" customWidth="1"/>
    <col min="14851" max="14851" width="12.109375" style="1515" customWidth="1"/>
    <col min="14852" max="14852" width="11.109375" style="1515" customWidth="1"/>
    <col min="14853" max="14853" width="11.33203125" style="1515" customWidth="1"/>
    <col min="14854" max="14854" width="12.33203125" style="1515" customWidth="1"/>
    <col min="14855" max="14855" width="18" style="1515" customWidth="1"/>
    <col min="14856" max="15104" width="9.109375" style="1515"/>
    <col min="15105" max="15105" width="60.88671875" style="1515" customWidth="1"/>
    <col min="15106" max="15106" width="13.44140625" style="1515" customWidth="1"/>
    <col min="15107" max="15107" width="12.109375" style="1515" customWidth="1"/>
    <col min="15108" max="15108" width="11.109375" style="1515" customWidth="1"/>
    <col min="15109" max="15109" width="11.33203125" style="1515" customWidth="1"/>
    <col min="15110" max="15110" width="12.33203125" style="1515" customWidth="1"/>
    <col min="15111" max="15111" width="18" style="1515" customWidth="1"/>
    <col min="15112" max="15360" width="9.109375" style="1515"/>
    <col min="15361" max="15361" width="60.88671875" style="1515" customWidth="1"/>
    <col min="15362" max="15362" width="13.44140625" style="1515" customWidth="1"/>
    <col min="15363" max="15363" width="12.109375" style="1515" customWidth="1"/>
    <col min="15364" max="15364" width="11.109375" style="1515" customWidth="1"/>
    <col min="15365" max="15365" width="11.33203125" style="1515" customWidth="1"/>
    <col min="15366" max="15366" width="12.33203125" style="1515" customWidth="1"/>
    <col min="15367" max="15367" width="18" style="1515" customWidth="1"/>
    <col min="15368" max="15616" width="9.109375" style="1515"/>
    <col min="15617" max="15617" width="60.88671875" style="1515" customWidth="1"/>
    <col min="15618" max="15618" width="13.44140625" style="1515" customWidth="1"/>
    <col min="15619" max="15619" width="12.109375" style="1515" customWidth="1"/>
    <col min="15620" max="15620" width="11.109375" style="1515" customWidth="1"/>
    <col min="15621" max="15621" width="11.33203125" style="1515" customWidth="1"/>
    <col min="15622" max="15622" width="12.33203125" style="1515" customWidth="1"/>
    <col min="15623" max="15623" width="18" style="1515" customWidth="1"/>
    <col min="15624" max="15872" width="9.109375" style="1515"/>
    <col min="15873" max="15873" width="60.88671875" style="1515" customWidth="1"/>
    <col min="15874" max="15874" width="13.44140625" style="1515" customWidth="1"/>
    <col min="15875" max="15875" width="12.109375" style="1515" customWidth="1"/>
    <col min="15876" max="15876" width="11.109375" style="1515" customWidth="1"/>
    <col min="15877" max="15877" width="11.33203125" style="1515" customWidth="1"/>
    <col min="15878" max="15878" width="12.33203125" style="1515" customWidth="1"/>
    <col min="15879" max="15879" width="18" style="1515" customWidth="1"/>
    <col min="15880" max="16128" width="9.109375" style="1515"/>
    <col min="16129" max="16129" width="60.88671875" style="1515" customWidth="1"/>
    <col min="16130" max="16130" width="13.44140625" style="1515" customWidth="1"/>
    <col min="16131" max="16131" width="12.109375" style="1515" customWidth="1"/>
    <col min="16132" max="16132" width="11.109375" style="1515" customWidth="1"/>
    <col min="16133" max="16133" width="11.33203125" style="1515" customWidth="1"/>
    <col min="16134" max="16134" width="12.33203125" style="1515" customWidth="1"/>
    <col min="16135" max="16135" width="18" style="1515" customWidth="1"/>
    <col min="16136" max="16384" width="9.109375" style="1515"/>
  </cols>
  <sheetData>
    <row r="4" spans="1:7" ht="51.75" customHeight="1" x14ac:dyDescent="0.3">
      <c r="A4" s="1670" t="s">
        <v>1215</v>
      </c>
      <c r="B4" s="1670"/>
      <c r="C4" s="1670"/>
      <c r="D4" s="1670"/>
      <c r="E4" s="1670"/>
      <c r="F4" s="1670"/>
      <c r="G4" s="1670"/>
    </row>
    <row r="5" spans="1:7" ht="27.75" customHeight="1" x14ac:dyDescent="0.25">
      <c r="A5" s="1516"/>
      <c r="B5" s="1517"/>
      <c r="C5" s="1517"/>
      <c r="D5" s="1517"/>
      <c r="E5" s="1517"/>
      <c r="F5" s="1517"/>
    </row>
    <row r="7" spans="1:7" ht="25.5" customHeight="1" x14ac:dyDescent="0.25">
      <c r="A7" s="1518" t="s">
        <v>1216</v>
      </c>
      <c r="B7" s="1519"/>
      <c r="C7" s="1520" t="s">
        <v>1041</v>
      </c>
      <c r="D7" s="1520" t="s">
        <v>1042</v>
      </c>
      <c r="E7" s="1520" t="s">
        <v>1043</v>
      </c>
      <c r="F7" s="1520" t="s">
        <v>1044</v>
      </c>
    </row>
    <row r="8" spans="1:7" ht="20.25" customHeight="1" x14ac:dyDescent="0.25">
      <c r="A8" s="1521" t="s">
        <v>1217</v>
      </c>
      <c r="B8" s="1522"/>
      <c r="C8" s="1523">
        <v>1458000</v>
      </c>
      <c r="D8" s="1523">
        <v>1458000</v>
      </c>
      <c r="E8" s="1523">
        <v>1458000</v>
      </c>
      <c r="F8" s="1523">
        <v>1458000</v>
      </c>
    </row>
    <row r="9" spans="1:7" ht="28.5" customHeight="1" x14ac:dyDescent="0.25">
      <c r="A9" s="1521" t="s">
        <v>1218</v>
      </c>
      <c r="B9" s="1522"/>
      <c r="C9" s="1524">
        <v>2000</v>
      </c>
      <c r="D9" s="1524"/>
      <c r="E9" s="1524"/>
      <c r="F9" s="1524"/>
    </row>
    <row r="10" spans="1:7" ht="18.75" customHeight="1" x14ac:dyDescent="0.25">
      <c r="A10" s="1521" t="s">
        <v>1219</v>
      </c>
      <c r="B10" s="1522"/>
      <c r="C10" s="1524">
        <v>15000</v>
      </c>
      <c r="D10" s="1524">
        <v>15000</v>
      </c>
      <c r="E10" s="1524">
        <v>15000</v>
      </c>
      <c r="F10" s="1524">
        <v>15000</v>
      </c>
    </row>
    <row r="11" spans="1:7" ht="40.5" customHeight="1" x14ac:dyDescent="0.25">
      <c r="A11" s="1521" t="s">
        <v>1220</v>
      </c>
      <c r="B11" s="1522"/>
      <c r="C11" s="1524"/>
      <c r="D11" s="1524"/>
      <c r="E11" s="1524"/>
      <c r="F11" s="1524"/>
    </row>
    <row r="12" spans="1:7" ht="18.75" customHeight="1" x14ac:dyDescent="0.25">
      <c r="A12" s="1521" t="s">
        <v>1221</v>
      </c>
      <c r="B12" s="1522"/>
      <c r="C12" s="1524">
        <v>5200</v>
      </c>
      <c r="D12" s="1524">
        <v>5200</v>
      </c>
      <c r="E12" s="1524">
        <v>5200</v>
      </c>
      <c r="F12" s="1524">
        <v>5200</v>
      </c>
    </row>
    <row r="13" spans="1:7" ht="17.25" customHeight="1" x14ac:dyDescent="0.25">
      <c r="A13" s="1521" t="s">
        <v>1222</v>
      </c>
      <c r="B13" s="1522"/>
      <c r="C13" s="1524"/>
      <c r="D13" s="1524"/>
      <c r="E13" s="1524"/>
      <c r="F13" s="1524"/>
    </row>
    <row r="14" spans="1:7" ht="18.75" customHeight="1" x14ac:dyDescent="0.25">
      <c r="A14" s="1521" t="s">
        <v>978</v>
      </c>
      <c r="B14" s="1522"/>
      <c r="C14" s="1524">
        <f>SUM(C8:C13)</f>
        <v>1480200</v>
      </c>
      <c r="D14" s="1524">
        <f>SUM(D8:D13)</f>
        <v>1478200</v>
      </c>
      <c r="E14" s="1524">
        <f>SUM(E8:E13)</f>
        <v>1478200</v>
      </c>
      <c r="F14" s="1524">
        <f>SUM(F8:F13)</f>
        <v>1478200</v>
      </c>
    </row>
    <row r="15" spans="1:7" s="1528" customFormat="1" ht="27" customHeight="1" x14ac:dyDescent="0.25">
      <c r="A15" s="1525" t="s">
        <v>1223</v>
      </c>
      <c r="B15" s="1526"/>
      <c r="C15" s="1527">
        <f>C14*0.5</f>
        <v>740100</v>
      </c>
      <c r="D15" s="1527">
        <f>D14*0.5</f>
        <v>739100</v>
      </c>
      <c r="E15" s="1527">
        <f>E14*0.5</f>
        <v>739100</v>
      </c>
      <c r="F15" s="1527">
        <f>F14*0.5</f>
        <v>739100</v>
      </c>
    </row>
    <row r="16" spans="1:7" ht="13.8" x14ac:dyDescent="0.25">
      <c r="A16" s="1529"/>
      <c r="B16" s="1530"/>
      <c r="C16" s="1530"/>
      <c r="D16" s="1530"/>
      <c r="E16" s="1530"/>
      <c r="F16" s="1530"/>
    </row>
    <row r="17" spans="1:7" ht="16.5" customHeight="1" x14ac:dyDescent="0.25">
      <c r="G17" s="1531"/>
    </row>
    <row r="18" spans="1:7" ht="15" customHeight="1" thickBot="1" x14ac:dyDescent="0.3"/>
    <row r="19" spans="1:7" ht="33" customHeight="1" x14ac:dyDescent="0.25">
      <c r="A19" s="1532" t="s">
        <v>1224</v>
      </c>
      <c r="B19" s="1533" t="s">
        <v>1225</v>
      </c>
      <c r="C19" s="1534" t="s">
        <v>1041</v>
      </c>
      <c r="D19" s="1534" t="s">
        <v>1042</v>
      </c>
      <c r="E19" s="1534" t="s">
        <v>1043</v>
      </c>
      <c r="F19" s="1535" t="s">
        <v>1044</v>
      </c>
    </row>
    <row r="20" spans="1:7" ht="13.8" x14ac:dyDescent="0.25">
      <c r="A20" s="1536" t="s">
        <v>1226</v>
      </c>
      <c r="B20" s="1537">
        <v>2014</v>
      </c>
      <c r="C20" s="1538">
        <v>174242</v>
      </c>
      <c r="D20" s="1538">
        <v>74242</v>
      </c>
      <c r="E20" s="1538">
        <v>74242</v>
      </c>
      <c r="F20" s="1539">
        <v>74242</v>
      </c>
      <c r="G20" s="1531"/>
    </row>
    <row r="21" spans="1:7" ht="13.8" x14ac:dyDescent="0.25">
      <c r="A21" s="1536" t="s">
        <v>1227</v>
      </c>
      <c r="B21" s="1537">
        <v>2014</v>
      </c>
      <c r="C21" s="1538">
        <v>20603</v>
      </c>
      <c r="D21" s="1538">
        <v>18587</v>
      </c>
      <c r="E21" s="1538">
        <v>16630</v>
      </c>
      <c r="F21" s="1539">
        <v>14673</v>
      </c>
    </row>
    <row r="22" spans="1:7" ht="24" customHeight="1" x14ac:dyDescent="0.25">
      <c r="A22" s="1536" t="s">
        <v>1228</v>
      </c>
      <c r="B22" s="1537" t="s">
        <v>1092</v>
      </c>
      <c r="C22" s="1538"/>
      <c r="D22" s="1538"/>
      <c r="E22" s="1538">
        <v>128160</v>
      </c>
      <c r="F22" s="1540"/>
    </row>
    <row r="23" spans="1:7" ht="13.8" x14ac:dyDescent="0.25">
      <c r="A23" s="1536" t="s">
        <v>1229</v>
      </c>
      <c r="B23" s="1537" t="s">
        <v>1230</v>
      </c>
      <c r="C23" s="1538">
        <v>16000</v>
      </c>
      <c r="D23" s="1538">
        <v>16000</v>
      </c>
      <c r="E23" s="1538">
        <v>16000</v>
      </c>
      <c r="F23" s="1539">
        <v>16000</v>
      </c>
    </row>
    <row r="24" spans="1:7" ht="13.8" x14ac:dyDescent="0.25">
      <c r="A24" s="1536" t="s">
        <v>1231</v>
      </c>
      <c r="B24" s="1537" t="s">
        <v>1232</v>
      </c>
      <c r="C24" s="1538">
        <v>14417</v>
      </c>
      <c r="D24" s="1538">
        <v>11953</v>
      </c>
      <c r="E24" s="1538">
        <v>8294</v>
      </c>
      <c r="F24" s="1539">
        <v>8295</v>
      </c>
    </row>
    <row r="25" spans="1:7" ht="14.4" thickBot="1" x14ac:dyDescent="0.3">
      <c r="A25" s="1541" t="s">
        <v>978</v>
      </c>
      <c r="B25" s="1542"/>
      <c r="C25" s="1543">
        <f>SUM(C20:C24)</f>
        <v>225262</v>
      </c>
      <c r="D25" s="1543">
        <f>SUM(D20:D24)</f>
        <v>120782</v>
      </c>
      <c r="E25" s="1543">
        <f>SUM(E20:E24)</f>
        <v>243326</v>
      </c>
      <c r="F25" s="1544">
        <f>SUM(F20:F24)</f>
        <v>113210</v>
      </c>
    </row>
  </sheetData>
  <sheetProtection selectLockedCells="1" selectUnlockedCells="1"/>
  <mergeCells count="1">
    <mergeCell ref="A4:G4"/>
  </mergeCells>
  <pageMargins left="0.75" right="0.75" top="1" bottom="1" header="0.5" footer="0.51180555555555551"/>
  <pageSetup paperSize="9" scale="63" firstPageNumber="0" orientation="portrait" horizontalDpi="300" verticalDpi="300" r:id="rId1"/>
  <headerFooter scaleWithDoc="0" alignWithMargins="0">
    <oddHeader>&amp;C14. melléklet
az önkormányzat 2016. évi költségvetéséről szóló 8/2016. (II.26.) önkormányzati rendelethez&amp;R
&amp;P. oldal
ezer forint</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E38"/>
  <sheetViews>
    <sheetView view="pageLayout" zoomScaleNormal="100" workbookViewId="0">
      <pane ySplit="1"/>
      <selection activeCell="B13" sqref="B13"/>
      <selection pane="bottomLeft" activeCell="C5" sqref="C5"/>
    </sheetView>
  </sheetViews>
  <sheetFormatPr defaultRowHeight="13.2" x14ac:dyDescent="0.25"/>
  <cols>
    <col min="1" max="1" width="65.88671875" customWidth="1"/>
    <col min="2" max="2" width="11.5546875" customWidth="1"/>
    <col min="3" max="3" width="10.5546875" customWidth="1"/>
    <col min="4" max="4" width="12.6640625" customWidth="1"/>
    <col min="257" max="257" width="65.88671875" customWidth="1"/>
    <col min="258" max="258" width="11.5546875" customWidth="1"/>
    <col min="259" max="259" width="10.5546875" customWidth="1"/>
    <col min="260" max="260" width="12.6640625" customWidth="1"/>
    <col min="513" max="513" width="65.88671875" customWidth="1"/>
    <col min="514" max="514" width="11.5546875" customWidth="1"/>
    <col min="515" max="515" width="10.5546875" customWidth="1"/>
    <col min="516" max="516" width="12.6640625" customWidth="1"/>
    <col min="769" max="769" width="65.88671875" customWidth="1"/>
    <col min="770" max="770" width="11.5546875" customWidth="1"/>
    <col min="771" max="771" width="10.5546875" customWidth="1"/>
    <col min="772" max="772" width="12.6640625" customWidth="1"/>
    <col min="1025" max="1025" width="65.88671875" customWidth="1"/>
    <col min="1026" max="1026" width="11.5546875" customWidth="1"/>
    <col min="1027" max="1027" width="10.5546875" customWidth="1"/>
    <col min="1028" max="1028" width="12.6640625" customWidth="1"/>
    <col min="1281" max="1281" width="65.88671875" customWidth="1"/>
    <col min="1282" max="1282" width="11.5546875" customWidth="1"/>
    <col min="1283" max="1283" width="10.5546875" customWidth="1"/>
    <col min="1284" max="1284" width="12.6640625" customWidth="1"/>
    <col min="1537" max="1537" width="65.88671875" customWidth="1"/>
    <col min="1538" max="1538" width="11.5546875" customWidth="1"/>
    <col min="1539" max="1539" width="10.5546875" customWidth="1"/>
    <col min="1540" max="1540" width="12.6640625" customWidth="1"/>
    <col min="1793" max="1793" width="65.88671875" customWidth="1"/>
    <col min="1794" max="1794" width="11.5546875" customWidth="1"/>
    <col min="1795" max="1795" width="10.5546875" customWidth="1"/>
    <col min="1796" max="1796" width="12.6640625" customWidth="1"/>
    <col min="2049" max="2049" width="65.88671875" customWidth="1"/>
    <col min="2050" max="2050" width="11.5546875" customWidth="1"/>
    <col min="2051" max="2051" width="10.5546875" customWidth="1"/>
    <col min="2052" max="2052" width="12.6640625" customWidth="1"/>
    <col min="2305" max="2305" width="65.88671875" customWidth="1"/>
    <col min="2306" max="2306" width="11.5546875" customWidth="1"/>
    <col min="2307" max="2307" width="10.5546875" customWidth="1"/>
    <col min="2308" max="2308" width="12.6640625" customWidth="1"/>
    <col min="2561" max="2561" width="65.88671875" customWidth="1"/>
    <col min="2562" max="2562" width="11.5546875" customWidth="1"/>
    <col min="2563" max="2563" width="10.5546875" customWidth="1"/>
    <col min="2564" max="2564" width="12.6640625" customWidth="1"/>
    <col min="2817" max="2817" width="65.88671875" customWidth="1"/>
    <col min="2818" max="2818" width="11.5546875" customWidth="1"/>
    <col min="2819" max="2819" width="10.5546875" customWidth="1"/>
    <col min="2820" max="2820" width="12.6640625" customWidth="1"/>
    <col min="3073" max="3073" width="65.88671875" customWidth="1"/>
    <col min="3074" max="3074" width="11.5546875" customWidth="1"/>
    <col min="3075" max="3075" width="10.5546875" customWidth="1"/>
    <col min="3076" max="3076" width="12.6640625" customWidth="1"/>
    <col min="3329" max="3329" width="65.88671875" customWidth="1"/>
    <col min="3330" max="3330" width="11.5546875" customWidth="1"/>
    <col min="3331" max="3331" width="10.5546875" customWidth="1"/>
    <col min="3332" max="3332" width="12.6640625" customWidth="1"/>
    <col min="3585" max="3585" width="65.88671875" customWidth="1"/>
    <col min="3586" max="3586" width="11.5546875" customWidth="1"/>
    <col min="3587" max="3587" width="10.5546875" customWidth="1"/>
    <col min="3588" max="3588" width="12.6640625" customWidth="1"/>
    <col min="3841" max="3841" width="65.88671875" customWidth="1"/>
    <col min="3842" max="3842" width="11.5546875" customWidth="1"/>
    <col min="3843" max="3843" width="10.5546875" customWidth="1"/>
    <col min="3844" max="3844" width="12.6640625" customWidth="1"/>
    <col min="4097" max="4097" width="65.88671875" customWidth="1"/>
    <col min="4098" max="4098" width="11.5546875" customWidth="1"/>
    <col min="4099" max="4099" width="10.5546875" customWidth="1"/>
    <col min="4100" max="4100" width="12.6640625" customWidth="1"/>
    <col min="4353" max="4353" width="65.88671875" customWidth="1"/>
    <col min="4354" max="4354" width="11.5546875" customWidth="1"/>
    <col min="4355" max="4355" width="10.5546875" customWidth="1"/>
    <col min="4356" max="4356" width="12.6640625" customWidth="1"/>
    <col min="4609" max="4609" width="65.88671875" customWidth="1"/>
    <col min="4610" max="4610" width="11.5546875" customWidth="1"/>
    <col min="4611" max="4611" width="10.5546875" customWidth="1"/>
    <col min="4612" max="4612" width="12.6640625" customWidth="1"/>
    <col min="4865" max="4865" width="65.88671875" customWidth="1"/>
    <col min="4866" max="4866" width="11.5546875" customWidth="1"/>
    <col min="4867" max="4867" width="10.5546875" customWidth="1"/>
    <col min="4868" max="4868" width="12.6640625" customWidth="1"/>
    <col min="5121" max="5121" width="65.88671875" customWidth="1"/>
    <col min="5122" max="5122" width="11.5546875" customWidth="1"/>
    <col min="5123" max="5123" width="10.5546875" customWidth="1"/>
    <col min="5124" max="5124" width="12.6640625" customWidth="1"/>
    <col min="5377" max="5377" width="65.88671875" customWidth="1"/>
    <col min="5378" max="5378" width="11.5546875" customWidth="1"/>
    <col min="5379" max="5379" width="10.5546875" customWidth="1"/>
    <col min="5380" max="5380" width="12.6640625" customWidth="1"/>
    <col min="5633" max="5633" width="65.88671875" customWidth="1"/>
    <col min="5634" max="5634" width="11.5546875" customWidth="1"/>
    <col min="5635" max="5635" width="10.5546875" customWidth="1"/>
    <col min="5636" max="5636" width="12.6640625" customWidth="1"/>
    <col min="5889" max="5889" width="65.88671875" customWidth="1"/>
    <col min="5890" max="5890" width="11.5546875" customWidth="1"/>
    <col min="5891" max="5891" width="10.5546875" customWidth="1"/>
    <col min="5892" max="5892" width="12.6640625" customWidth="1"/>
    <col min="6145" max="6145" width="65.88671875" customWidth="1"/>
    <col min="6146" max="6146" width="11.5546875" customWidth="1"/>
    <col min="6147" max="6147" width="10.5546875" customWidth="1"/>
    <col min="6148" max="6148" width="12.6640625" customWidth="1"/>
    <col min="6401" max="6401" width="65.88671875" customWidth="1"/>
    <col min="6402" max="6402" width="11.5546875" customWidth="1"/>
    <col min="6403" max="6403" width="10.5546875" customWidth="1"/>
    <col min="6404" max="6404" width="12.6640625" customWidth="1"/>
    <col min="6657" max="6657" width="65.88671875" customWidth="1"/>
    <col min="6658" max="6658" width="11.5546875" customWidth="1"/>
    <col min="6659" max="6659" width="10.5546875" customWidth="1"/>
    <col min="6660" max="6660" width="12.6640625" customWidth="1"/>
    <col min="6913" max="6913" width="65.88671875" customWidth="1"/>
    <col min="6914" max="6914" width="11.5546875" customWidth="1"/>
    <col min="6915" max="6915" width="10.5546875" customWidth="1"/>
    <col min="6916" max="6916" width="12.6640625" customWidth="1"/>
    <col min="7169" max="7169" width="65.88671875" customWidth="1"/>
    <col min="7170" max="7170" width="11.5546875" customWidth="1"/>
    <col min="7171" max="7171" width="10.5546875" customWidth="1"/>
    <col min="7172" max="7172" width="12.6640625" customWidth="1"/>
    <col min="7425" max="7425" width="65.88671875" customWidth="1"/>
    <col min="7426" max="7426" width="11.5546875" customWidth="1"/>
    <col min="7427" max="7427" width="10.5546875" customWidth="1"/>
    <col min="7428" max="7428" width="12.6640625" customWidth="1"/>
    <col min="7681" max="7681" width="65.88671875" customWidth="1"/>
    <col min="7682" max="7682" width="11.5546875" customWidth="1"/>
    <col min="7683" max="7683" width="10.5546875" customWidth="1"/>
    <col min="7684" max="7684" width="12.6640625" customWidth="1"/>
    <col min="7937" max="7937" width="65.88671875" customWidth="1"/>
    <col min="7938" max="7938" width="11.5546875" customWidth="1"/>
    <col min="7939" max="7939" width="10.5546875" customWidth="1"/>
    <col min="7940" max="7940" width="12.6640625" customWidth="1"/>
    <col min="8193" max="8193" width="65.88671875" customWidth="1"/>
    <col min="8194" max="8194" width="11.5546875" customWidth="1"/>
    <col min="8195" max="8195" width="10.5546875" customWidth="1"/>
    <col min="8196" max="8196" width="12.6640625" customWidth="1"/>
    <col min="8449" max="8449" width="65.88671875" customWidth="1"/>
    <col min="8450" max="8450" width="11.5546875" customWidth="1"/>
    <col min="8451" max="8451" width="10.5546875" customWidth="1"/>
    <col min="8452" max="8452" width="12.6640625" customWidth="1"/>
    <col min="8705" max="8705" width="65.88671875" customWidth="1"/>
    <col min="8706" max="8706" width="11.5546875" customWidth="1"/>
    <col min="8707" max="8707" width="10.5546875" customWidth="1"/>
    <col min="8708" max="8708" width="12.6640625" customWidth="1"/>
    <col min="8961" max="8961" width="65.88671875" customWidth="1"/>
    <col min="8962" max="8962" width="11.5546875" customWidth="1"/>
    <col min="8963" max="8963" width="10.5546875" customWidth="1"/>
    <col min="8964" max="8964" width="12.6640625" customWidth="1"/>
    <col min="9217" max="9217" width="65.88671875" customWidth="1"/>
    <col min="9218" max="9218" width="11.5546875" customWidth="1"/>
    <col min="9219" max="9219" width="10.5546875" customWidth="1"/>
    <col min="9220" max="9220" width="12.6640625" customWidth="1"/>
    <col min="9473" max="9473" width="65.88671875" customWidth="1"/>
    <col min="9474" max="9474" width="11.5546875" customWidth="1"/>
    <col min="9475" max="9475" width="10.5546875" customWidth="1"/>
    <col min="9476" max="9476" width="12.6640625" customWidth="1"/>
    <col min="9729" max="9729" width="65.88671875" customWidth="1"/>
    <col min="9730" max="9730" width="11.5546875" customWidth="1"/>
    <col min="9731" max="9731" width="10.5546875" customWidth="1"/>
    <col min="9732" max="9732" width="12.6640625" customWidth="1"/>
    <col min="9985" max="9985" width="65.88671875" customWidth="1"/>
    <col min="9986" max="9986" width="11.5546875" customWidth="1"/>
    <col min="9987" max="9987" width="10.5546875" customWidth="1"/>
    <col min="9988" max="9988" width="12.6640625" customWidth="1"/>
    <col min="10241" max="10241" width="65.88671875" customWidth="1"/>
    <col min="10242" max="10242" width="11.5546875" customWidth="1"/>
    <col min="10243" max="10243" width="10.5546875" customWidth="1"/>
    <col min="10244" max="10244" width="12.6640625" customWidth="1"/>
    <col min="10497" max="10497" width="65.88671875" customWidth="1"/>
    <col min="10498" max="10498" width="11.5546875" customWidth="1"/>
    <col min="10499" max="10499" width="10.5546875" customWidth="1"/>
    <col min="10500" max="10500" width="12.6640625" customWidth="1"/>
    <col min="10753" max="10753" width="65.88671875" customWidth="1"/>
    <col min="10754" max="10754" width="11.5546875" customWidth="1"/>
    <col min="10755" max="10755" width="10.5546875" customWidth="1"/>
    <col min="10756" max="10756" width="12.6640625" customWidth="1"/>
    <col min="11009" max="11009" width="65.88671875" customWidth="1"/>
    <col min="11010" max="11010" width="11.5546875" customWidth="1"/>
    <col min="11011" max="11011" width="10.5546875" customWidth="1"/>
    <col min="11012" max="11012" width="12.6640625" customWidth="1"/>
    <col min="11265" max="11265" width="65.88671875" customWidth="1"/>
    <col min="11266" max="11266" width="11.5546875" customWidth="1"/>
    <col min="11267" max="11267" width="10.5546875" customWidth="1"/>
    <col min="11268" max="11268" width="12.6640625" customWidth="1"/>
    <col min="11521" max="11521" width="65.88671875" customWidth="1"/>
    <col min="11522" max="11522" width="11.5546875" customWidth="1"/>
    <col min="11523" max="11523" width="10.5546875" customWidth="1"/>
    <col min="11524" max="11524" width="12.6640625" customWidth="1"/>
    <col min="11777" max="11777" width="65.88671875" customWidth="1"/>
    <col min="11778" max="11778" width="11.5546875" customWidth="1"/>
    <col min="11779" max="11779" width="10.5546875" customWidth="1"/>
    <col min="11780" max="11780" width="12.6640625" customWidth="1"/>
    <col min="12033" max="12033" width="65.88671875" customWidth="1"/>
    <col min="12034" max="12034" width="11.5546875" customWidth="1"/>
    <col min="12035" max="12035" width="10.5546875" customWidth="1"/>
    <col min="12036" max="12036" width="12.6640625" customWidth="1"/>
    <col min="12289" max="12289" width="65.88671875" customWidth="1"/>
    <col min="12290" max="12290" width="11.5546875" customWidth="1"/>
    <col min="12291" max="12291" width="10.5546875" customWidth="1"/>
    <col min="12292" max="12292" width="12.6640625" customWidth="1"/>
    <col min="12545" max="12545" width="65.88671875" customWidth="1"/>
    <col min="12546" max="12546" width="11.5546875" customWidth="1"/>
    <col min="12547" max="12547" width="10.5546875" customWidth="1"/>
    <col min="12548" max="12548" width="12.6640625" customWidth="1"/>
    <col min="12801" max="12801" width="65.88671875" customWidth="1"/>
    <col min="12802" max="12802" width="11.5546875" customWidth="1"/>
    <col min="12803" max="12803" width="10.5546875" customWidth="1"/>
    <col min="12804" max="12804" width="12.6640625" customWidth="1"/>
    <col min="13057" max="13057" width="65.88671875" customWidth="1"/>
    <col min="13058" max="13058" width="11.5546875" customWidth="1"/>
    <col min="13059" max="13059" width="10.5546875" customWidth="1"/>
    <col min="13060" max="13060" width="12.6640625" customWidth="1"/>
    <col min="13313" max="13313" width="65.88671875" customWidth="1"/>
    <col min="13314" max="13314" width="11.5546875" customWidth="1"/>
    <col min="13315" max="13315" width="10.5546875" customWidth="1"/>
    <col min="13316" max="13316" width="12.6640625" customWidth="1"/>
    <col min="13569" max="13569" width="65.88671875" customWidth="1"/>
    <col min="13570" max="13570" width="11.5546875" customWidth="1"/>
    <col min="13571" max="13571" width="10.5546875" customWidth="1"/>
    <col min="13572" max="13572" width="12.6640625" customWidth="1"/>
    <col min="13825" max="13825" width="65.88671875" customWidth="1"/>
    <col min="13826" max="13826" width="11.5546875" customWidth="1"/>
    <col min="13827" max="13827" width="10.5546875" customWidth="1"/>
    <col min="13828" max="13828" width="12.6640625" customWidth="1"/>
    <col min="14081" max="14081" width="65.88671875" customWidth="1"/>
    <col min="14082" max="14082" width="11.5546875" customWidth="1"/>
    <col min="14083" max="14083" width="10.5546875" customWidth="1"/>
    <col min="14084" max="14084" width="12.6640625" customWidth="1"/>
    <col min="14337" max="14337" width="65.88671875" customWidth="1"/>
    <col min="14338" max="14338" width="11.5546875" customWidth="1"/>
    <col min="14339" max="14339" width="10.5546875" customWidth="1"/>
    <col min="14340" max="14340" width="12.6640625" customWidth="1"/>
    <col min="14593" max="14593" width="65.88671875" customWidth="1"/>
    <col min="14594" max="14594" width="11.5546875" customWidth="1"/>
    <col min="14595" max="14595" width="10.5546875" customWidth="1"/>
    <col min="14596" max="14596" width="12.6640625" customWidth="1"/>
    <col min="14849" max="14849" width="65.88671875" customWidth="1"/>
    <col min="14850" max="14850" width="11.5546875" customWidth="1"/>
    <col min="14851" max="14851" width="10.5546875" customWidth="1"/>
    <col min="14852" max="14852" width="12.6640625" customWidth="1"/>
    <col min="15105" max="15105" width="65.88671875" customWidth="1"/>
    <col min="15106" max="15106" width="11.5546875" customWidth="1"/>
    <col min="15107" max="15107" width="10.5546875" customWidth="1"/>
    <col min="15108" max="15108" width="12.6640625" customWidth="1"/>
    <col min="15361" max="15361" width="65.88671875" customWidth="1"/>
    <col min="15362" max="15362" width="11.5546875" customWidth="1"/>
    <col min="15363" max="15363" width="10.5546875" customWidth="1"/>
    <col min="15364" max="15364" width="12.6640625" customWidth="1"/>
    <col min="15617" max="15617" width="65.88671875" customWidth="1"/>
    <col min="15618" max="15618" width="11.5546875" customWidth="1"/>
    <col min="15619" max="15619" width="10.5546875" customWidth="1"/>
    <col min="15620" max="15620" width="12.6640625" customWidth="1"/>
    <col min="15873" max="15873" width="65.88671875" customWidth="1"/>
    <col min="15874" max="15874" width="11.5546875" customWidth="1"/>
    <col min="15875" max="15875" width="10.5546875" customWidth="1"/>
    <col min="15876" max="15876" width="12.6640625" customWidth="1"/>
    <col min="16129" max="16129" width="65.88671875" customWidth="1"/>
    <col min="16130" max="16130" width="11.5546875" customWidth="1"/>
    <col min="16131" max="16131" width="10.5546875" customWidth="1"/>
    <col min="16132" max="16132" width="12.6640625" customWidth="1"/>
  </cols>
  <sheetData>
    <row r="1" spans="1:2" ht="15" x14ac:dyDescent="0.25">
      <c r="A1" s="1671" t="s">
        <v>1233</v>
      </c>
      <c r="B1" s="1671"/>
    </row>
    <row r="2" spans="1:2" ht="15" x14ac:dyDescent="0.25">
      <c r="A2" s="1545"/>
      <c r="B2" s="1546"/>
    </row>
    <row r="3" spans="1:2" ht="15.6" x14ac:dyDescent="0.3">
      <c r="A3" s="1672" t="s">
        <v>1234</v>
      </c>
      <c r="B3" s="1672"/>
    </row>
    <row r="4" spans="1:2" ht="15" x14ac:dyDescent="0.25">
      <c r="A4" s="1545"/>
      <c r="B4" s="1546"/>
    </row>
    <row r="5" spans="1:2" ht="15" x14ac:dyDescent="0.25">
      <c r="A5" s="1545"/>
      <c r="B5" s="1547"/>
    </row>
    <row r="6" spans="1:2" ht="15.6" x14ac:dyDescent="0.3">
      <c r="A6" s="1548" t="s">
        <v>891</v>
      </c>
      <c r="B6" s="1549" t="s">
        <v>1235</v>
      </c>
    </row>
    <row r="7" spans="1:2" ht="15" x14ac:dyDescent="0.25">
      <c r="A7" s="1550" t="s">
        <v>1236</v>
      </c>
      <c r="B7" s="1551">
        <v>31050</v>
      </c>
    </row>
    <row r="8" spans="1:2" ht="15" x14ac:dyDescent="0.25">
      <c r="A8" s="1550" t="s">
        <v>1237</v>
      </c>
      <c r="B8" s="86">
        <v>5600</v>
      </c>
    </row>
    <row r="9" spans="1:2" ht="15.6" x14ac:dyDescent="0.3">
      <c r="A9" s="1552" t="s">
        <v>1238</v>
      </c>
      <c r="B9" s="1553">
        <f>SUM(B7:B8)</f>
        <v>36650</v>
      </c>
    </row>
    <row r="10" spans="1:2" ht="15" x14ac:dyDescent="0.25">
      <c r="A10" s="1550" t="s">
        <v>1239</v>
      </c>
      <c r="B10" s="1551">
        <v>24450</v>
      </c>
    </row>
    <row r="11" spans="1:2" ht="15" x14ac:dyDescent="0.25">
      <c r="A11" s="1550" t="s">
        <v>1240</v>
      </c>
      <c r="B11" s="1551">
        <v>1000</v>
      </c>
    </row>
    <row r="12" spans="1:2" ht="15" x14ac:dyDescent="0.25">
      <c r="A12" s="1550" t="s">
        <v>1241</v>
      </c>
      <c r="B12" s="1551">
        <v>5600</v>
      </c>
    </row>
    <row r="13" spans="1:2" ht="15" x14ac:dyDescent="0.25">
      <c r="A13" s="1550" t="s">
        <v>1242</v>
      </c>
      <c r="B13" s="86">
        <v>5600</v>
      </c>
    </row>
    <row r="14" spans="1:2" ht="15" x14ac:dyDescent="0.25">
      <c r="A14" s="1550"/>
      <c r="B14" s="1551"/>
    </row>
    <row r="15" spans="1:2" ht="15" x14ac:dyDescent="0.25">
      <c r="A15" s="1550" t="s">
        <v>1243</v>
      </c>
      <c r="B15" s="1551">
        <v>5600</v>
      </c>
    </row>
    <row r="16" spans="1:2" ht="15" x14ac:dyDescent="0.25">
      <c r="A16" s="1554"/>
      <c r="B16" s="1555"/>
    </row>
    <row r="17" spans="1:2" ht="15.6" x14ac:dyDescent="0.3">
      <c r="A17" s="1552" t="s">
        <v>1244</v>
      </c>
      <c r="B17" s="1553">
        <v>0</v>
      </c>
    </row>
    <row r="21" spans="1:2" ht="15" x14ac:dyDescent="0.25">
      <c r="A21" s="1671" t="s">
        <v>1245</v>
      </c>
      <c r="B21" s="1671"/>
    </row>
    <row r="22" spans="1:2" ht="15" x14ac:dyDescent="0.25">
      <c r="A22" s="1545"/>
      <c r="B22" s="1546"/>
    </row>
    <row r="23" spans="1:2" ht="15.6" x14ac:dyDescent="0.3">
      <c r="A23" s="1672" t="s">
        <v>1246</v>
      </c>
      <c r="B23" s="1672"/>
    </row>
    <row r="24" spans="1:2" ht="15" x14ac:dyDescent="0.25">
      <c r="A24" s="1545"/>
      <c r="B24" s="1546"/>
    </row>
    <row r="25" spans="1:2" ht="15" x14ac:dyDescent="0.25">
      <c r="A25" s="1545"/>
      <c r="B25" s="1547"/>
    </row>
    <row r="26" spans="1:2" ht="15.6" x14ac:dyDescent="0.3">
      <c r="A26" s="1548" t="s">
        <v>891</v>
      </c>
      <c r="B26" s="1549" t="s">
        <v>1235</v>
      </c>
    </row>
    <row r="27" spans="1:2" ht="15.6" x14ac:dyDescent="0.3">
      <c r="A27" s="1556" t="s">
        <v>1247</v>
      </c>
      <c r="B27" s="1557">
        <v>3861</v>
      </c>
    </row>
    <row r="28" spans="1:2" ht="15.6" x14ac:dyDescent="0.3">
      <c r="A28" s="1552" t="s">
        <v>1248</v>
      </c>
      <c r="B28" s="1558"/>
    </row>
    <row r="29" spans="1:2" ht="15" x14ac:dyDescent="0.25">
      <c r="A29" s="1550" t="s">
        <v>1249</v>
      </c>
      <c r="B29" s="1558">
        <v>135</v>
      </c>
    </row>
    <row r="30" spans="1:2" ht="15" x14ac:dyDescent="0.25">
      <c r="A30" s="1550" t="s">
        <v>1189</v>
      </c>
      <c r="B30" s="1558">
        <v>1305</v>
      </c>
    </row>
    <row r="31" spans="1:2" ht="15" x14ac:dyDescent="0.25">
      <c r="A31" s="1550" t="s">
        <v>1250</v>
      </c>
      <c r="B31" s="1558">
        <v>0</v>
      </c>
    </row>
    <row r="32" spans="1:2" ht="15.6" x14ac:dyDescent="0.3">
      <c r="A32" s="1552" t="s">
        <v>1251</v>
      </c>
      <c r="B32" s="1558">
        <f>B27+B29+B30-B31</f>
        <v>5301</v>
      </c>
    </row>
    <row r="33" spans="1:5" ht="15" x14ac:dyDescent="0.25">
      <c r="A33" s="1550" t="s">
        <v>1252</v>
      </c>
      <c r="B33" s="1558">
        <v>0</v>
      </c>
    </row>
    <row r="34" spans="1:5" ht="15" x14ac:dyDescent="0.25">
      <c r="A34" s="1550" t="s">
        <v>1253</v>
      </c>
      <c r="B34" s="1559">
        <v>860</v>
      </c>
      <c r="C34" s="1560"/>
      <c r="D34" s="1561"/>
    </row>
    <row r="35" spans="1:5" ht="15.6" x14ac:dyDescent="0.3">
      <c r="A35" s="1562" t="s">
        <v>1254</v>
      </c>
      <c r="B35" s="1559">
        <f>B32-B33+B34</f>
        <v>6161</v>
      </c>
      <c r="C35" s="1560"/>
      <c r="D35" s="1561"/>
    </row>
    <row r="36" spans="1:5" ht="15" x14ac:dyDescent="0.25">
      <c r="A36" s="98" t="s">
        <v>1255</v>
      </c>
      <c r="B36" s="1563"/>
      <c r="C36" s="1673"/>
      <c r="D36" s="1673"/>
      <c r="E36" s="1673"/>
    </row>
    <row r="37" spans="1:5" ht="15" x14ac:dyDescent="0.25">
      <c r="A37" s="98" t="s">
        <v>1243</v>
      </c>
      <c r="B37" s="1563">
        <v>900</v>
      </c>
    </row>
    <row r="38" spans="1:5" ht="15.6" x14ac:dyDescent="0.3">
      <c r="A38" s="1552" t="s">
        <v>1256</v>
      </c>
      <c r="B38" s="1553">
        <f>B35-B36+B37</f>
        <v>7061</v>
      </c>
      <c r="C38" s="1546"/>
      <c r="D38" s="1546"/>
    </row>
  </sheetData>
  <sheetProtection selectLockedCells="1" selectUnlockedCells="1"/>
  <mergeCells count="5">
    <mergeCell ref="A1:B1"/>
    <mergeCell ref="A3:B3"/>
    <mergeCell ref="A21:B21"/>
    <mergeCell ref="A23:B23"/>
    <mergeCell ref="C36:E36"/>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&amp;C15-16. mellékelt
az önkormányzat 2016. évi költségvetéséről szóló 8/2016. (II.26.) önkormányzati rendelethez&amp;Rezer forint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pageSetUpPr fitToPage="1"/>
  </sheetPr>
  <dimension ref="A1:P50"/>
  <sheetViews>
    <sheetView view="pageLayout" topLeftCell="E1" zoomScaleNormal="100" zoomScaleSheetLayoutView="89" workbookViewId="0">
      <selection activeCell="J51" sqref="J51"/>
    </sheetView>
  </sheetViews>
  <sheetFormatPr defaultColWidth="9.109375" defaultRowHeight="13.2" x14ac:dyDescent="0.25"/>
  <cols>
    <col min="1" max="1" width="51" style="206" customWidth="1"/>
    <col min="2" max="3" width="11.88671875" style="204" customWidth="1"/>
    <col min="4" max="9" width="13.33203125" style="204" customWidth="1"/>
    <col min="10" max="10" width="16.109375" style="204" customWidth="1"/>
    <col min="11" max="13" width="13.33203125" style="204" customWidth="1"/>
    <col min="14" max="14" width="14.109375" style="204" customWidth="1"/>
    <col min="15" max="15" width="11.5546875" style="455" customWidth="1"/>
    <col min="16" max="16384" width="9.109375" style="204"/>
  </cols>
  <sheetData>
    <row r="1" spans="1:16" ht="15" x14ac:dyDescent="0.25">
      <c r="A1" s="74"/>
      <c r="B1" s="75"/>
      <c r="C1" s="75"/>
      <c r="D1" s="75"/>
      <c r="E1" s="75"/>
      <c r="F1" s="75"/>
      <c r="G1" s="75"/>
      <c r="H1" s="75"/>
      <c r="I1" s="75"/>
      <c r="J1" s="75"/>
      <c r="K1" s="75"/>
      <c r="L1" s="75"/>
      <c r="M1" s="75"/>
      <c r="N1" s="75"/>
    </row>
    <row r="2" spans="1:16" ht="15" x14ac:dyDescent="0.25">
      <c r="A2" s="76"/>
      <c r="B2" s="75"/>
      <c r="C2" s="75"/>
      <c r="D2" s="75"/>
      <c r="E2" s="75"/>
      <c r="F2" s="75"/>
      <c r="G2" s="75"/>
      <c r="H2" s="75"/>
      <c r="I2" s="75"/>
      <c r="J2" s="75"/>
      <c r="K2" s="75"/>
      <c r="L2" s="75"/>
      <c r="M2" s="1674"/>
      <c r="N2" s="1674"/>
    </row>
    <row r="3" spans="1:16" ht="15.75" customHeight="1" x14ac:dyDescent="0.3">
      <c r="A3" s="1675" t="s">
        <v>529</v>
      </c>
      <c r="B3" s="1675"/>
      <c r="C3" s="1675"/>
      <c r="D3" s="1675"/>
      <c r="E3" s="1675"/>
      <c r="F3" s="1675"/>
      <c r="G3" s="1675"/>
      <c r="H3" s="1675"/>
      <c r="I3" s="1675"/>
      <c r="J3" s="1675"/>
      <c r="K3" s="1675"/>
      <c r="L3" s="1675"/>
      <c r="M3" s="1675"/>
      <c r="N3" s="1675"/>
    </row>
    <row r="4" spans="1:16" ht="15" x14ac:dyDescent="0.25">
      <c r="A4" s="74"/>
      <c r="B4" s="75"/>
      <c r="C4" s="75"/>
      <c r="D4" s="75"/>
      <c r="E4" s="75"/>
      <c r="F4" s="75"/>
      <c r="G4" s="75"/>
      <c r="H4" s="75"/>
      <c r="I4" s="75"/>
      <c r="J4" s="75"/>
      <c r="K4" s="75"/>
      <c r="L4" s="75"/>
      <c r="M4" s="75"/>
      <c r="N4" s="77"/>
    </row>
    <row r="5" spans="1:16" ht="15" x14ac:dyDescent="0.25">
      <c r="A5" s="78" t="s">
        <v>891</v>
      </c>
      <c r="B5" s="78" t="s">
        <v>266</v>
      </c>
      <c r="C5" s="78" t="s">
        <v>267</v>
      </c>
      <c r="D5" s="78" t="s">
        <v>268</v>
      </c>
      <c r="E5" s="78" t="s">
        <v>269</v>
      </c>
      <c r="F5" s="78" t="s">
        <v>270</v>
      </c>
      <c r="G5" s="78" t="s">
        <v>271</v>
      </c>
      <c r="H5" s="78" t="s">
        <v>272</v>
      </c>
      <c r="I5" s="78" t="s">
        <v>273</v>
      </c>
      <c r="J5" s="78" t="s">
        <v>274</v>
      </c>
      <c r="K5" s="78" t="s">
        <v>275</v>
      </c>
      <c r="L5" s="78" t="s">
        <v>276</v>
      </c>
      <c r="M5" s="78" t="s">
        <v>277</v>
      </c>
      <c r="N5" s="78" t="s">
        <v>888</v>
      </c>
    </row>
    <row r="6" spans="1:16" ht="15.6" x14ac:dyDescent="0.3">
      <c r="A6" s="79" t="s">
        <v>278</v>
      </c>
      <c r="B6" s="80">
        <v>1068961</v>
      </c>
      <c r="C6" s="80">
        <f t="shared" ref="C6:M6" si="0">B49</f>
        <v>1246588</v>
      </c>
      <c r="D6" s="80">
        <f t="shared" si="0"/>
        <v>1151322</v>
      </c>
      <c r="E6" s="80">
        <f t="shared" si="0"/>
        <v>1352852</v>
      </c>
      <c r="F6" s="80">
        <f t="shared" si="0"/>
        <v>786832</v>
      </c>
      <c r="G6" s="80">
        <f t="shared" si="0"/>
        <v>753835</v>
      </c>
      <c r="H6" s="80">
        <f t="shared" si="0"/>
        <v>18045</v>
      </c>
      <c r="I6" s="80">
        <f t="shared" si="0"/>
        <v>24385</v>
      </c>
      <c r="J6" s="80">
        <f t="shared" si="0"/>
        <v>104468</v>
      </c>
      <c r="K6" s="80">
        <f t="shared" si="0"/>
        <v>623552</v>
      </c>
      <c r="L6" s="80">
        <f t="shared" si="0"/>
        <v>110748</v>
      </c>
      <c r="M6" s="80">
        <f t="shared" si="0"/>
        <v>242237</v>
      </c>
      <c r="N6" s="80">
        <v>1068961</v>
      </c>
    </row>
    <row r="7" spans="1:16" ht="15.6" x14ac:dyDescent="0.3">
      <c r="A7" s="81" t="s">
        <v>695</v>
      </c>
      <c r="B7" s="82"/>
      <c r="C7" s="82"/>
      <c r="D7" s="82"/>
      <c r="E7" s="82"/>
      <c r="F7" s="82"/>
      <c r="G7" s="82"/>
      <c r="H7" s="82"/>
      <c r="I7" s="82"/>
      <c r="J7" s="82"/>
      <c r="K7" s="82"/>
      <c r="L7" s="82"/>
      <c r="M7" s="82"/>
      <c r="N7" s="82"/>
    </row>
    <row r="8" spans="1:16" ht="15" x14ac:dyDescent="0.25">
      <c r="A8" s="83" t="s">
        <v>279</v>
      </c>
      <c r="B8" s="84">
        <v>134907</v>
      </c>
      <c r="C8" s="84">
        <v>88412</v>
      </c>
      <c r="D8" s="84">
        <v>92218</v>
      </c>
      <c r="E8" s="84">
        <v>92215</v>
      </c>
      <c r="F8" s="84">
        <v>86846</v>
      </c>
      <c r="G8" s="84">
        <v>88019</v>
      </c>
      <c r="H8" s="84">
        <v>91481</v>
      </c>
      <c r="I8" s="84">
        <v>153678</v>
      </c>
      <c r="J8" s="84">
        <v>95274</v>
      </c>
      <c r="K8" s="84">
        <v>92593</v>
      </c>
      <c r="L8" s="84">
        <v>87790</v>
      </c>
      <c r="M8" s="84">
        <v>141048</v>
      </c>
      <c r="N8" s="84">
        <f>SUM(B8:M8)</f>
        <v>1244481</v>
      </c>
      <c r="O8" s="1011">
        <f>'8a. sz. tábla  (4)'!C7</f>
        <v>1244481</v>
      </c>
    </row>
    <row r="9" spans="1:16" ht="15" x14ac:dyDescent="0.25">
      <c r="A9" s="85" t="s">
        <v>280</v>
      </c>
      <c r="B9" s="86">
        <v>20000</v>
      </c>
      <c r="C9" s="86">
        <v>12000</v>
      </c>
      <c r="D9" s="86">
        <v>449767</v>
      </c>
      <c r="E9" s="86">
        <v>11912</v>
      </c>
      <c r="F9" s="86">
        <v>62761</v>
      </c>
      <c r="G9" s="86">
        <v>4000</v>
      </c>
      <c r="H9" s="86">
        <v>77200</v>
      </c>
      <c r="I9" s="86">
        <v>119300</v>
      </c>
      <c r="J9" s="86">
        <v>580000</v>
      </c>
      <c r="K9" s="86">
        <v>55000</v>
      </c>
      <c r="L9" s="86">
        <v>55000</v>
      </c>
      <c r="M9" s="86">
        <v>159260</v>
      </c>
      <c r="N9" s="86">
        <f>SUM(B9:M9)</f>
        <v>1606200</v>
      </c>
      <c r="O9" s="1011">
        <f>'8a. sz. tábla  (4)'!C8</f>
        <v>1606200</v>
      </c>
    </row>
    <row r="10" spans="1:16" ht="15" x14ac:dyDescent="0.25">
      <c r="A10" s="85" t="s">
        <v>234</v>
      </c>
      <c r="B10" s="86">
        <v>57828</v>
      </c>
      <c r="C10" s="86">
        <v>26428</v>
      </c>
      <c r="D10" s="86">
        <v>31473</v>
      </c>
      <c r="E10" s="86">
        <v>36454</v>
      </c>
      <c r="F10" s="86">
        <v>44351</v>
      </c>
      <c r="G10" s="86">
        <v>74908</v>
      </c>
      <c r="H10" s="86">
        <v>78135</v>
      </c>
      <c r="I10" s="86">
        <v>167417</v>
      </c>
      <c r="J10" s="86">
        <v>135360</v>
      </c>
      <c r="K10" s="86">
        <v>33506</v>
      </c>
      <c r="L10" s="86">
        <v>7662</v>
      </c>
      <c r="M10" s="86">
        <v>12267</v>
      </c>
      <c r="N10" s="86">
        <f t="shared" ref="N10:N16" si="1">SUM(B10:M10)</f>
        <v>705789</v>
      </c>
      <c r="O10" s="1011">
        <f>'8a. sz. tábla  (4)'!C9</f>
        <v>705789</v>
      </c>
    </row>
    <row r="11" spans="1:16" ht="15" x14ac:dyDescent="0.25">
      <c r="A11" s="454" t="s">
        <v>455</v>
      </c>
      <c r="B11" s="86">
        <v>239</v>
      </c>
      <c r="C11" s="86">
        <v>127</v>
      </c>
      <c r="D11" s="86">
        <v>127</v>
      </c>
      <c r="E11" s="86">
        <v>627</v>
      </c>
      <c r="F11" s="86">
        <v>3627</v>
      </c>
      <c r="G11" s="86">
        <v>127</v>
      </c>
      <c r="H11" s="86">
        <v>552</v>
      </c>
      <c r="I11" s="86">
        <v>727</v>
      </c>
      <c r="J11" s="86">
        <v>127</v>
      </c>
      <c r="K11" s="86">
        <v>127</v>
      </c>
      <c r="L11" s="86">
        <v>0</v>
      </c>
      <c r="M11" s="86">
        <v>0</v>
      </c>
      <c r="N11" s="86">
        <f t="shared" si="1"/>
        <v>6407</v>
      </c>
      <c r="O11" s="1012">
        <f>'8a. sz. tábla  (4)'!C10</f>
        <v>6407</v>
      </c>
      <c r="P11" s="1017">
        <f>SUM(O8:O11)</f>
        <v>3562877</v>
      </c>
    </row>
    <row r="12" spans="1:16" ht="15" customHeight="1" x14ac:dyDescent="0.3">
      <c r="A12" s="87" t="s">
        <v>282</v>
      </c>
      <c r="B12" s="86"/>
      <c r="C12" s="86"/>
      <c r="D12" s="86"/>
      <c r="E12" s="86"/>
      <c r="F12" s="86"/>
      <c r="G12" s="86"/>
      <c r="H12" s="86"/>
      <c r="I12" s="86"/>
      <c r="J12" s="86"/>
      <c r="K12" s="86"/>
      <c r="L12" s="86"/>
      <c r="M12" s="86"/>
      <c r="N12" s="86">
        <f t="shared" si="1"/>
        <v>0</v>
      </c>
    </row>
    <row r="13" spans="1:16" ht="15" customHeight="1" x14ac:dyDescent="0.25">
      <c r="A13" s="83" t="s">
        <v>279</v>
      </c>
      <c r="B13" s="86">
        <v>228</v>
      </c>
      <c r="C13" s="86">
        <v>0</v>
      </c>
      <c r="D13" s="86">
        <v>3903</v>
      </c>
      <c r="E13" s="86">
        <v>1530</v>
      </c>
      <c r="F13" s="86">
        <v>1301</v>
      </c>
      <c r="G13" s="86">
        <v>1301</v>
      </c>
      <c r="H13" s="86">
        <v>2341</v>
      </c>
      <c r="I13" s="86">
        <v>1436</v>
      </c>
      <c r="J13" s="86">
        <v>1868</v>
      </c>
      <c r="K13" s="86">
        <v>3922</v>
      </c>
      <c r="L13" s="86">
        <v>1436</v>
      </c>
      <c r="M13" s="86">
        <v>3466</v>
      </c>
      <c r="N13" s="86">
        <f t="shared" si="1"/>
        <v>22732</v>
      </c>
      <c r="O13" s="1019">
        <f>'2.a tábla ÚJ '!AY12</f>
        <v>22732</v>
      </c>
    </row>
    <row r="14" spans="1:16" ht="15" customHeight="1" x14ac:dyDescent="0.25">
      <c r="A14" s="85" t="s">
        <v>280</v>
      </c>
      <c r="B14" s="86"/>
      <c r="C14" s="86">
        <v>50</v>
      </c>
      <c r="D14" s="86"/>
      <c r="E14" s="86"/>
      <c r="F14" s="86">
        <v>150</v>
      </c>
      <c r="G14" s="86"/>
      <c r="H14" s="86"/>
      <c r="I14" s="86">
        <v>150</v>
      </c>
      <c r="J14" s="86"/>
      <c r="K14" s="86"/>
      <c r="L14" s="86">
        <v>150</v>
      </c>
      <c r="M14" s="86"/>
      <c r="N14" s="86">
        <f t="shared" si="1"/>
        <v>500</v>
      </c>
      <c r="O14" s="455">
        <f>'2.a tábla ÚJ '!AY17</f>
        <v>500</v>
      </c>
    </row>
    <row r="15" spans="1:16" ht="15" customHeight="1" x14ac:dyDescent="0.25">
      <c r="A15" s="85" t="s">
        <v>234</v>
      </c>
      <c r="B15" s="86">
        <v>724</v>
      </c>
      <c r="C15" s="86">
        <v>1273</v>
      </c>
      <c r="D15" s="86">
        <v>1375</v>
      </c>
      <c r="E15" s="86">
        <v>1817</v>
      </c>
      <c r="F15" s="86">
        <v>4091</v>
      </c>
      <c r="G15" s="86">
        <v>2113</v>
      </c>
      <c r="H15" s="86">
        <v>2121</v>
      </c>
      <c r="I15" s="86">
        <v>1946</v>
      </c>
      <c r="J15" s="86">
        <v>931</v>
      </c>
      <c r="K15" s="86">
        <v>1309</v>
      </c>
      <c r="L15" s="86">
        <v>864</v>
      </c>
      <c r="M15" s="86">
        <v>587</v>
      </c>
      <c r="N15" s="86">
        <f t="shared" si="1"/>
        <v>19151</v>
      </c>
      <c r="O15" s="1013">
        <f>'2.a tábla ÚJ '!AY21</f>
        <v>19151</v>
      </c>
    </row>
    <row r="16" spans="1:16" ht="18" x14ac:dyDescent="0.35">
      <c r="A16" s="428" t="s">
        <v>697</v>
      </c>
      <c r="B16" s="86"/>
      <c r="C16" s="86"/>
      <c r="D16" s="86"/>
      <c r="E16" s="86"/>
      <c r="F16" s="86"/>
      <c r="G16" s="86"/>
      <c r="H16" s="86"/>
      <c r="I16" s="86"/>
      <c r="J16" s="86"/>
      <c r="K16" s="86"/>
      <c r="L16" s="86"/>
      <c r="M16" s="86"/>
      <c r="N16" s="86">
        <f t="shared" si="1"/>
        <v>0</v>
      </c>
    </row>
    <row r="17" spans="1:16" s="730" customFormat="1" ht="15" x14ac:dyDescent="0.25">
      <c r="A17" s="728" t="s">
        <v>279</v>
      </c>
      <c r="B17" s="729">
        <v>7500</v>
      </c>
      <c r="C17" s="729">
        <v>7761</v>
      </c>
      <c r="D17" s="729">
        <v>7715</v>
      </c>
      <c r="E17" s="729">
        <v>8641</v>
      </c>
      <c r="F17" s="729">
        <v>7735</v>
      </c>
      <c r="G17" s="729">
        <v>7769</v>
      </c>
      <c r="H17" s="729">
        <v>7770</v>
      </c>
      <c r="I17" s="729">
        <v>7770</v>
      </c>
      <c r="J17" s="729">
        <v>9978</v>
      </c>
      <c r="K17" s="729">
        <v>8700</v>
      </c>
      <c r="L17" s="729">
        <v>8501</v>
      </c>
      <c r="M17" s="729">
        <v>8261</v>
      </c>
      <c r="N17" s="729">
        <f>SUM(B17:M17)</f>
        <v>98101</v>
      </c>
      <c r="O17" s="1015">
        <f>'2.a tábla ÚJ '!AT12</f>
        <v>98101</v>
      </c>
    </row>
    <row r="18" spans="1:16" s="730" customFormat="1" ht="15" x14ac:dyDescent="0.25">
      <c r="A18" s="731" t="s">
        <v>234</v>
      </c>
      <c r="B18" s="729">
        <v>7985</v>
      </c>
      <c r="C18" s="729">
        <v>8916</v>
      </c>
      <c r="D18" s="729">
        <v>11208</v>
      </c>
      <c r="E18" s="729">
        <v>7985</v>
      </c>
      <c r="F18" s="729">
        <v>10781</v>
      </c>
      <c r="G18" s="729">
        <v>8195</v>
      </c>
      <c r="H18" s="729">
        <v>3785</v>
      </c>
      <c r="I18" s="729">
        <v>4614</v>
      </c>
      <c r="J18" s="729">
        <v>9882</v>
      </c>
      <c r="K18" s="729">
        <v>9310</v>
      </c>
      <c r="L18" s="729">
        <v>9034</v>
      </c>
      <c r="M18" s="729">
        <v>11188</v>
      </c>
      <c r="N18" s="729">
        <f>SUM(B18:M18)</f>
        <v>102883</v>
      </c>
      <c r="O18" s="1015">
        <f>'2.a tábla ÚJ '!AT21</f>
        <v>102883</v>
      </c>
    </row>
    <row r="19" spans="1:16" s="730" customFormat="1" ht="15" x14ac:dyDescent="0.25">
      <c r="A19" s="731" t="s">
        <v>281</v>
      </c>
      <c r="B19" s="729"/>
      <c r="C19" s="729"/>
      <c r="D19" s="729"/>
      <c r="E19" s="729"/>
      <c r="F19" s="729"/>
      <c r="G19" s="729"/>
      <c r="H19" s="729"/>
      <c r="I19" s="729"/>
      <c r="J19" s="729"/>
      <c r="K19" s="729"/>
      <c r="L19" s="729"/>
      <c r="M19" s="729"/>
      <c r="N19" s="729">
        <f>SUM(B19:M19)</f>
        <v>0</v>
      </c>
      <c r="O19" s="1015"/>
    </row>
    <row r="20" spans="1:16" ht="15.6" x14ac:dyDescent="0.3">
      <c r="A20" s="87" t="s">
        <v>283</v>
      </c>
      <c r="B20" s="88">
        <f>SUM(B8:B19)</f>
        <v>229411</v>
      </c>
      <c r="C20" s="88">
        <f t="shared" ref="C20:M20" si="2">SUM(C8:C19)</f>
        <v>144967</v>
      </c>
      <c r="D20" s="88">
        <f t="shared" si="2"/>
        <v>597786</v>
      </c>
      <c r="E20" s="88">
        <f t="shared" si="2"/>
        <v>161181</v>
      </c>
      <c r="F20" s="88">
        <f t="shared" si="2"/>
        <v>221643</v>
      </c>
      <c r="G20" s="88">
        <f t="shared" si="2"/>
        <v>186432</v>
      </c>
      <c r="H20" s="88">
        <f t="shared" si="2"/>
        <v>263385</v>
      </c>
      <c r="I20" s="88">
        <f t="shared" si="2"/>
        <v>457038</v>
      </c>
      <c r="J20" s="88">
        <f t="shared" si="2"/>
        <v>833420</v>
      </c>
      <c r="K20" s="88">
        <f t="shared" si="2"/>
        <v>204467</v>
      </c>
      <c r="L20" s="88">
        <f t="shared" si="2"/>
        <v>170437</v>
      </c>
      <c r="M20" s="88">
        <f t="shared" si="2"/>
        <v>336077</v>
      </c>
      <c r="N20" s="88">
        <f>SUM(N8:N19)</f>
        <v>3806244</v>
      </c>
      <c r="O20" s="1012">
        <f>SUM(O8:O19)</f>
        <v>3806244</v>
      </c>
    </row>
    <row r="21" spans="1:16" ht="15" x14ac:dyDescent="0.25">
      <c r="A21" s="83" t="s">
        <v>284</v>
      </c>
      <c r="B21" s="86">
        <v>823</v>
      </c>
      <c r="C21" s="86">
        <v>10165</v>
      </c>
      <c r="D21" s="86">
        <v>272000</v>
      </c>
      <c r="E21" s="86">
        <v>0</v>
      </c>
      <c r="F21" s="86">
        <v>0</v>
      </c>
      <c r="G21" s="86">
        <v>0</v>
      </c>
      <c r="H21" s="86">
        <v>50000</v>
      </c>
      <c r="I21" s="86">
        <v>1600</v>
      </c>
      <c r="J21" s="86">
        <v>150000</v>
      </c>
      <c r="K21" s="86">
        <v>1908</v>
      </c>
      <c r="L21" s="86">
        <v>1397</v>
      </c>
      <c r="M21" s="86">
        <v>1059277</v>
      </c>
      <c r="N21" s="86">
        <f>SUM(B21:M21)</f>
        <v>1547170</v>
      </c>
      <c r="O21" s="1012">
        <f>'8a. sz. tábla  (4)'!C30</f>
        <v>1547170</v>
      </c>
    </row>
    <row r="22" spans="1:16" s="730" customFormat="1" ht="15" x14ac:dyDescent="0.25">
      <c r="A22" s="731" t="s">
        <v>285</v>
      </c>
      <c r="B22" s="729">
        <v>0</v>
      </c>
      <c r="C22" s="729">
        <v>0</v>
      </c>
      <c r="D22" s="729">
        <v>0</v>
      </c>
      <c r="E22" s="729">
        <v>0</v>
      </c>
      <c r="F22" s="729">
        <v>0</v>
      </c>
      <c r="G22" s="729">
        <v>1575</v>
      </c>
      <c r="H22" s="729">
        <v>0</v>
      </c>
      <c r="I22" s="729">
        <v>351</v>
      </c>
      <c r="J22" s="729">
        <v>578120</v>
      </c>
      <c r="K22" s="729">
        <v>48723</v>
      </c>
      <c r="L22" s="729">
        <v>47500</v>
      </c>
      <c r="M22" s="729">
        <v>112100</v>
      </c>
      <c r="N22" s="729">
        <f>SUM(B22:M22)</f>
        <v>788369</v>
      </c>
      <c r="O22" s="1014">
        <v>788369</v>
      </c>
    </row>
    <row r="23" spans="1:16" ht="15" x14ac:dyDescent="0.25">
      <c r="A23" s="85" t="s">
        <v>286</v>
      </c>
      <c r="B23" s="86">
        <v>1744</v>
      </c>
      <c r="C23" s="86">
        <v>2188</v>
      </c>
      <c r="D23" s="86">
        <v>1328</v>
      </c>
      <c r="E23" s="86">
        <v>51746</v>
      </c>
      <c r="F23" s="86">
        <v>1328</v>
      </c>
      <c r="G23" s="86">
        <v>1328</v>
      </c>
      <c r="H23" s="86">
        <v>1745</v>
      </c>
      <c r="I23" s="86">
        <v>26328</v>
      </c>
      <c r="J23" s="86">
        <v>1329</v>
      </c>
      <c r="K23" s="86">
        <v>1745</v>
      </c>
      <c r="L23" s="86">
        <v>1328</v>
      </c>
      <c r="M23" s="86">
        <v>8736</v>
      </c>
      <c r="N23" s="86">
        <f>SUM(B23:M23)</f>
        <v>100873</v>
      </c>
      <c r="O23" s="1018">
        <f>'8a. sz. tábla  (4)'!C32</f>
        <v>100873</v>
      </c>
      <c r="P23" s="1017">
        <f>SUM(O20:O23)</f>
        <v>6242656</v>
      </c>
    </row>
    <row r="24" spans="1:16" s="214" customFormat="1" ht="15.6" x14ac:dyDescent="0.3">
      <c r="A24" s="87" t="s">
        <v>287</v>
      </c>
      <c r="B24" s="88"/>
      <c r="C24" s="88"/>
      <c r="D24" s="88"/>
      <c r="E24" s="88"/>
      <c r="F24" s="88"/>
      <c r="G24" s="88"/>
      <c r="H24" s="88"/>
      <c r="I24" s="88"/>
      <c r="J24" s="88"/>
      <c r="K24" s="88"/>
      <c r="L24" s="88"/>
      <c r="M24" s="88"/>
      <c r="N24" s="88">
        <f>SUM(B24:M24)</f>
        <v>0</v>
      </c>
    </row>
    <row r="25" spans="1:16" s="735" customFormat="1" ht="15.6" x14ac:dyDescent="0.3">
      <c r="A25" s="733" t="s">
        <v>288</v>
      </c>
      <c r="B25" s="734"/>
      <c r="C25" s="734"/>
      <c r="D25" s="734"/>
      <c r="E25" s="734"/>
      <c r="F25" s="734"/>
      <c r="G25" s="734"/>
      <c r="H25" s="734"/>
      <c r="I25" s="734"/>
      <c r="J25" s="734"/>
      <c r="K25" s="734">
        <v>246</v>
      </c>
      <c r="L25" s="734"/>
      <c r="M25" s="734"/>
      <c r="N25" s="734">
        <f>SUM(B25:M25)</f>
        <v>246</v>
      </c>
      <c r="O25" s="1313">
        <f>'8a. sz. tábla  (4)'!B30</f>
        <v>246</v>
      </c>
    </row>
    <row r="26" spans="1:16" ht="15.6" x14ac:dyDescent="0.3">
      <c r="A26" s="87" t="s">
        <v>289</v>
      </c>
      <c r="B26" s="88">
        <f>SUM(B21:B25)</f>
        <v>2567</v>
      </c>
      <c r="C26" s="88">
        <f t="shared" ref="C26:M26" si="3">SUM(C21:C25)</f>
        <v>12353</v>
      </c>
      <c r="D26" s="88">
        <f t="shared" si="3"/>
        <v>273328</v>
      </c>
      <c r="E26" s="88">
        <f t="shared" si="3"/>
        <v>51746</v>
      </c>
      <c r="F26" s="88">
        <f t="shared" si="3"/>
        <v>1328</v>
      </c>
      <c r="G26" s="88">
        <f t="shared" si="3"/>
        <v>2903</v>
      </c>
      <c r="H26" s="88">
        <f t="shared" si="3"/>
        <v>51745</v>
      </c>
      <c r="I26" s="88">
        <f t="shared" si="3"/>
        <v>28279</v>
      </c>
      <c r="J26" s="88">
        <f t="shared" si="3"/>
        <v>729449</v>
      </c>
      <c r="K26" s="88">
        <f t="shared" si="3"/>
        <v>52622</v>
      </c>
      <c r="L26" s="88">
        <f t="shared" si="3"/>
        <v>50225</v>
      </c>
      <c r="M26" s="88">
        <f t="shared" si="3"/>
        <v>1180113</v>
      </c>
      <c r="N26" s="88">
        <f>SUM(N21:N25)</f>
        <v>2436658</v>
      </c>
      <c r="O26" s="1012">
        <f>SUM(O21:O25)</f>
        <v>2436658</v>
      </c>
    </row>
    <row r="27" spans="1:16" ht="15.6" x14ac:dyDescent="0.3">
      <c r="A27" s="89" t="s">
        <v>689</v>
      </c>
      <c r="B27" s="86">
        <f>B20+B26</f>
        <v>231978</v>
      </c>
      <c r="C27" s="86">
        <f t="shared" ref="C27:M27" si="4">C20+C26</f>
        <v>157320</v>
      </c>
      <c r="D27" s="86">
        <f t="shared" si="4"/>
        <v>871114</v>
      </c>
      <c r="E27" s="86">
        <f t="shared" si="4"/>
        <v>212927</v>
      </c>
      <c r="F27" s="86">
        <f t="shared" si="4"/>
        <v>222971</v>
      </c>
      <c r="G27" s="86">
        <f t="shared" si="4"/>
        <v>189335</v>
      </c>
      <c r="H27" s="86">
        <f t="shared" si="4"/>
        <v>315130</v>
      </c>
      <c r="I27" s="86">
        <f t="shared" si="4"/>
        <v>485317</v>
      </c>
      <c r="J27" s="86">
        <f t="shared" si="4"/>
        <v>1562869</v>
      </c>
      <c r="K27" s="86">
        <f t="shared" si="4"/>
        <v>257089</v>
      </c>
      <c r="L27" s="86">
        <f t="shared" si="4"/>
        <v>220662</v>
      </c>
      <c r="M27" s="86">
        <f t="shared" si="4"/>
        <v>1516190</v>
      </c>
      <c r="N27" s="90">
        <f>N20+N26</f>
        <v>6242902</v>
      </c>
      <c r="O27" s="1012">
        <f>SUM(B27:M27)</f>
        <v>6242902</v>
      </c>
    </row>
    <row r="28" spans="1:16" s="455" customFormat="1" ht="45" x14ac:dyDescent="0.25">
      <c r="A28" s="85" t="s">
        <v>456</v>
      </c>
      <c r="B28" s="98">
        <v>1000</v>
      </c>
      <c r="C28" s="98">
        <v>1000</v>
      </c>
      <c r="D28" s="98">
        <v>1100</v>
      </c>
      <c r="E28" s="98">
        <v>1100</v>
      </c>
      <c r="F28" s="98">
        <v>1000</v>
      </c>
      <c r="G28" s="98">
        <v>1000</v>
      </c>
      <c r="H28" s="98">
        <v>1000</v>
      </c>
      <c r="I28" s="98">
        <v>1000</v>
      </c>
      <c r="J28" s="98">
        <v>201000</v>
      </c>
      <c r="K28" s="98">
        <v>1000</v>
      </c>
      <c r="L28" s="98">
        <v>451000</v>
      </c>
      <c r="M28" s="86">
        <v>32148</v>
      </c>
      <c r="N28" s="86">
        <f>SUM(B28:M28)</f>
        <v>693348</v>
      </c>
      <c r="O28" s="1012">
        <f>'2.sz.tábla   (2)'!D77</f>
        <v>693348</v>
      </c>
    </row>
    <row r="29" spans="1:16" ht="15" x14ac:dyDescent="0.25">
      <c r="A29" s="85" t="s">
        <v>290</v>
      </c>
      <c r="B29" s="86">
        <v>93873</v>
      </c>
      <c r="C29" s="86">
        <v>62776</v>
      </c>
      <c r="D29" s="86">
        <v>50995</v>
      </c>
      <c r="E29" s="86">
        <v>108112</v>
      </c>
      <c r="F29" s="86">
        <v>54785</v>
      </c>
      <c r="G29" s="86">
        <v>5166</v>
      </c>
      <c r="H29" s="86">
        <v>20661</v>
      </c>
      <c r="I29" s="86">
        <v>1986</v>
      </c>
      <c r="J29" s="86">
        <v>30480</v>
      </c>
      <c r="K29" s="86">
        <v>30955</v>
      </c>
      <c r="L29" s="86">
        <v>0</v>
      </c>
      <c r="M29" s="86">
        <v>392516</v>
      </c>
      <c r="N29" s="86">
        <f>SUM(B29:M29)</f>
        <v>852305</v>
      </c>
      <c r="O29" s="1013">
        <f>'2.sz.tábla   (2)'!D74</f>
        <v>852305</v>
      </c>
    </row>
    <row r="30" spans="1:16" ht="15" x14ac:dyDescent="0.25">
      <c r="A30" s="85" t="s">
        <v>291</v>
      </c>
      <c r="B30" s="86">
        <v>2238</v>
      </c>
      <c r="C30" s="86">
        <v>0</v>
      </c>
      <c r="D30" s="86">
        <v>0</v>
      </c>
      <c r="E30" s="86">
        <v>0</v>
      </c>
      <c r="F30" s="86">
        <v>2415</v>
      </c>
      <c r="G30" s="86">
        <v>11975</v>
      </c>
      <c r="H30" s="86">
        <v>613</v>
      </c>
      <c r="I30" s="86">
        <v>613</v>
      </c>
      <c r="J30" s="86">
        <v>613</v>
      </c>
      <c r="K30" s="86">
        <v>613</v>
      </c>
      <c r="L30" s="86">
        <v>613</v>
      </c>
      <c r="M30" s="86">
        <v>612</v>
      </c>
      <c r="N30" s="86">
        <f>SUM(B30:M30)</f>
        <v>20305</v>
      </c>
    </row>
    <row r="31" spans="1:16" s="730" customFormat="1" ht="15" x14ac:dyDescent="0.25">
      <c r="A31" s="731" t="s">
        <v>292</v>
      </c>
      <c r="B31" s="729">
        <v>2180</v>
      </c>
      <c r="C31" s="729">
        <v>400</v>
      </c>
      <c r="D31" s="729">
        <v>1100</v>
      </c>
      <c r="E31" s="729">
        <v>1000</v>
      </c>
      <c r="F31" s="729">
        <v>1000</v>
      </c>
      <c r="G31" s="729">
        <v>5590</v>
      </c>
      <c r="H31" s="729">
        <v>3375</v>
      </c>
      <c r="I31" s="729">
        <v>3204</v>
      </c>
      <c r="J31" s="729">
        <v>3204</v>
      </c>
      <c r="K31" s="729">
        <v>3582</v>
      </c>
      <c r="L31" s="729">
        <v>3435</v>
      </c>
      <c r="M31" s="729">
        <v>2206</v>
      </c>
      <c r="N31" s="729">
        <f>SUM(B31:M31)</f>
        <v>30276</v>
      </c>
      <c r="O31" s="1015">
        <f>SUM(N29:N31)</f>
        <v>902886</v>
      </c>
    </row>
    <row r="32" spans="1:16" ht="15.6" x14ac:dyDescent="0.3">
      <c r="A32" s="89" t="s">
        <v>693</v>
      </c>
      <c r="B32" s="90">
        <f t="shared" ref="B32:M32" si="5">SUM(B27:B31)</f>
        <v>331269</v>
      </c>
      <c r="C32" s="90">
        <f t="shared" si="5"/>
        <v>221496</v>
      </c>
      <c r="D32" s="90">
        <f t="shared" si="5"/>
        <v>924309</v>
      </c>
      <c r="E32" s="90">
        <f t="shared" si="5"/>
        <v>323139</v>
      </c>
      <c r="F32" s="90">
        <f t="shared" si="5"/>
        <v>282171</v>
      </c>
      <c r="G32" s="90">
        <f t="shared" si="5"/>
        <v>213066</v>
      </c>
      <c r="H32" s="90">
        <f t="shared" si="5"/>
        <v>340779</v>
      </c>
      <c r="I32" s="90">
        <f t="shared" si="5"/>
        <v>492120</v>
      </c>
      <c r="J32" s="90">
        <f t="shared" si="5"/>
        <v>1798166</v>
      </c>
      <c r="K32" s="90">
        <f t="shared" si="5"/>
        <v>293239</v>
      </c>
      <c r="L32" s="90">
        <f t="shared" si="5"/>
        <v>675710</v>
      </c>
      <c r="M32" s="90">
        <f t="shared" si="5"/>
        <v>1943672</v>
      </c>
      <c r="N32" s="90">
        <f>SUM(N27:N31)</f>
        <v>7839136</v>
      </c>
      <c r="O32" s="1012">
        <f>O31+O27+N28</f>
        <v>7839136</v>
      </c>
    </row>
    <row r="33" spans="1:16" ht="45" x14ac:dyDescent="0.25">
      <c r="A33" s="85" t="s">
        <v>293</v>
      </c>
      <c r="B33" s="86">
        <v>31543</v>
      </c>
      <c r="C33" s="86">
        <v>26406</v>
      </c>
      <c r="D33" s="86">
        <v>27253</v>
      </c>
      <c r="E33" s="86">
        <v>28642</v>
      </c>
      <c r="F33" s="86">
        <v>35048</v>
      </c>
      <c r="G33" s="86">
        <v>28626</v>
      </c>
      <c r="H33" s="86">
        <v>28113</v>
      </c>
      <c r="I33" s="86">
        <v>28351</v>
      </c>
      <c r="J33" s="86">
        <v>26599</v>
      </c>
      <c r="K33" s="86">
        <v>31570</v>
      </c>
      <c r="L33" s="86">
        <v>27746</v>
      </c>
      <c r="M33" s="86">
        <v>50459</v>
      </c>
      <c r="N33" s="86">
        <f t="shared" ref="N33:N38" si="6">SUM(B33:M33)</f>
        <v>370356</v>
      </c>
      <c r="O33" s="1011">
        <f>'5.tábla (2)'!D27</f>
        <v>370356</v>
      </c>
    </row>
    <row r="34" spans="1:16" ht="27.75" customHeight="1" x14ac:dyDescent="0.25">
      <c r="A34" s="85" t="s">
        <v>294</v>
      </c>
      <c r="B34" s="86">
        <v>49876</v>
      </c>
      <c r="C34" s="86">
        <v>94181</v>
      </c>
      <c r="D34" s="86">
        <v>85881</v>
      </c>
      <c r="E34" s="86">
        <v>56489</v>
      </c>
      <c r="F34" s="86">
        <v>60710</v>
      </c>
      <c r="G34" s="86">
        <v>90040</v>
      </c>
      <c r="H34" s="86">
        <v>81060</v>
      </c>
      <c r="I34" s="86">
        <v>123000</v>
      </c>
      <c r="J34" s="86">
        <v>96641</v>
      </c>
      <c r="K34" s="86">
        <v>109324</v>
      </c>
      <c r="L34" s="86">
        <v>47579</v>
      </c>
      <c r="M34" s="86">
        <v>131324</v>
      </c>
      <c r="N34" s="86">
        <f t="shared" si="6"/>
        <v>1026105</v>
      </c>
      <c r="O34" s="1011">
        <f>'5.tábla (2)'!D34+'5.tábla (2)'!D44+'5.tábla (2)'!D53</f>
        <v>1026105</v>
      </c>
    </row>
    <row r="35" spans="1:16" ht="15" customHeight="1" x14ac:dyDescent="0.25">
      <c r="A35" s="85" t="s">
        <v>295</v>
      </c>
      <c r="B35" s="86">
        <v>1941</v>
      </c>
      <c r="C35" s="86">
        <v>2775</v>
      </c>
      <c r="D35" s="86">
        <v>1809</v>
      </c>
      <c r="E35" s="86">
        <v>2805</v>
      </c>
      <c r="F35" s="86">
        <v>1850</v>
      </c>
      <c r="G35" s="86">
        <v>1825</v>
      </c>
      <c r="H35" s="86">
        <v>2850</v>
      </c>
      <c r="I35" s="86">
        <v>2850</v>
      </c>
      <c r="J35" s="86">
        <v>3436</v>
      </c>
      <c r="K35" s="86">
        <v>2042</v>
      </c>
      <c r="L35" s="86">
        <v>3059</v>
      </c>
      <c r="M35" s="86">
        <v>3012</v>
      </c>
      <c r="N35" s="86">
        <f t="shared" si="6"/>
        <v>30254</v>
      </c>
      <c r="O35" s="1011">
        <f>'5.tábla (2)'!D90</f>
        <v>30254</v>
      </c>
    </row>
    <row r="36" spans="1:16" ht="15" x14ac:dyDescent="0.25">
      <c r="A36" s="85" t="s">
        <v>296</v>
      </c>
      <c r="B36" s="86">
        <v>59305</v>
      </c>
      <c r="C36" s="86">
        <v>75480</v>
      </c>
      <c r="D36" s="86">
        <v>82630</v>
      </c>
      <c r="E36" s="86">
        <v>87170</v>
      </c>
      <c r="F36" s="86">
        <v>80813</v>
      </c>
      <c r="G36" s="86">
        <v>94273</v>
      </c>
      <c r="H36" s="86">
        <v>61402</v>
      </c>
      <c r="I36" s="86">
        <v>126922</v>
      </c>
      <c r="J36" s="86">
        <v>87986</v>
      </c>
      <c r="K36" s="86">
        <v>57465</v>
      </c>
      <c r="L36" s="86">
        <v>77480</v>
      </c>
      <c r="M36" s="86">
        <v>75997</v>
      </c>
      <c r="N36" s="86">
        <f t="shared" si="6"/>
        <v>966923</v>
      </c>
      <c r="O36" s="1016">
        <f>'5.tábla (2)'!D100</f>
        <v>966923</v>
      </c>
    </row>
    <row r="37" spans="1:16" s="730" customFormat="1" ht="15" x14ac:dyDescent="0.25">
      <c r="A37" s="731" t="s">
        <v>297</v>
      </c>
      <c r="B37" s="86">
        <v>41956</v>
      </c>
      <c r="C37" s="86">
        <v>41115</v>
      </c>
      <c r="D37" s="86">
        <v>41626</v>
      </c>
      <c r="E37" s="86">
        <v>42074</v>
      </c>
      <c r="F37" s="86">
        <v>38889</v>
      </c>
      <c r="G37" s="86">
        <v>38299</v>
      </c>
      <c r="H37" s="86">
        <v>32252</v>
      </c>
      <c r="I37" s="86">
        <v>31293</v>
      </c>
      <c r="J37" s="86">
        <v>42895</v>
      </c>
      <c r="K37" s="86">
        <v>41790</v>
      </c>
      <c r="L37" s="86">
        <v>45623</v>
      </c>
      <c r="M37" s="86">
        <v>40055</v>
      </c>
      <c r="N37" s="729">
        <f>SUM(B37:M37)</f>
        <v>477867</v>
      </c>
      <c r="O37" s="1015">
        <f>'4.sz.tábla '!AX13-'4.sz.tábla '!AC13</f>
        <v>477867</v>
      </c>
      <c r="P37" s="732">
        <f>SUM(O34:O36,O38)</f>
        <v>2116441</v>
      </c>
    </row>
    <row r="38" spans="1:16" ht="15" x14ac:dyDescent="0.25">
      <c r="A38" s="85" t="s">
        <v>298</v>
      </c>
      <c r="B38" s="86"/>
      <c r="C38" s="86"/>
      <c r="D38" s="86"/>
      <c r="E38" s="86"/>
      <c r="F38" s="86"/>
      <c r="G38" s="86"/>
      <c r="H38" s="86"/>
      <c r="I38" s="86"/>
      <c r="J38" s="86"/>
      <c r="K38" s="86"/>
      <c r="L38" s="86"/>
      <c r="M38" s="86">
        <v>93159</v>
      </c>
      <c r="N38" s="86">
        <f t="shared" si="6"/>
        <v>93159</v>
      </c>
      <c r="O38" s="1016">
        <f>'8. sz. tábla  (3)'!I16</f>
        <v>93159</v>
      </c>
      <c r="P38" s="205"/>
    </row>
    <row r="39" spans="1:16" ht="15.6" x14ac:dyDescent="0.3">
      <c r="A39" s="87" t="s">
        <v>299</v>
      </c>
      <c r="B39" s="88">
        <f t="shared" ref="B39:M39" si="7">SUM(B33:B38)</f>
        <v>184621</v>
      </c>
      <c r="C39" s="88">
        <f t="shared" si="7"/>
        <v>239957</v>
      </c>
      <c r="D39" s="88">
        <f t="shared" si="7"/>
        <v>239199</v>
      </c>
      <c r="E39" s="88">
        <f t="shared" si="7"/>
        <v>217180</v>
      </c>
      <c r="F39" s="88">
        <f t="shared" si="7"/>
        <v>217310</v>
      </c>
      <c r="G39" s="88">
        <f t="shared" si="7"/>
        <v>253063</v>
      </c>
      <c r="H39" s="88">
        <f t="shared" si="7"/>
        <v>205677</v>
      </c>
      <c r="I39" s="88">
        <f t="shared" si="7"/>
        <v>312416</v>
      </c>
      <c r="J39" s="88">
        <f t="shared" si="7"/>
        <v>257557</v>
      </c>
      <c r="K39" s="88">
        <f t="shared" si="7"/>
        <v>242191</v>
      </c>
      <c r="L39" s="88">
        <f t="shared" si="7"/>
        <v>201487</v>
      </c>
      <c r="M39" s="88">
        <f t="shared" si="7"/>
        <v>394006</v>
      </c>
      <c r="N39" s="88">
        <f>SUM(N33:N38)</f>
        <v>2964664</v>
      </c>
      <c r="O39" s="1012">
        <f>SUM(O33:O38)</f>
        <v>2964664</v>
      </c>
      <c r="P39" s="205">
        <f>SUM(O33:O38)</f>
        <v>2964664</v>
      </c>
    </row>
    <row r="40" spans="1:16" ht="15" x14ac:dyDescent="0.25">
      <c r="A40" s="85" t="s">
        <v>300</v>
      </c>
      <c r="B40" s="86">
        <v>18285</v>
      </c>
      <c r="C40" s="86">
        <v>19727</v>
      </c>
      <c r="D40" s="86">
        <v>114442</v>
      </c>
      <c r="E40" s="86">
        <v>19331</v>
      </c>
      <c r="F40" s="86">
        <v>54727</v>
      </c>
      <c r="G40" s="86">
        <v>232839</v>
      </c>
      <c r="H40" s="86">
        <v>127871</v>
      </c>
      <c r="I40" s="86">
        <v>52241</v>
      </c>
      <c r="J40" s="86">
        <v>147679</v>
      </c>
      <c r="K40" s="86">
        <v>205705</v>
      </c>
      <c r="L40" s="86">
        <v>147386</v>
      </c>
      <c r="M40" s="86">
        <v>669635</v>
      </c>
      <c r="N40" s="86">
        <f>SUM(B40:M40)</f>
        <v>1809868</v>
      </c>
      <c r="O40" s="1016">
        <f>'7. sz. tábla 1'!D109</f>
        <v>1809868</v>
      </c>
    </row>
    <row r="41" spans="1:16" ht="15" x14ac:dyDescent="0.25">
      <c r="A41" s="85" t="s">
        <v>301</v>
      </c>
      <c r="B41" s="86">
        <v>0</v>
      </c>
      <c r="C41" s="86">
        <v>35958</v>
      </c>
      <c r="D41" s="86">
        <v>1393</v>
      </c>
      <c r="E41" s="86">
        <v>0</v>
      </c>
      <c r="F41" s="86">
        <v>2198</v>
      </c>
      <c r="G41" s="86">
        <v>0</v>
      </c>
      <c r="H41" s="86">
        <v>0</v>
      </c>
      <c r="I41" s="86">
        <v>1500</v>
      </c>
      <c r="J41" s="86">
        <v>1600</v>
      </c>
      <c r="K41" s="86">
        <v>0</v>
      </c>
      <c r="L41" s="86">
        <v>0</v>
      </c>
      <c r="M41" s="86">
        <v>48367</v>
      </c>
      <c r="N41" s="86">
        <f>SUM(B41:M41)</f>
        <v>91016</v>
      </c>
      <c r="O41" s="1016">
        <v>91016</v>
      </c>
    </row>
    <row r="42" spans="1:16" s="730" customFormat="1" ht="15" x14ac:dyDescent="0.25">
      <c r="A42" s="731" t="s">
        <v>302</v>
      </c>
      <c r="B42" s="729">
        <f>2+26</f>
        <v>28</v>
      </c>
      <c r="C42" s="729">
        <f>64+50</f>
        <v>114</v>
      </c>
      <c r="D42" s="729">
        <f>294+100+100</f>
        <v>494</v>
      </c>
      <c r="E42" s="729">
        <f>861+2000</f>
        <v>2861</v>
      </c>
      <c r="F42" s="729">
        <f>803+100</f>
        <v>903</v>
      </c>
      <c r="G42" s="729">
        <f>1307+96</f>
        <v>1403</v>
      </c>
      <c r="H42" s="729">
        <v>1412</v>
      </c>
      <c r="I42" s="729">
        <f>893+100-46</f>
        <v>947</v>
      </c>
      <c r="J42" s="729">
        <f>660-238</f>
        <v>422</v>
      </c>
      <c r="K42" s="729">
        <f>1090-178</f>
        <v>912</v>
      </c>
      <c r="L42" s="729">
        <f>617-178</f>
        <v>439</v>
      </c>
      <c r="M42" s="729">
        <f>624+256-164+232</f>
        <v>948</v>
      </c>
      <c r="N42" s="729">
        <f>SUM(B42:M42)</f>
        <v>10883</v>
      </c>
      <c r="O42" s="1015">
        <f>'4a. sz. tábla  (3)'!E77</f>
        <v>10883</v>
      </c>
    </row>
    <row r="43" spans="1:16" ht="15" x14ac:dyDescent="0.25">
      <c r="A43" s="85" t="s">
        <v>303</v>
      </c>
      <c r="B43" s="86">
        <v>2464</v>
      </c>
      <c r="C43" s="86">
        <v>580</v>
      </c>
      <c r="D43" s="86">
        <v>24435</v>
      </c>
      <c r="E43" s="86">
        <v>87075</v>
      </c>
      <c r="F43" s="86">
        <v>28330</v>
      </c>
      <c r="G43" s="86">
        <v>35320</v>
      </c>
      <c r="H43" s="86">
        <v>21330</v>
      </c>
      <c r="I43" s="86">
        <v>85630</v>
      </c>
      <c r="J43" s="86">
        <v>81905</v>
      </c>
      <c r="K43" s="86">
        <v>21085</v>
      </c>
      <c r="L43" s="86">
        <v>189861</v>
      </c>
      <c r="M43" s="86">
        <v>29507</v>
      </c>
      <c r="N43" s="86">
        <f>SUM(B43:M43)</f>
        <v>607522</v>
      </c>
      <c r="O43" s="1010">
        <f>'7. sz. tábla 1'!D176</f>
        <v>607522</v>
      </c>
    </row>
    <row r="44" spans="1:16" ht="15.6" x14ac:dyDescent="0.3">
      <c r="A44" s="87" t="s">
        <v>304</v>
      </c>
      <c r="B44" s="88">
        <f t="shared" ref="B44:M44" si="8">SUM(B40:B43)</f>
        <v>20777</v>
      </c>
      <c r="C44" s="88">
        <f t="shared" si="8"/>
        <v>56379</v>
      </c>
      <c r="D44" s="88">
        <f t="shared" si="8"/>
        <v>140764</v>
      </c>
      <c r="E44" s="88">
        <f t="shared" si="8"/>
        <v>109267</v>
      </c>
      <c r="F44" s="88">
        <f t="shared" si="8"/>
        <v>86158</v>
      </c>
      <c r="G44" s="88">
        <f t="shared" si="8"/>
        <v>269562</v>
      </c>
      <c r="H44" s="88">
        <f t="shared" si="8"/>
        <v>150613</v>
      </c>
      <c r="I44" s="88">
        <f t="shared" si="8"/>
        <v>140318</v>
      </c>
      <c r="J44" s="88">
        <f t="shared" si="8"/>
        <v>231606</v>
      </c>
      <c r="K44" s="88">
        <f t="shared" si="8"/>
        <v>227702</v>
      </c>
      <c r="L44" s="88">
        <f t="shared" si="8"/>
        <v>337686</v>
      </c>
      <c r="M44" s="88">
        <f t="shared" si="8"/>
        <v>748457</v>
      </c>
      <c r="N44" s="88">
        <f>SUM(N40:N43)</f>
        <v>2519289</v>
      </c>
      <c r="O44" s="1012">
        <f>SUM(O40:O43)</f>
        <v>2519289</v>
      </c>
      <c r="P44" s="205">
        <f>SUM(O40:O43)</f>
        <v>2519289</v>
      </c>
    </row>
    <row r="45" spans="1:16" ht="15.6" x14ac:dyDescent="0.3">
      <c r="A45" s="89" t="s">
        <v>705</v>
      </c>
      <c r="B45" s="90">
        <f>B39+B44</f>
        <v>205398</v>
      </c>
      <c r="C45" s="90">
        <f t="shared" ref="C45:N45" si="9">C39+C44</f>
        <v>296336</v>
      </c>
      <c r="D45" s="90">
        <f t="shared" si="9"/>
        <v>379963</v>
      </c>
      <c r="E45" s="90">
        <f t="shared" si="9"/>
        <v>326447</v>
      </c>
      <c r="F45" s="90">
        <f t="shared" si="9"/>
        <v>303468</v>
      </c>
      <c r="G45" s="90">
        <f t="shared" si="9"/>
        <v>522625</v>
      </c>
      <c r="H45" s="90">
        <f t="shared" si="9"/>
        <v>356290</v>
      </c>
      <c r="I45" s="90">
        <f t="shared" si="9"/>
        <v>452734</v>
      </c>
      <c r="J45" s="90">
        <f t="shared" si="9"/>
        <v>489163</v>
      </c>
      <c r="K45" s="90">
        <f t="shared" si="9"/>
        <v>469893</v>
      </c>
      <c r="L45" s="90">
        <f t="shared" si="9"/>
        <v>539173</v>
      </c>
      <c r="M45" s="90">
        <f t="shared" si="9"/>
        <v>1142463</v>
      </c>
      <c r="N45" s="90">
        <f t="shared" si="9"/>
        <v>5483953</v>
      </c>
      <c r="O45" s="1012">
        <f>O44+O39</f>
        <v>5483953</v>
      </c>
    </row>
    <row r="46" spans="1:16" ht="31.2" x14ac:dyDescent="0.3">
      <c r="A46" s="89" t="s">
        <v>305</v>
      </c>
      <c r="B46" s="90">
        <v>38703</v>
      </c>
      <c r="C46" s="90">
        <v>1000</v>
      </c>
      <c r="D46" s="90">
        <v>338221</v>
      </c>
      <c r="E46" s="90">
        <v>501100</v>
      </c>
      <c r="F46" s="90">
        <v>1000</v>
      </c>
      <c r="G46" s="90">
        <v>451000</v>
      </c>
      <c r="H46" s="90">
        <v>1000</v>
      </c>
      <c r="I46" s="90">
        <v>1000</v>
      </c>
      <c r="J46" s="90">
        <v>238122</v>
      </c>
      <c r="K46" s="90">
        <v>301000</v>
      </c>
      <c r="L46" s="90">
        <v>1000</v>
      </c>
      <c r="M46" s="90">
        <v>482037</v>
      </c>
      <c r="N46" s="90">
        <f>SUM(B46:M46)</f>
        <v>2355183</v>
      </c>
      <c r="O46" s="1012">
        <f>'7. sz. tábla 1'!D182</f>
        <v>2355183</v>
      </c>
    </row>
    <row r="47" spans="1:16" ht="15.6" x14ac:dyDescent="0.3">
      <c r="A47" s="91" t="s">
        <v>708</v>
      </c>
      <c r="B47" s="92">
        <f t="shared" ref="B47:M47" si="10">SUM(B45:B46)</f>
        <v>244101</v>
      </c>
      <c r="C47" s="92">
        <f t="shared" si="10"/>
        <v>297336</v>
      </c>
      <c r="D47" s="92">
        <f t="shared" si="10"/>
        <v>718184</v>
      </c>
      <c r="E47" s="92">
        <f t="shared" si="10"/>
        <v>827547</v>
      </c>
      <c r="F47" s="92">
        <f t="shared" si="10"/>
        <v>304468</v>
      </c>
      <c r="G47" s="92">
        <f t="shared" si="10"/>
        <v>973625</v>
      </c>
      <c r="H47" s="92">
        <f t="shared" si="10"/>
        <v>357290</v>
      </c>
      <c r="I47" s="92">
        <f t="shared" si="10"/>
        <v>453734</v>
      </c>
      <c r="J47" s="92">
        <f t="shared" si="10"/>
        <v>727285</v>
      </c>
      <c r="K47" s="92">
        <f t="shared" si="10"/>
        <v>770893</v>
      </c>
      <c r="L47" s="92">
        <f t="shared" si="10"/>
        <v>540173</v>
      </c>
      <c r="M47" s="92">
        <f t="shared" si="10"/>
        <v>1624500</v>
      </c>
      <c r="N47" s="90">
        <f>SUM(B47:M47)</f>
        <v>7839136</v>
      </c>
      <c r="O47" s="1012">
        <f>O46+O45</f>
        <v>7839136</v>
      </c>
    </row>
    <row r="48" spans="1:16" ht="15.6" x14ac:dyDescent="0.3">
      <c r="A48" s="91" t="s">
        <v>51</v>
      </c>
      <c r="B48" s="92">
        <v>188750</v>
      </c>
      <c r="C48" s="92">
        <v>43750</v>
      </c>
      <c r="D48" s="92">
        <v>47500</v>
      </c>
      <c r="E48" s="92">
        <v>47500</v>
      </c>
      <c r="F48" s="92">
        <v>47500</v>
      </c>
      <c r="G48" s="92">
        <v>47500</v>
      </c>
      <c r="H48" s="92">
        <v>47500</v>
      </c>
      <c r="I48" s="92">
        <v>47500</v>
      </c>
      <c r="J48" s="92">
        <v>-517500</v>
      </c>
      <c r="K48" s="92"/>
      <c r="L48" s="92"/>
      <c r="M48" s="92"/>
      <c r="N48" s="90">
        <f>SUM(B48:M48)</f>
        <v>0</v>
      </c>
      <c r="O48" s="1012"/>
    </row>
    <row r="49" spans="1:15" ht="15.6" x14ac:dyDescent="0.3">
      <c r="A49" s="89" t="s">
        <v>306</v>
      </c>
      <c r="B49" s="90">
        <f>B6+B27+B28+B48-B45-B46</f>
        <v>1246588</v>
      </c>
      <c r="C49" s="90">
        <f t="shared" ref="C49:N49" si="11">C6+C27+C28+C48-C45-C46</f>
        <v>1151322</v>
      </c>
      <c r="D49" s="90">
        <f t="shared" si="11"/>
        <v>1352852</v>
      </c>
      <c r="E49" s="90">
        <f t="shared" si="11"/>
        <v>786832</v>
      </c>
      <c r="F49" s="90">
        <f t="shared" si="11"/>
        <v>753835</v>
      </c>
      <c r="G49" s="90">
        <f t="shared" si="11"/>
        <v>18045</v>
      </c>
      <c r="H49" s="90">
        <f t="shared" si="11"/>
        <v>24385</v>
      </c>
      <c r="I49" s="90">
        <f t="shared" si="11"/>
        <v>104468</v>
      </c>
      <c r="J49" s="90">
        <f t="shared" si="11"/>
        <v>623552</v>
      </c>
      <c r="K49" s="90">
        <f t="shared" si="11"/>
        <v>110748</v>
      </c>
      <c r="L49" s="90">
        <f t="shared" si="11"/>
        <v>242237</v>
      </c>
      <c r="M49" s="90">
        <f t="shared" si="11"/>
        <v>166075</v>
      </c>
      <c r="N49" s="90">
        <f t="shared" si="11"/>
        <v>166075</v>
      </c>
      <c r="O49" s="1012"/>
    </row>
    <row r="50" spans="1:15" x14ac:dyDescent="0.25">
      <c r="J50" s="205"/>
    </row>
  </sheetData>
  <sheetProtection selectLockedCells="1" selectUnlockedCells="1"/>
  <mergeCells count="2">
    <mergeCell ref="M2:N2"/>
    <mergeCell ref="A3:N3"/>
  </mergeCells>
  <phoneticPr fontId="28" type="noConversion"/>
  <pageMargins left="0.25" right="0.25" top="0.75" bottom="0.75" header="0.3" footer="0.3"/>
  <pageSetup paperSize="9" scale="59" firstPageNumber="0" orientation="landscape" r:id="rId1"/>
  <headerFooter alignWithMargins="0">
    <oddHeader>&amp;C10. melléklet
az önkormányzat 2016. évi költségvetéséről szóló 8/2016. (II.26.) önkormányzati rendelet
módosításáról szóló 7/2017.(II.24.) önkormányzati rendelethez&amp;R
&amp;P. oldal
ezer forint</oddHeader>
  </headerFooter>
  <ignoredErrors>
    <ignoredError sqref="N20"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2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23</vt:i4>
      </vt:variant>
      <vt:variant>
        <vt:lpstr>Névvel ellátott tartományok</vt:lpstr>
      </vt:variant>
      <vt:variant>
        <vt:i4>21</vt:i4>
      </vt:variant>
    </vt:vector>
  </HeadingPairs>
  <TitlesOfParts>
    <vt:vector size="44" baseType="lpstr">
      <vt:lpstr>1.sz.tábla   (2)</vt:lpstr>
      <vt:lpstr>2.sz.tábla   (2)</vt:lpstr>
      <vt:lpstr>2.a tábla ÚJ </vt:lpstr>
      <vt:lpstr>2b. tábla (2)</vt:lpstr>
      <vt:lpstr>2c. tábla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 tábla JÓ</vt:lpstr>
      <vt:lpstr>11.mell (3)</vt:lpstr>
      <vt:lpstr>12. sz. tábla</vt:lpstr>
      <vt:lpstr>13. sz. EU projektek (3)</vt:lpstr>
      <vt:lpstr>14. sz. stabilitási tv  (2)</vt:lpstr>
      <vt:lpstr>15.16. sz. tábla (2)</vt:lpstr>
      <vt:lpstr>17. sz. tábla </vt:lpstr>
      <vt:lpstr>Munka1</vt:lpstr>
      <vt:lpstr>'1.sz.tábla   (2)'!Nyomtatási_terület</vt:lpstr>
      <vt:lpstr>'10. tábla JÓ'!Nyomtatási_terület</vt:lpstr>
      <vt:lpstr>'12. sz. tábla'!Nyomtatási_terület</vt:lpstr>
      <vt:lpstr>'13. sz. EU projektek (3)'!Nyomtatási_terület</vt:lpstr>
      <vt:lpstr>'14. sz. stabilitási tv  (2)'!Nyomtatási_terület</vt:lpstr>
      <vt:lpstr>'15.16. sz. tábla (2)'!Nyomtatási_terület</vt:lpstr>
      <vt:lpstr>'17. sz. tábla '!Nyomtatási_terület</vt:lpstr>
      <vt:lpstr>'2.a tábla ÚJ '!Nyomtatási_terület</vt:lpstr>
      <vt:lpstr>'2.sz.tábla   (2)'!Nyomtatási_terület</vt:lpstr>
      <vt:lpstr>'2b. tábla (2)'!Nyomtatási_terület</vt:lpstr>
      <vt:lpstr>'2c. tábla (2)'!Nyomtatási_terület</vt:lpstr>
      <vt:lpstr>'3.sz. tábla  (2)'!Nyomtatási_terület</vt:lpstr>
      <vt:lpstr>'4.sz.tábla '!Nyomtatási_terület</vt:lpstr>
      <vt:lpstr>'4a. sz. tábla  (3)'!Nyomtatási_terület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2017-02-14T12:44:18Z</cp:lastPrinted>
  <dcterms:created xsi:type="dcterms:W3CDTF">2014-05-27T12:51:39Z</dcterms:created>
  <dcterms:modified xsi:type="dcterms:W3CDTF">2017-02-27T07:51:54Z</dcterms:modified>
</cp:coreProperties>
</file>