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5600" firstSheet="13" activeTab="20"/>
  </bookViews>
  <sheets>
    <sheet name="Címrend" sheetId="20" r:id="rId1"/>
    <sheet name="2.sz.mell." sheetId="19" r:id="rId2"/>
    <sheet name="3.sz.mell." sheetId="2" r:id="rId3"/>
    <sheet name="4.sz.mell." sheetId="3" r:id="rId4"/>
    <sheet name="5.a sz.mell." sheetId="23" r:id="rId5"/>
    <sheet name="5 b.sz.mell." sheetId="24" r:id="rId6"/>
    <sheet name="6.sz.mell." sheetId="18" r:id="rId7"/>
    <sheet name="7.sz.mell." sheetId="5" r:id="rId8"/>
    <sheet name="8.sz.mell." sheetId="6" r:id="rId9"/>
    <sheet name="9.sz.mell." sheetId="7" r:id="rId10"/>
    <sheet name="10.sz.mell." sheetId="8" r:id="rId11"/>
    <sheet name="11.sz.mell." sheetId="10" r:id="rId12"/>
    <sheet name="12.sz.mell." sheetId="12" r:id="rId13"/>
    <sheet name="13.sz.mell" sheetId="11" r:id="rId14"/>
    <sheet name="14.sz.mell." sheetId="13" r:id="rId15"/>
    <sheet name="15. sz.mell." sheetId="14" r:id="rId16"/>
    <sheet name="16.sz.mell." sheetId="15" r:id="rId17"/>
    <sheet name="17.sz.m" sheetId="16" r:id="rId18"/>
    <sheet name="18.sz.m." sheetId="17" r:id="rId19"/>
    <sheet name="19.sz.m." sheetId="21" r:id="rId20"/>
    <sheet name="20.sz.mell" sheetId="22" r:id="rId21"/>
  </sheets>
  <definedNames>
    <definedName name="_xlnm.Print_Titles" localSheetId="1">'2.sz.mell.'!$1:$1</definedName>
    <definedName name="_xlnm.Print_Titles" localSheetId="2">'3.sz.mell.'!$1:$1</definedName>
    <definedName name="_xlnm.Print_Area" localSheetId="12">'12.sz.mell.'!$A$1:$C$14</definedName>
    <definedName name="_xlnm.Print_Area" localSheetId="14">'14.sz.mell.'!$A$1:$F$56</definedName>
    <definedName name="_xlnm.Print_Area" localSheetId="15">'15. sz.mell.'!$A$1:$N$25</definedName>
    <definedName name="_xlnm.Print_Area" localSheetId="16">'16.sz.mell.'!$A$1:$E$26</definedName>
    <definedName name="_xlnm.Print_Area" localSheetId="17">'17.sz.m'!$A$1:$D$41</definedName>
    <definedName name="_xlnm.Print_Area" localSheetId="18">'18.sz.m.'!$A$1:$G$35</definedName>
    <definedName name="_xlnm.Print_Area" localSheetId="1">'2.sz.mell.'!$A$1:$C$121</definedName>
    <definedName name="_xlnm.Print_Area" localSheetId="20">'20.sz.mell'!$A$1:$I$27</definedName>
    <definedName name="_xlnm.Print_Area" localSheetId="2">'3.sz.mell.'!$A$1:$E$47</definedName>
    <definedName name="_xlnm.Print_Area" localSheetId="3">'4.sz.mell.'!$A$1:$L$26</definedName>
    <definedName name="_xlnm.Print_Area" localSheetId="5">'5 b.sz.mell.'!$A$1:$Q$60</definedName>
    <definedName name="_xlnm.Print_Area" localSheetId="4">'5.a sz.mell.'!$A$1:$O$63</definedName>
    <definedName name="_xlnm.Print_Area" localSheetId="6">'6.sz.mell.'!$A$1:$D$49</definedName>
    <definedName name="_xlnm.Print_Area" localSheetId="7">'7.sz.mell.'!$A$1:$C$19</definedName>
    <definedName name="_xlnm.Print_Area" localSheetId="8">'8.sz.mell.'!$A$1:$D$30</definedName>
    <definedName name="_xlnm.Print_Area" localSheetId="9">'9.sz.mell.'!$A$1:$H$27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7"/>
  <c r="F13"/>
  <c r="P62" i="23" l="1"/>
  <c r="P31"/>
  <c r="P41" s="1"/>
  <c r="P63" s="1"/>
  <c r="P12"/>
  <c r="G25" i="7"/>
  <c r="G24"/>
  <c r="G23"/>
  <c r="G22"/>
  <c r="G21"/>
  <c r="G19"/>
  <c r="G17"/>
  <c r="G18" s="1"/>
  <c r="G15"/>
  <c r="G16" s="1"/>
  <c r="G12"/>
  <c r="G11"/>
  <c r="G10"/>
  <c r="G9"/>
  <c r="G8"/>
  <c r="G14" s="1"/>
  <c r="G26" l="1"/>
  <c r="G26" i="22"/>
  <c r="F26"/>
  <c r="E26"/>
  <c r="D26"/>
  <c r="C26"/>
  <c r="G14"/>
  <c r="F14"/>
  <c r="E14"/>
  <c r="D14"/>
  <c r="C14"/>
  <c r="C12"/>
  <c r="C10"/>
  <c r="C11" i="16"/>
  <c r="F13" i="17"/>
  <c r="F12"/>
  <c r="C8" i="16"/>
  <c r="C25"/>
  <c r="C18"/>
  <c r="F22" i="14"/>
  <c r="B20"/>
  <c r="N20"/>
  <c r="M18"/>
  <c r="M17"/>
  <c r="L16"/>
  <c r="M15"/>
  <c r="M14"/>
  <c r="M11"/>
  <c r="M8"/>
  <c r="M6"/>
  <c r="B10" i="13"/>
  <c r="E10"/>
  <c r="F10" s="1"/>
  <c r="D10"/>
  <c r="D11" s="1"/>
  <c r="D13" s="1"/>
  <c r="E23" i="22" s="1"/>
  <c r="C10" i="13"/>
  <c r="C11" s="1"/>
  <c r="B11"/>
  <c r="B13" s="1"/>
  <c r="C23" i="22" s="1"/>
  <c r="E12" i="13"/>
  <c r="D12"/>
  <c r="C12"/>
  <c r="B12"/>
  <c r="I20" i="11"/>
  <c r="B19"/>
  <c r="I18"/>
  <c r="I17"/>
  <c r="I16"/>
  <c r="I19" s="1"/>
  <c r="B9"/>
  <c r="B7"/>
  <c r="N9"/>
  <c r="H19"/>
  <c r="C12" i="12"/>
  <c r="C11"/>
  <c r="C13"/>
  <c r="J9" i="10"/>
  <c r="K9" s="1"/>
  <c r="J8"/>
  <c r="K8" s="1"/>
  <c r="I10"/>
  <c r="I9"/>
  <c r="I8"/>
  <c r="F10"/>
  <c r="G10" s="1"/>
  <c r="F9"/>
  <c r="G9" s="1"/>
  <c r="F8"/>
  <c r="G8" s="1"/>
  <c r="G7" i="8"/>
  <c r="F17" i="7"/>
  <c r="F15"/>
  <c r="F16" s="1"/>
  <c r="F12"/>
  <c r="F11"/>
  <c r="F10"/>
  <c r="F9"/>
  <c r="F8"/>
  <c r="D31" i="6"/>
  <c r="D23"/>
  <c r="D16"/>
  <c r="D11" s="1"/>
  <c r="F14" i="7" l="1"/>
  <c r="G27"/>
  <c r="E13" i="13"/>
  <c r="F23" i="22" s="1"/>
  <c r="J10" i="10"/>
  <c r="K10" s="1"/>
  <c r="F12" i="13"/>
  <c r="E11"/>
  <c r="F11" s="1"/>
  <c r="C16" i="5" l="1"/>
  <c r="C14"/>
  <c r="C13"/>
  <c r="C9"/>
  <c r="B14"/>
  <c r="B13"/>
  <c r="B10"/>
  <c r="B9"/>
  <c r="D33" i="18"/>
  <c r="D44" s="1"/>
  <c r="D22"/>
  <c r="D21"/>
  <c r="D20"/>
  <c r="D19"/>
  <c r="D18"/>
  <c r="D17"/>
  <c r="D16"/>
  <c r="D15"/>
  <c r="D13"/>
  <c r="E6" i="24"/>
  <c r="L8" i="23"/>
  <c r="D14" i="18" l="1"/>
  <c r="C80" i="19"/>
  <c r="G19" i="23"/>
  <c r="C35" i="19"/>
  <c r="C45" l="1"/>
  <c r="C50" l="1"/>
  <c r="C53"/>
  <c r="C34"/>
  <c r="D47" i="18" s="1"/>
  <c r="G26" i="24" l="1"/>
  <c r="G6"/>
  <c r="G11"/>
  <c r="G14"/>
  <c r="G8"/>
  <c r="E42"/>
  <c r="F42"/>
  <c r="G42"/>
  <c r="H42"/>
  <c r="I42"/>
  <c r="D8" i="3" s="1"/>
  <c r="D42" i="24"/>
  <c r="G20"/>
  <c r="F26"/>
  <c r="F35"/>
  <c r="G9" i="14" s="1"/>
  <c r="M13" i="23"/>
  <c r="C15" i="19"/>
  <c r="I16" i="23"/>
  <c r="C10" i="12" s="1"/>
  <c r="I15" i="23"/>
  <c r="C9" i="12" s="1"/>
  <c r="E9" i="14" l="1"/>
  <c r="C59" i="19"/>
  <c r="F8" i="23"/>
  <c r="E40"/>
  <c r="G40"/>
  <c r="H40"/>
  <c r="I40"/>
  <c r="J40"/>
  <c r="K40"/>
  <c r="L40"/>
  <c r="M40"/>
  <c r="D40"/>
  <c r="N11"/>
  <c r="D31"/>
  <c r="D41" s="1"/>
  <c r="C62" i="19" l="1"/>
  <c r="C10" i="5"/>
  <c r="C15" s="1"/>
  <c r="E45" i="23"/>
  <c r="F45"/>
  <c r="G45"/>
  <c r="H45"/>
  <c r="I45"/>
  <c r="J45"/>
  <c r="K45"/>
  <c r="L45"/>
  <c r="M45"/>
  <c r="E42"/>
  <c r="D42"/>
  <c r="D45" s="1"/>
  <c r="N43"/>
  <c r="N44"/>
  <c r="O62"/>
  <c r="M62"/>
  <c r="L62"/>
  <c r="K62"/>
  <c r="J62"/>
  <c r="I62"/>
  <c r="H62"/>
  <c r="G62"/>
  <c r="F62"/>
  <c r="D62"/>
  <c r="N61"/>
  <c r="D61"/>
  <c r="N60"/>
  <c r="N59"/>
  <c r="N58"/>
  <c r="N57"/>
  <c r="N56"/>
  <c r="E55"/>
  <c r="E62" s="1"/>
  <c r="D55"/>
  <c r="N54"/>
  <c r="M53"/>
  <c r="L53"/>
  <c r="K53"/>
  <c r="J53"/>
  <c r="I53"/>
  <c r="H53"/>
  <c r="G53"/>
  <c r="E53"/>
  <c r="D23" i="3" s="1"/>
  <c r="D53" i="23"/>
  <c r="F52"/>
  <c r="N52" s="1"/>
  <c r="N51"/>
  <c r="M50"/>
  <c r="L50"/>
  <c r="K50"/>
  <c r="J50"/>
  <c r="I50"/>
  <c r="H50"/>
  <c r="G50"/>
  <c r="E50"/>
  <c r="D50"/>
  <c r="N49"/>
  <c r="F48"/>
  <c r="N48" s="1"/>
  <c r="N47"/>
  <c r="F38"/>
  <c r="N38" s="1"/>
  <c r="F37"/>
  <c r="F40" s="1"/>
  <c r="N36"/>
  <c r="N35"/>
  <c r="N34"/>
  <c r="N33"/>
  <c r="N32"/>
  <c r="K30"/>
  <c r="N29"/>
  <c r="N28"/>
  <c r="L28"/>
  <c r="H27"/>
  <c r="N27" s="1"/>
  <c r="N26"/>
  <c r="L25"/>
  <c r="F25"/>
  <c r="N25" s="1"/>
  <c r="G24"/>
  <c r="N24" s="1"/>
  <c r="N23"/>
  <c r="N22"/>
  <c r="N21"/>
  <c r="L20"/>
  <c r="F19"/>
  <c r="N19" s="1"/>
  <c r="N18"/>
  <c r="N17"/>
  <c r="N16"/>
  <c r="N15"/>
  <c r="N14"/>
  <c r="N13"/>
  <c r="O12"/>
  <c r="N12"/>
  <c r="N10"/>
  <c r="N9"/>
  <c r="M8"/>
  <c r="N7"/>
  <c r="N6"/>
  <c r="N37" l="1"/>
  <c r="N40" s="1"/>
  <c r="N55"/>
  <c r="N42"/>
  <c r="N45" s="1"/>
  <c r="O31"/>
  <c r="O41" s="1"/>
  <c r="O63" s="1"/>
  <c r="G10" i="8"/>
  <c r="G14" s="1"/>
  <c r="N62" i="23"/>
  <c r="N53"/>
  <c r="F53"/>
  <c r="N8"/>
  <c r="N20"/>
  <c r="F46"/>
  <c r="N46" l="1"/>
  <c r="N50" s="1"/>
  <c r="F50"/>
  <c r="D10" i="2" l="1"/>
  <c r="D11"/>
  <c r="C16"/>
  <c r="D16"/>
  <c r="D20"/>
  <c r="C24"/>
  <c r="D24"/>
  <c r="C25"/>
  <c r="D25" l="1"/>
  <c r="E20" i="21"/>
  <c r="D20"/>
  <c r="C20"/>
  <c r="B21" l="1"/>
  <c r="D28"/>
  <c r="E28"/>
  <c r="C28"/>
  <c r="C16"/>
  <c r="D16"/>
  <c r="E16"/>
  <c r="D21" i="15"/>
  <c r="K8" i="14"/>
  <c r="D56" i="13"/>
  <c r="C56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20"/>
  <c r="C13"/>
  <c r="D23" i="22" s="1"/>
  <c r="F12" i="3"/>
  <c r="E36" i="2"/>
  <c r="F13" i="13" l="1"/>
  <c r="E56"/>
  <c r="C55" i="19"/>
  <c r="C43"/>
  <c r="F14" i="13" l="1"/>
  <c r="I24" i="3"/>
  <c r="I23"/>
  <c r="I22"/>
  <c r="I21"/>
  <c r="L8" i="14" l="1"/>
  <c r="J8"/>
  <c r="I8"/>
  <c r="H8"/>
  <c r="G8"/>
  <c r="F8"/>
  <c r="E8"/>
  <c r="D8"/>
  <c r="C8"/>
  <c r="B8"/>
  <c r="N9" l="1"/>
  <c r="F25" i="7"/>
  <c r="F24"/>
  <c r="F23"/>
  <c r="F22"/>
  <c r="F21"/>
  <c r="F19"/>
  <c r="F18"/>
  <c r="C17" i="5"/>
  <c r="D48" i="18"/>
  <c r="D46"/>
  <c r="D32"/>
  <c r="D23"/>
  <c r="C25" i="19"/>
  <c r="D51" i="18" s="1"/>
  <c r="C57" i="19"/>
  <c r="B12" i="21" s="1"/>
  <c r="B10"/>
  <c r="D59" i="24"/>
  <c r="C11" i="3" s="1"/>
  <c r="E59" i="24"/>
  <c r="E11" i="3" s="1"/>
  <c r="F59" i="24"/>
  <c r="G59"/>
  <c r="I59"/>
  <c r="D11" i="3" s="1"/>
  <c r="D49" i="24"/>
  <c r="C10" i="3" s="1"/>
  <c r="E49" i="24"/>
  <c r="E10" i="3" s="1"/>
  <c r="F49" i="24"/>
  <c r="G49"/>
  <c r="H10" i="3" s="1"/>
  <c r="I49" i="24"/>
  <c r="D10" i="3" s="1"/>
  <c r="D45" i="24"/>
  <c r="C9" i="3" s="1"/>
  <c r="E45" i="24"/>
  <c r="E9" i="3" s="1"/>
  <c r="F45" i="24"/>
  <c r="G45"/>
  <c r="H9" i="3" s="1"/>
  <c r="I45" i="24"/>
  <c r="D9" i="3" s="1"/>
  <c r="C8"/>
  <c r="E8"/>
  <c r="H8"/>
  <c r="D37" i="24"/>
  <c r="F37"/>
  <c r="G37"/>
  <c r="H7" i="3" s="1"/>
  <c r="H37" i="24"/>
  <c r="G7" i="3" s="1"/>
  <c r="I37" i="24"/>
  <c r="D7" i="3" s="1"/>
  <c r="C23"/>
  <c r="E23"/>
  <c r="H49" i="24"/>
  <c r="G10" i="3" s="1"/>
  <c r="H59" i="24"/>
  <c r="G11" i="3" s="1"/>
  <c r="H45" i="24"/>
  <c r="G9" i="3" s="1"/>
  <c r="H11" l="1"/>
  <c r="C63" i="19"/>
  <c r="E13" i="2" s="1"/>
  <c r="D49" i="18"/>
  <c r="B8" i="21"/>
  <c r="E35" i="24"/>
  <c r="J46"/>
  <c r="F60"/>
  <c r="O9" i="14" s="1"/>
  <c r="P9" s="1"/>
  <c r="G60" i="24"/>
  <c r="H15" i="3" s="1"/>
  <c r="I60" i="24"/>
  <c r="H60"/>
  <c r="I10" i="3"/>
  <c r="K23"/>
  <c r="I11"/>
  <c r="I9"/>
  <c r="E10" i="2"/>
  <c r="E9"/>
  <c r="G8" i="3"/>
  <c r="I8" s="1"/>
  <c r="D60" i="24"/>
  <c r="C7" i="3"/>
  <c r="C18" i="5"/>
  <c r="D7" i="6"/>
  <c r="D29" s="1"/>
  <c r="F26" i="7"/>
  <c r="F27" s="1"/>
  <c r="C33" i="19"/>
  <c r="C32"/>
  <c r="C31"/>
  <c r="C30"/>
  <c r="C29"/>
  <c r="C28"/>
  <c r="C27"/>
  <c r="C26"/>
  <c r="J52" i="24"/>
  <c r="J53"/>
  <c r="J54"/>
  <c r="J55"/>
  <c r="J56"/>
  <c r="J57"/>
  <c r="J58"/>
  <c r="J51"/>
  <c r="J50"/>
  <c r="J47"/>
  <c r="J48"/>
  <c r="J44"/>
  <c r="J43"/>
  <c r="J39"/>
  <c r="J40"/>
  <c r="J41"/>
  <c r="J38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C15" i="3" l="1"/>
  <c r="D55" i="19"/>
  <c r="G27" i="3"/>
  <c r="G15"/>
  <c r="G20"/>
  <c r="D43" i="19"/>
  <c r="D15" i="3"/>
  <c r="C36" i="19"/>
  <c r="J35" i="24"/>
  <c r="E12" i="2"/>
  <c r="J42" i="24"/>
  <c r="J49"/>
  <c r="E15" i="5"/>
  <c r="D62" i="19"/>
  <c r="E62" s="1"/>
  <c r="L14" i="3"/>
  <c r="J59" i="24"/>
  <c r="D14" i="3"/>
  <c r="O8" i="14"/>
  <c r="O7"/>
  <c r="F14" i="3"/>
  <c r="O11" i="14"/>
  <c r="Q11" s="1"/>
  <c r="N14" i="3"/>
  <c r="B11" i="21"/>
  <c r="E8" i="2"/>
  <c r="E20"/>
  <c r="B14" i="21"/>
  <c r="D63" i="19"/>
  <c r="J45" i="24"/>
  <c r="B9" i="21" l="1"/>
  <c r="E11" i="2"/>
  <c r="B23" i="14" l="1"/>
  <c r="C23"/>
  <c r="D23"/>
  <c r="E23"/>
  <c r="H23"/>
  <c r="I23"/>
  <c r="J23"/>
  <c r="K23"/>
  <c r="L23"/>
  <c r="N22" l="1"/>
  <c r="G23"/>
  <c r="F23"/>
  <c r="N18"/>
  <c r="M23"/>
  <c r="N15"/>
  <c r="N16"/>
  <c r="N19"/>
  <c r="N21"/>
  <c r="N14"/>
  <c r="B12"/>
  <c r="B24" s="1"/>
  <c r="C12"/>
  <c r="C24" s="1"/>
  <c r="D12"/>
  <c r="D24" s="1"/>
  <c r="E12"/>
  <c r="E24" s="1"/>
  <c r="F12"/>
  <c r="G12"/>
  <c r="H12"/>
  <c r="H24" s="1"/>
  <c r="I12"/>
  <c r="I24" s="1"/>
  <c r="K12"/>
  <c r="K24" s="1"/>
  <c r="L12"/>
  <c r="L24" s="1"/>
  <c r="M12"/>
  <c r="N10"/>
  <c r="P10" s="1"/>
  <c r="J12"/>
  <c r="J24" s="1"/>
  <c r="N7"/>
  <c r="P7" s="1"/>
  <c r="N8"/>
  <c r="P8" s="1"/>
  <c r="N6"/>
  <c r="D26" i="15"/>
  <c r="M24" i="14" l="1"/>
  <c r="N23"/>
  <c r="G24"/>
  <c r="N11"/>
  <c r="P11" s="1"/>
  <c r="N17"/>
  <c r="F24"/>
  <c r="N12"/>
  <c r="H12" i="3"/>
  <c r="E16" i="2"/>
  <c r="E39"/>
  <c r="L23" i="3"/>
  <c r="G25"/>
  <c r="N24" i="14" l="1"/>
  <c r="J8" i="3"/>
  <c r="J9"/>
  <c r="J10"/>
  <c r="J11"/>
  <c r="C12"/>
  <c r="D12"/>
  <c r="G12"/>
  <c r="E24" i="2"/>
  <c r="C20" i="5" s="1"/>
  <c r="C64" i="19"/>
  <c r="D21" i="3"/>
  <c r="C21"/>
  <c r="E21"/>
  <c r="F21"/>
  <c r="C24"/>
  <c r="D24"/>
  <c r="E24"/>
  <c r="C22"/>
  <c r="D22"/>
  <c r="E22"/>
  <c r="F22"/>
  <c r="K24" l="1"/>
  <c r="L24" s="1"/>
  <c r="K22"/>
  <c r="L22" s="1"/>
  <c r="K21"/>
  <c r="L21" s="1"/>
  <c r="C65" i="19"/>
  <c r="B15" i="21"/>
  <c r="B16" s="1"/>
  <c r="D57" i="19"/>
  <c r="E55" s="1"/>
  <c r="E25" i="2"/>
  <c r="C20" i="16" l="1"/>
  <c r="D34" i="2"/>
  <c r="D41" s="1"/>
  <c r="F22" i="17"/>
  <c r="E10" i="10"/>
  <c r="E9"/>
  <c r="C45" i="2"/>
  <c r="C41"/>
  <c r="C46" s="1"/>
  <c r="D27" i="22"/>
  <c r="E27"/>
  <c r="F27"/>
  <c r="G27"/>
  <c r="C27"/>
  <c r="D16"/>
  <c r="E16"/>
  <c r="F16"/>
  <c r="G16"/>
  <c r="C16"/>
  <c r="D45" i="2"/>
  <c r="F16" i="17"/>
  <c r="F18" s="1"/>
  <c r="C12" i="16"/>
  <c r="C39" s="1"/>
  <c r="G19" i="11"/>
  <c r="F19"/>
  <c r="E19"/>
  <c r="D19"/>
  <c r="C19"/>
  <c r="M9"/>
  <c r="L9"/>
  <c r="K9"/>
  <c r="J9"/>
  <c r="I9"/>
  <c r="H9"/>
  <c r="G9"/>
  <c r="F9"/>
  <c r="E9"/>
  <c r="D9"/>
  <c r="C9"/>
  <c r="D46" i="2" l="1"/>
  <c r="N30" i="23"/>
  <c r="N31" l="1"/>
  <c r="N41" s="1"/>
  <c r="N63" s="1"/>
  <c r="C20" i="3"/>
  <c r="C25" s="1"/>
  <c r="O23" i="14" l="1"/>
  <c r="D89" i="19"/>
  <c r="D63" i="23"/>
  <c r="C27" i="3" s="1"/>
  <c r="E31" i="2" l="1"/>
  <c r="O14" i="14"/>
  <c r="C72" i="19"/>
  <c r="B18" i="21" s="1"/>
  <c r="E31" i="23"/>
  <c r="E41"/>
  <c r="E63" s="1"/>
  <c r="P14" i="14" l="1"/>
  <c r="Q14"/>
  <c r="D20" i="3"/>
  <c r="D25" s="1"/>
  <c r="C73" i="19"/>
  <c r="E32" i="2"/>
  <c r="D27" i="3"/>
  <c r="O15" i="14"/>
  <c r="P15" l="1"/>
  <c r="Q15"/>
  <c r="B19" i="21"/>
  <c r="F31" i="23"/>
  <c r="F41" s="1"/>
  <c r="E20" i="3" l="1"/>
  <c r="E25" s="1"/>
  <c r="F63" i="23"/>
  <c r="E27" i="3" l="1"/>
  <c r="O16" i="14"/>
  <c r="E33" i="2"/>
  <c r="C74" i="19"/>
  <c r="P16" i="14" l="1"/>
  <c r="Q16"/>
  <c r="B20" i="21"/>
  <c r="G31" i="23"/>
  <c r="G41" s="1"/>
  <c r="G63" l="1"/>
  <c r="D79" i="19" s="1"/>
  <c r="C79" s="1"/>
  <c r="F20" i="3"/>
  <c r="F25" s="1"/>
  <c r="E34" i="2" l="1"/>
  <c r="B23" i="21"/>
  <c r="F21" i="15"/>
  <c r="G22" s="1"/>
  <c r="O18" i="14"/>
  <c r="F27" i="3"/>
  <c r="H31" i="23"/>
  <c r="H41" s="1"/>
  <c r="H63" s="1"/>
  <c r="P18" i="14" l="1"/>
  <c r="Q18"/>
  <c r="H20" i="3"/>
  <c r="H25" s="1"/>
  <c r="O17" i="14"/>
  <c r="C75" i="19"/>
  <c r="H27" i="3"/>
  <c r="E35" i="2"/>
  <c r="Q17" i="14" l="1"/>
  <c r="P17"/>
  <c r="B22" i="21"/>
  <c r="I31" i="23"/>
  <c r="I41" s="1"/>
  <c r="I63" s="1"/>
  <c r="O21" i="14" l="1"/>
  <c r="C83" i="19"/>
  <c r="C8" i="12" s="1"/>
  <c r="C14" s="1"/>
  <c r="C16"/>
  <c r="B26" i="21" l="1"/>
  <c r="C84" i="19"/>
  <c r="E40" i="2"/>
  <c r="J31" i="23"/>
  <c r="J41" s="1"/>
  <c r="J63" s="1"/>
  <c r="O19" i="14" l="1"/>
  <c r="P19" s="1"/>
  <c r="J27" i="3"/>
  <c r="E37" i="2"/>
  <c r="C77" i="19"/>
  <c r="J20" i="3"/>
  <c r="B24" i="21" l="1"/>
  <c r="J25" i="3"/>
  <c r="K31" i="23"/>
  <c r="O20" i="14" s="1"/>
  <c r="P20" s="1"/>
  <c r="Q20" s="1"/>
  <c r="K41" i="23" l="1"/>
  <c r="I20" i="3" s="1"/>
  <c r="I25" s="1"/>
  <c r="K25" l="1"/>
  <c r="L25" s="1"/>
  <c r="K63" i="23"/>
  <c r="I27" i="3" s="1"/>
  <c r="K20"/>
  <c r="L20" s="1"/>
  <c r="C78" i="19" l="1"/>
  <c r="C81" s="1"/>
  <c r="L31" i="23"/>
  <c r="L41" s="1"/>
  <c r="L63" s="1"/>
  <c r="K27" i="3" s="1"/>
  <c r="E38" i="2" l="1"/>
  <c r="E41" s="1"/>
  <c r="B25" i="21"/>
  <c r="C85" i="19"/>
  <c r="E43" i="2"/>
  <c r="D33" i="6"/>
  <c r="M31" i="23"/>
  <c r="M41" s="1"/>
  <c r="M63" s="1"/>
  <c r="L27" i="3" l="1"/>
  <c r="E42" i="2"/>
  <c r="E45" s="1"/>
  <c r="E46" s="1"/>
  <c r="O22" i="14"/>
  <c r="C86" i="19"/>
  <c r="C88" s="1"/>
  <c r="E31" i="6" l="1"/>
  <c r="E33" s="1"/>
  <c r="C89" i="19"/>
  <c r="C91" s="1"/>
  <c r="B27" i="21"/>
  <c r="B28" s="1"/>
  <c r="E37" i="24"/>
  <c r="J6"/>
  <c r="J37" s="1"/>
  <c r="J60" s="1"/>
  <c r="I15" i="3" s="1"/>
  <c r="O12" i="14" l="1"/>
  <c r="P12" s="1"/>
  <c r="R14" i="3"/>
  <c r="J62" i="24"/>
  <c r="P14" i="3"/>
  <c r="D65" i="19"/>
  <c r="C66" s="1"/>
  <c r="E60" i="24"/>
  <c r="E15" i="3" s="1"/>
  <c r="E7"/>
  <c r="J64" i="24" l="1"/>
  <c r="J15" i="3"/>
  <c r="E12"/>
  <c r="I7"/>
  <c r="I12" s="1"/>
  <c r="O6" i="14"/>
  <c r="D36" i="19"/>
  <c r="H14" i="3"/>
  <c r="P6" i="14" l="1"/>
  <c r="Q6"/>
  <c r="J7" i="3"/>
  <c r="J12" s="1"/>
</calcChain>
</file>

<file path=xl/comments1.xml><?xml version="1.0" encoding="utf-8"?>
<comments xmlns="http://schemas.openxmlformats.org/spreadsheetml/2006/main">
  <authors>
    <author>Pénzügy01</author>
    <author>Kadarkút PM. Hivatal</author>
  </authors>
  <commentList>
    <comment ref="F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M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L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M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I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L1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L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L2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M2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A42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Pénzügy01</author>
    <author>Kadarkút PM. Hivatal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G2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G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A38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G4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</commentList>
</comments>
</file>

<file path=xl/sharedStrings.xml><?xml version="1.0" encoding="utf-8"?>
<sst xmlns="http://schemas.openxmlformats.org/spreadsheetml/2006/main" count="915" uniqueCount="617">
  <si>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</si>
  <si>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</si>
  <si>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</si>
  <si>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</si>
  <si>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</si>
  <si>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</si>
  <si>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</si>
  <si>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</si>
  <si>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</si>
  <si>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</si>
  <si>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</si>
  <si>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</si>
  <si>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</si>
  <si>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</si>
  <si>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</si>
  <si>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</si>
  <si>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</si>
  <si>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</si>
  <si>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</si>
  <si>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</si>
  <si>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</si>
  <si>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</si>
  <si>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</si>
  <si>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</si>
  <si>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</si>
  <si>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</si>
  <si>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</si>
  <si>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</si>
  <si>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</si>
  <si>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</si>
  <si>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</si>
  <si>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</si>
  <si>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</si>
  <si>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</si>
  <si>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</si>
  <si>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</si>
  <si>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</si>
  <si>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</si>
  <si>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</si>
  <si>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</si>
  <si>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</si>
  <si>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</si>
  <si>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</si>
  <si>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</si>
  <si>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</si>
  <si>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</si>
  <si>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</si>
  <si>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</si>
  <si>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</si>
  <si>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</si>
  <si>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</si>
  <si>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</si>
  <si>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</si>
  <si>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</si>
  <si>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</si>
  <si>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</si>
  <si>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</si>
  <si>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</si>
  <si>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</si>
  <si>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</si>
  <si>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</si>
  <si>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</si>
  <si>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</si>
  <si>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</si>
  <si>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</si>
  <si>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</si>
  <si>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</si>
  <si>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</si>
  <si>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</si>
  <si>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</si>
  <si>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</si>
  <si>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</si>
  <si>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</si>
  <si>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</si>
  <si>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</si>
  <si>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</si>
  <si>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</si>
  <si>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</si>
  <si>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</si>
  <si>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</si>
  <si>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</si>
  <si>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</si>
  <si>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</si>
  <si>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</si>
  <si>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</si>
  <si>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</si>
  <si>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</si>
  <si>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</si>
  <si>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</si>
  <si>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</si>
  <si>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</si>
  <si>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</si>
  <si>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</si>
  <si>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</si>
  <si>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</si>
  <si>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</si>
  <si>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</si>
  <si>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</si>
  <si>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</si>
  <si>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</si>
  <si>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</si>
  <si>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</si>
  <si>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</si>
  <si>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</si>
  <si>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</si>
  <si>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</si>
  <si>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</si>
  <si>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</si>
  <si>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</si>
  <si>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</si>
  <si>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</si>
  <si>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</si>
  <si>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</si>
  <si>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</si>
  <si>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</si>
  <si>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</si>
  <si>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</si>
  <si>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</si>
  <si>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</si>
  <si>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</si>
  <si>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</si>
  <si>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</si>
  <si>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</si>
  <si>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</si>
  <si>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</si>
  <si>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</si>
  <si>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</si>
  <si>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</si>
  <si>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</si>
  <si>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</si>
  <si>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</si>
  <si>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</si>
  <si>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</si>
  <si>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</si>
  <si>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</si>
  <si>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</si>
  <si>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</si>
  <si>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</si>
  <si>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</si>
  <si>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</si>
  <si>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</si>
  <si>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</si>
  <si>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</si>
  <si>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</si>
  <si>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</si>
  <si>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</si>
  <si>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</si>
  <si>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</si>
  <si>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</si>
  <si>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</si>
  <si>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</si>
  <si>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</si>
  <si>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</si>
  <si>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</si>
  <si>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</si>
  <si>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</si>
  <si>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</si>
  <si>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</si>
  <si>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</si>
  <si>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</si>
  <si>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</si>
  <si>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</si>
  <si>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</si>
  <si>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</si>
  <si>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</si>
  <si>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</si>
  <si>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</si>
  <si>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</si>
  <si>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</si>
  <si>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</si>
  <si>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</si>
  <si>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</si>
  <si>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</si>
  <si>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</si>
  <si>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</si>
  <si>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</si>
  <si>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</si>
  <si>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</si>
  <si>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</si>
  <si>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</si>
  <si>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</si>
  <si>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</si>
  <si>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</si>
  <si>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</si>
  <si>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</si>
  <si>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</si>
  <si>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</si>
  <si>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</si>
  <si>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</si>
  <si>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</si>
  <si>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</si>
  <si>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</si>
  <si>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</si>
  <si>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</si>
  <si>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</si>
  <si>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</si>
  <si>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</si>
  <si>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</si>
  <si>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</si>
  <si>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</si>
  <si>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</si>
  <si>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</si>
  <si>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</si>
  <si>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</si>
  <si>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</si>
  <si>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</si>
  <si>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</si>
  <si>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</si>
  <si>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</si>
  <si>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</si>
  <si>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</si>
  <si>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</si>
  <si>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</si>
  <si>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</si>
  <si>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</si>
  <si>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</si>
  <si>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</si>
  <si>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</si>
  <si>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</si>
  <si>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</si>
  <si>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</si>
  <si>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</si>
  <si>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</si>
  <si>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</si>
  <si>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</si>
  <si>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</si>
  <si>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</si>
  <si>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</si>
  <si>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</si>
  <si>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</si>
  <si>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</si>
  <si>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</si>
  <si>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</si>
  <si>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</si>
  <si>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</si>
  <si>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</si>
  <si>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</si>
  <si>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</si>
  <si>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</si>
  <si>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</si>
  <si>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</si>
  <si>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Id. Kapoli Antal Művelődési Központ</t>
  </si>
  <si>
    <t>IRÁNYÍTÓ SZERVI TÁMOGATÁS</t>
  </si>
  <si>
    <t>IRÁNYÍTÓ SZERVI TÁMOGATÁS FOLYÓSÍTÁSA</t>
  </si>
  <si>
    <t>Eredeti ei.</t>
  </si>
  <si>
    <t>ÖSSZES KIADÁS (IRÁNYÍTÓ SZERVI TÁMOGATÁS NÉLKÜL)</t>
  </si>
  <si>
    <t>Egyéb felhalmozási célú kiadások</t>
  </si>
  <si>
    <t>Rendkívüli önkormányzati támogatás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</si>
  <si>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</si>
  <si>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</si>
  <si>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</si>
  <si>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</si>
  <si>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</si>
  <si>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</si>
  <si>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</si>
  <si>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</si>
  <si>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</si>
  <si>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</si>
  <si>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</si>
  <si>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</si>
  <si>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</si>
  <si>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</si>
  <si>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</si>
  <si>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</si>
  <si>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</si>
  <si>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</si>
  <si>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</si>
  <si>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</si>
  <si>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</si>
  <si>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</si>
  <si>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</si>
  <si>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</si>
  <si>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</si>
  <si>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</si>
  <si>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</si>
  <si>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</si>
  <si>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</si>
  <si>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</si>
  <si>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</si>
  <si>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</si>
  <si>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</si>
  <si>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</si>
  <si>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</si>
  <si>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</si>
  <si>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</si>
  <si>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</si>
  <si>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</si>
  <si>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</si>
  <si>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</si>
  <si>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</si>
  <si>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</si>
  <si>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</si>
  <si>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</si>
  <si>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</si>
  <si>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</si>
  <si>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</si>
  <si>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</si>
  <si>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</si>
  <si>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</si>
  <si>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</si>
  <si>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</si>
  <si>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</si>
  <si>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</si>
  <si>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</si>
  <si>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</si>
  <si>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</si>
  <si>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</si>
  <si>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</si>
  <si>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</si>
  <si>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</si>
  <si>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</si>
  <si>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</si>
  <si>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</si>
  <si>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</si>
  <si>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</si>
  <si>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</si>
  <si>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</si>
  <si>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</si>
  <si>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</si>
  <si>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</si>
  <si>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</si>
  <si>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</si>
  <si>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</si>
  <si>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</si>
  <si>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</si>
  <si>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</si>
  <si>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</si>
  <si>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Működési célú átvett pénzeszköz, kölcsöntörl.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</si>
  <si>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</si>
  <si>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</si>
  <si>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</si>
  <si>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</si>
  <si>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</si>
  <si>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</si>
  <si>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</si>
  <si>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</si>
  <si>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</si>
  <si>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</si>
  <si>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</si>
  <si>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</si>
  <si>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</si>
  <si>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</si>
  <si>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</si>
  <si>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</si>
  <si>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</si>
  <si>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</si>
  <si>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</si>
  <si>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</si>
  <si>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</si>
  <si>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</si>
  <si>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</si>
  <si>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</si>
  <si>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</si>
  <si>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</si>
  <si>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
 eredeti előirányzat</t>
  </si>
  <si>
    <t>Polgármesteri illetmény támogatása</t>
  </si>
  <si>
    <t xml:space="preserve">Alapfokozatú végzettségű pedagógus II. kategóriába sorolt óvodapedagógus kiegészítő támogatása 2 fő </t>
  </si>
  <si>
    <t>Szociális étkeztetés 90 fő</t>
  </si>
  <si>
    <t>Házi segítségnyújtás-személyi gondozás 16 fő</t>
  </si>
  <si>
    <t>I.1.a) Önkormányzati hivatal működésének támogatása 15,44 fő</t>
  </si>
  <si>
    <t>Pipacs utca vízrendezés</t>
  </si>
  <si>
    <t>2019. évi tervezett kiadás összege</t>
  </si>
  <si>
    <t>2018. évi támogatási előleg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</si>
  <si>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</si>
  <si>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</si>
  <si>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</si>
  <si>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</si>
  <si>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</si>
  <si>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</si>
  <si>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</si>
  <si>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</si>
  <si>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</si>
  <si>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</si>
  <si>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</si>
  <si>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</si>
  <si>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>Koncessziós díj bevétel számla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</si>
  <si>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</si>
  <si>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2/1 oldal</t>
  </si>
  <si>
    <t>2/2 oldal</t>
  </si>
  <si>
    <t>Orvosi rendelő építése TOP-4.1.1.</t>
  </si>
  <si>
    <t>041236</t>
  </si>
  <si>
    <t>Országos közfoglakoztatási program</t>
  </si>
  <si>
    <t>ÖSSZESEN
EREDETI EI</t>
  </si>
  <si>
    <t>EREDETI EI</t>
  </si>
  <si>
    <t>LÉTSZÁM (FŐ)
MÓDOSÍTOTT</t>
  </si>
  <si>
    <t>084070 / 084020</t>
  </si>
  <si>
    <t>ÖSSZES BEVÉTEL</t>
  </si>
  <si>
    <t>fő</t>
  </si>
  <si>
    <t xml:space="preserve"> összege
Eredeti Ei.</t>
  </si>
  <si>
    <t>mértéke
Eredeti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</si>
  <si>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</si>
  <si>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</si>
  <si>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</si>
  <si>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</si>
  <si>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</si>
  <si>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</si>
  <si>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</si>
  <si>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</si>
  <si>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</si>
  <si>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</si>
  <si>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</si>
  <si>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</si>
  <si>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</si>
  <si>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</si>
  <si>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</si>
  <si>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</si>
  <si>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</si>
  <si>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</si>
  <si>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</si>
  <si>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</si>
  <si>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</si>
  <si>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</si>
  <si>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</si>
  <si>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</si>
  <si>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</si>
  <si>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</si>
  <si>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Szolgáltatások bevétele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</si>
  <si>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</si>
  <si>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</si>
  <si>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</si>
  <si>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</si>
  <si>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</si>
  <si>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</si>
  <si>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</si>
  <si>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</si>
  <si>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</si>
  <si>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</si>
  <si>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</si>
  <si>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</si>
  <si>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</si>
  <si>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</si>
  <si>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MÓDOSÍTOTT EI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</si>
  <si>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</si>
  <si>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</si>
  <si>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</si>
  <si>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</si>
  <si>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</si>
  <si>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</si>
  <si>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Önkormányzatok elszámolásai a központi költségvetéssel</t>
  </si>
  <si>
    <t>Támogatási célú finansz. Műveletek</t>
  </si>
  <si>
    <t>Költségvetési maradvány
 (098)
EREDETI EI</t>
  </si>
  <si>
    <t>Bevételek</t>
  </si>
  <si>
    <t>KADARKÚT VÁROS ÖNKORMÁNYZATA</t>
  </si>
  <si>
    <t>900020</t>
  </si>
  <si>
    <t>Önkormányzati funkcióra nem sorolt bevét</t>
  </si>
  <si>
    <t>Központi irányítószervi támogatás
 (098)
EREDETI EI</t>
  </si>
  <si>
    <t>Gyermekvédelmi és pénzbeli term.beli ellátások</t>
  </si>
  <si>
    <t>Működési célú önkormányzati támogatás  (B115)</t>
  </si>
  <si>
    <t>Felhalmozási célú bevételek összesen: (B21,B23, B25)</t>
  </si>
  <si>
    <t>Elszámolásból származó bevételek (B116)</t>
  </si>
  <si>
    <t>Beruházás (K61,K62, K63, K64, K67)</t>
  </si>
  <si>
    <t>EREDETI EI
Összeg</t>
  </si>
  <si>
    <t>Módosított Ei.</t>
  </si>
  <si>
    <t>059.
ÁLLAMHÁZTAR- TÁSON BELÜLI MEGELŐLEGEZÉS VISSZAFIZETÉSE
EREDETI EI</t>
  </si>
  <si>
    <t>055121.
ELLÁTOTTAK PÉNZBENI PÉNZBENI  JUTTATÁSAI
EREDETI EI</t>
  </si>
  <si>
    <t>059.
PÉNZÜGYI LÍZING KIADÁS
EREDETI EI</t>
  </si>
  <si>
    <t>055.
MŰKÖDÉSI C. ÁTADOTT PÉNZESZK.
EREDETI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</si>
  <si>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</si>
  <si>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</si>
  <si>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</si>
  <si>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</si>
  <si>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</si>
  <si>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Nyári diákmunka támogatása (B16)</t>
  </si>
  <si>
    <t>EFOP program támogatása (B25)</t>
  </si>
  <si>
    <t>Szociális Alaszolg. Kp. konyha tető felújítás, eszköz beszerzés támogatása (B25)</t>
  </si>
  <si>
    <t>Biztosítók által fizetett kártérítés (B410)</t>
  </si>
  <si>
    <t>Működési bevétel helyi önkormányzatoktól   (B16)</t>
  </si>
  <si>
    <t>Működési bevétel Megyei Könyvtártól  (B16)</t>
  </si>
  <si>
    <t>Működési bevétel államháztartáson belülről- ASP bevezetés többlet feladat  (B16)</t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</si>
  <si>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</si>
  <si>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</si>
  <si>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</si>
  <si>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</si>
  <si>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</si>
  <si>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</si>
  <si>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</si>
  <si>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</si>
  <si>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</si>
  <si>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</si>
  <si>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</si>
  <si>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</si>
  <si>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</si>
  <si>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</si>
  <si>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</si>
  <si>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</si>
  <si>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</si>
  <si>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</si>
  <si>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</si>
  <si>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</si>
  <si>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</si>
  <si>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</si>
  <si>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>Pénzügyi Lízing kiadásai</t>
  </si>
  <si>
    <t>Helyi önk. Előző évi elszám. Szárm kiad</t>
  </si>
  <si>
    <t>052. 
MUNK. TERH. JÁRULÉK
EREDETI EI</t>
  </si>
  <si>
    <t>053.  
DOLOGI KIADÁS
EREDETI EI</t>
  </si>
  <si>
    <t xml:space="preserve">
055.
TARTALÉK
EREDETI EI</t>
  </si>
  <si>
    <t>051.
SZEMÉLYI JUTTATÁS
EREDETI EI</t>
  </si>
  <si>
    <t xml:space="preserve">
056.
BERUHÁZÁS
EREDETI EI
</t>
  </si>
  <si>
    <t xml:space="preserve">
057.
FELÚJÍTÁS
EREDETI EI</t>
  </si>
  <si>
    <t>Kadarkút Város Önkormányzat 2019. évi kiadásai kormányzati funkciók szerinti bontásban</t>
  </si>
  <si>
    <t>Kadarkút Város Önkormányzat 2019. évi bevételei kormányzati funkciók szerinti bontásban</t>
  </si>
  <si>
    <t>Kadarkút Város Önkormányzat 2019. évi tartaléka</t>
  </si>
  <si>
    <t>Kadarkút Város Önkormányzatának előirányzat felhasználási és likviditási ütemterve 2019. évben</t>
  </si>
  <si>
    <t>Kadarkút Város Önkormányzat által biztosított közvetlen támogatások 2019. évben</t>
  </si>
  <si>
    <t>Kadarkút Város Önkormányzata által nyújtott közvetett támogatásokról 2019.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</si>
  <si>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2019.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</si>
  <si>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Kadarkút Város Önkormányzat 2019. évi bevételei és kiadásai alakulásáról</t>
  </si>
  <si>
    <t>Kadarkút Város Önkormányzat 2019 . évi bevételei és kiadásai alakulásáról</t>
  </si>
  <si>
    <t>2019. évi eredeti ei</t>
  </si>
  <si>
    <t>Kadarkút Város Önkormányzatának 
összevont mérlege  2017., 2018., 2019 években</t>
  </si>
  <si>
    <t xml:space="preserve">2019. évi
 eredeti </t>
  </si>
  <si>
    <t>2019. évi
eredeti előirányzat</t>
  </si>
  <si>
    <t>Kadarkút Város Önkormányzatának működési bevételei és kiadásai 2019. évben</t>
  </si>
  <si>
    <t>Támogatási célú fin. Műv (Katasztrófavédelem, fogászat, vakok és gyengénlátók)</t>
  </si>
  <si>
    <t>900060</t>
  </si>
  <si>
    <t>Pénzügyi műveletek kiadásai (Szaszk autó)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</si>
  <si>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</si>
  <si>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</si>
  <si>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</si>
  <si>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</si>
  <si>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</si>
  <si>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</si>
  <si>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104031</t>
  </si>
  <si>
    <t>gyermekek bölcsődében és minibölcsödében történő ellátása</t>
  </si>
  <si>
    <t>ÖSSZESEN
EREDETI  EI</t>
  </si>
  <si>
    <t>általános támogatás</t>
  </si>
  <si>
    <t>Bölcsődei dajkák, középfokú végzettségű kisgyermek nevelők</t>
  </si>
  <si>
    <t>Bölcsődei üzemeltetés támogatása</t>
  </si>
  <si>
    <t>Működési bevételek
(094)
EREDETI EI</t>
  </si>
  <si>
    <t xml:space="preserve"> Működési támogatások 
(091)
EREDETI EI</t>
  </si>
  <si>
    <t>Felhalmozási célú támogatások 
(092)
EREDETI EI</t>
  </si>
  <si>
    <t>Közhatalmi bevételek
 (093)
EREDETI EI</t>
  </si>
  <si>
    <t>Tankerületi Központ költségének térítésa (REKI)</t>
  </si>
  <si>
    <t>Traktor beszerzés támogatás (ÁHT-n belül) (B25)</t>
  </si>
  <si>
    <t>Kamerarendszer kiépítésének támogatása</t>
  </si>
  <si>
    <t>Működési célú önkormányzati támogatás (REKI)</t>
  </si>
  <si>
    <t>+ int finansz</t>
  </si>
  <si>
    <t>A helyi önkormányzatok központilag szabályzott bevételei 2019. évben</t>
  </si>
  <si>
    <t>Lakos 2018. jan.1.</t>
  </si>
  <si>
    <t>Óvodapedagógusok 8 havi támogatása 10,3 fő</t>
  </si>
  <si>
    <t>Óvodapedagógusok 4 havi támogatása 10,5 fő</t>
  </si>
  <si>
    <t>Óvodaműködtetési támogatás - 8 hónap 105 fő</t>
  </si>
  <si>
    <t>Óvodaműködtetési támogatás - 4 hónap 105 fő</t>
  </si>
  <si>
    <t xml:space="preserve">Alapfokozatú végzettségű pedagógus II. kategóriába sorolt óvodapedagógus, akik a minősítést  2018.01.01-i átsorolással szerezték meg  5 fő </t>
  </si>
  <si>
    <t>Házi segytségnyújtás-szociális segítés 6 fő</t>
  </si>
  <si>
    <t>Időskorúak nappali intézményi ellátása 17 fő</t>
  </si>
  <si>
    <t>A finanszirozás szemp.elismert dolgozók bértámogatása 9,74 fő</t>
  </si>
  <si>
    <t>Bölcsődei elismert szakmai létszáma 2,5 fő</t>
  </si>
  <si>
    <t>Bölcsőde üzemeltetési támogatása</t>
  </si>
  <si>
    <t xml:space="preserve">          Kadarkút Város Önkormányzatának 2019. évi felhalmozási bevételei</t>
  </si>
  <si>
    <t>-melyből EFOP 3-9-2 program támogatása</t>
  </si>
  <si>
    <t>-melyből EFOP 1-5-3 program támogatása</t>
  </si>
  <si>
    <t>ÖSSZEG
EREDETI Ei.</t>
  </si>
  <si>
    <t>Kadarkút Város Önkormányzatának 
2019. évi felhalmozási kiadásai</t>
  </si>
  <si>
    <t>Sportpálya felújítása</t>
  </si>
  <si>
    <t>Kamerarendszer kiépítése</t>
  </si>
  <si>
    <t>Traktor beszerzés</t>
  </si>
  <si>
    <t>Iskolakonyha eszköz beszerzés, tető felújítása (útófinanszírozás)</t>
  </si>
  <si>
    <t>Közmvelődési érdekeltségnövelő támogatás+önerő (2018 évi)</t>
  </si>
  <si>
    <t>orvosi rendelő építése</t>
  </si>
  <si>
    <t>EFOP-3-9-2 óvoda vizesblok és rekortánpálya világítása</t>
  </si>
  <si>
    <t>Szociális bérlakások felújítása</t>
  </si>
  <si>
    <t>Biztos Kezdet Gyerekház - laptop beszerzés</t>
  </si>
  <si>
    <t>Biztos Kezdet Gyerekház - bejárati ajtó csere</t>
  </si>
  <si>
    <t>Védőnői szolgálat részére nyomtató beszerzés</t>
  </si>
  <si>
    <t>Orvosi rendelő építés új építési terv készítés</t>
  </si>
  <si>
    <t>Körmendi utcai ingatlan visszavásárlása</t>
  </si>
  <si>
    <t>Önkormányzati bérlakások felújítása</t>
  </si>
  <si>
    <t xml:space="preserve">Közös Hivatal légkondizíonáló berendezés </t>
  </si>
  <si>
    <t>Közös Hivatal eszköz beszerzés (szünetmentes, monitor)</t>
  </si>
  <si>
    <t>Könyvtár részére bútor beszerzés (fotel, asztal)</t>
  </si>
  <si>
    <t xml:space="preserve">Művelődési Ház eszköz beszerzés </t>
  </si>
  <si>
    <t>Szaszk eszköz beszerzés (bútor, TV, rádió, étkészlet, vérnyomásmérő, vércukormárő, kerékpár)</t>
  </si>
  <si>
    <t>Kadarkút Város Önkormányzat 2019. évi létszámkerete kormányzati funkció szerinti bontásban</t>
  </si>
  <si>
    <t>2019. évi engedélyezett létszám ( fő)
EREDETI EI</t>
  </si>
  <si>
    <t>Kadarkút Város Önkormányzat 2019. évi közfoglalkoztatási létszámkerete</t>
  </si>
  <si>
    <t>EREDETI</t>
  </si>
  <si>
    <t>Beruházás teljes  költsége
 (2018-2020)</t>
  </si>
  <si>
    <t>2018. évi tény kiadás összege
Eredeti Ei</t>
  </si>
  <si>
    <t>2019. évi támogatási előleg</t>
  </si>
  <si>
    <t>Környezetvédelmi alap számla 2018.12.31. napi egyelege</t>
  </si>
  <si>
    <t>Megszűnt viziközmű társulattól átvett pénzeszköz számla (2018.12.31. napi egyenleg csökkentve a 2019. évi beruházások összegével)</t>
  </si>
  <si>
    <t>Szociális bérlakás számla (2018.12.31. napi egyenleg csökkentve a 2019. évi beruházások összegével)</t>
  </si>
  <si>
    <t>2038.</t>
  </si>
  <si>
    <t>SM Katasztrófavédelmi Igazgatóság Támogatása</t>
  </si>
  <si>
    <t>Vakok és gyengénlátómk támogatása</t>
  </si>
  <si>
    <t>Sportegyesület támogatása (labdarúgó)</t>
  </si>
  <si>
    <t xml:space="preserve">Szkanderszövetség éves támogatása </t>
  </si>
  <si>
    <t>Ilyen kedvezmény nyújtását a 2019. évi költségvetésben nem terveztük.</t>
  </si>
  <si>
    <t>2019. évi engedélyezett létszám ( fő) MÓDOSÍTOTT EI</t>
  </si>
  <si>
    <t>ganczné</t>
  </si>
  <si>
    <t>"+ 1 fő pályázat"</t>
  </si>
  <si>
    <t>Barna. Ferenciné, Horváth Gy., Szalai N</t>
  </si>
  <si>
    <t>"- ihárosi"</t>
  </si>
  <si>
    <t>062020</t>
  </si>
  <si>
    <t>Településfejlesztési projektek és támogatások</t>
  </si>
  <si>
    <t>1. melléklet az 1/2019.(II.15.) önkormányzati rendelethez</t>
  </si>
  <si>
    <t>2. melléklet az 1/2019.(II.15.) önkormányzati rendelethez</t>
  </si>
  <si>
    <t>3. melléklet az 1/2019.(II.15.) önkormányzati rendelethez</t>
  </si>
  <si>
    <t xml:space="preserve">4. melléklet az 1/2019.(II.15.) önkormányzati rendelethez </t>
  </si>
  <si>
    <t xml:space="preserve">5.a  melléklet az 1/2019.(II.15.) önkormányzati rendelethez </t>
  </si>
  <si>
    <t xml:space="preserve">5.b  melléklet az 1/2019.(II.15.) önkormányzati rendelethez </t>
  </si>
  <si>
    <t xml:space="preserve">6. melléklet az 1/2019.(II.15.) önkormányzati rendelethez </t>
  </si>
  <si>
    <t xml:space="preserve">7.  melléklet az 1/2019.(II.15.) önkormányzati rendelethez </t>
  </si>
  <si>
    <t xml:space="preserve">8. melléklet az 1/2019.(II.15.) önkormányzati rendelethez </t>
  </si>
  <si>
    <t xml:space="preserve">9. melléklet az 1/2019.(II.15.) önkormányzati rendelethez </t>
  </si>
  <si>
    <t>10.  melléklet az 1/2019.(II.15) önkormányzati rendelethez</t>
  </si>
  <si>
    <t xml:space="preserve">11. melléklet az 1/2019.(II.15.) önkormányzati rendelethez </t>
  </si>
  <si>
    <t xml:space="preserve">12. melléklet az 1/2019.(II.15.) önkormányzati rendelethez </t>
  </si>
  <si>
    <t xml:space="preserve">13. melléklet az 1/2019.(II.15.) önkormányzati rendelethez </t>
  </si>
  <si>
    <t>14. melléklet az 1/2019.(II.15.) önkormányzati rendelethez</t>
  </si>
  <si>
    <t xml:space="preserve">15. melléklet az 1/2019.(II.15.) önkormányzati rendelethez </t>
  </si>
  <si>
    <t xml:space="preserve">16. melléklet az 1/2019.(II.15.) önkormányzati rendelethez </t>
  </si>
  <si>
    <t xml:space="preserve">17. melléklet az 1/2019.(II.15.) önkormányzati rendelethez </t>
  </si>
  <si>
    <t xml:space="preserve">18. melléklet az 1/2019.(II.15.) önkormányzati rendelethez </t>
  </si>
  <si>
    <t xml:space="preserve">19. melléklet az 1/2019.(II.15.) önkormányzati rendelethez </t>
  </si>
  <si>
    <t xml:space="preserve">20. melléklet az 1/2019.(II.15.) önkormányzati rendelethez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</si>
</sst>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9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5" fillId="0" borderId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5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10" fillId="2" borderId="9" xfId="2" applyFont="1" applyFill="1" applyBorder="1" applyAlignment="1"/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6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0" fontId="19" fillId="0" borderId="0" xfId="2" applyFont="1" applyAlignment="1"/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9" fillId="0" borderId="0" xfId="2" applyNumberFormat="1" applyFont="1" applyAlignment="1">
      <alignment horizontal="center"/>
    </xf>
    <xf numFmtId="3" fontId="19" fillId="0" borderId="0" xfId="2" applyNumberFormat="1" applyFont="1"/>
    <xf numFmtId="0" fontId="19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9" fillId="0" borderId="9" xfId="2" applyFont="1" applyBorder="1"/>
    <xf numFmtId="0" fontId="19" fillId="0" borderId="10" xfId="2" applyFont="1" applyBorder="1" applyAlignment="1">
      <alignment horizontal="center"/>
    </xf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20" fillId="0" borderId="0" xfId="2" applyFont="1" applyAlignment="1">
      <alignment vertical="center"/>
    </xf>
    <xf numFmtId="0" fontId="20" fillId="0" borderId="0" xfId="2" applyFont="1"/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3" fontId="10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0" fontId="16" fillId="0" borderId="0" xfId="2" applyFont="1"/>
    <xf numFmtId="0" fontId="32" fillId="0" borderId="0" xfId="2" applyFont="1" applyAlignment="1">
      <alignment horizontal="right"/>
    </xf>
    <xf numFmtId="0" fontId="34" fillId="0" borderId="0" xfId="2" applyFont="1"/>
    <xf numFmtId="0" fontId="35" fillId="0" borderId="0" xfId="2" applyFont="1" applyAlignment="1">
      <alignment horizontal="right"/>
    </xf>
    <xf numFmtId="0" fontId="33" fillId="0" borderId="12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9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1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39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9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9" fillId="0" borderId="0" xfId="2" applyNumberFormat="1" applyFont="1" applyAlignment="1">
      <alignment horizontal="right"/>
    </xf>
    <xf numFmtId="0" fontId="42" fillId="0" borderId="0" xfId="2" applyFont="1" applyAlignment="1">
      <alignment wrapText="1"/>
    </xf>
    <xf numFmtId="0" fontId="42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9" fillId="0" borderId="9" xfId="2" applyFont="1" applyBorder="1" applyAlignment="1">
      <alignment vertical="center"/>
    </xf>
    <xf numFmtId="3" fontId="19" fillId="0" borderId="0" xfId="2" applyNumberFormat="1" applyFont="1" applyAlignment="1"/>
    <xf numFmtId="0" fontId="19" fillId="0" borderId="9" xfId="2" applyFont="1" applyBorder="1" applyAlignment="1"/>
    <xf numFmtId="0" fontId="10" fillId="0" borderId="9" xfId="2" applyFont="1" applyBorder="1" applyAlignment="1"/>
    <xf numFmtId="0" fontId="25" fillId="0" borderId="0" xfId="2" applyFont="1" applyAlignment="1"/>
    <xf numFmtId="0" fontId="16" fillId="0" borderId="0" xfId="2" applyFont="1" applyAlignment="1"/>
    <xf numFmtId="3" fontId="19" fillId="0" borderId="0" xfId="2" applyNumberFormat="1" applyFont="1" applyBorder="1" applyAlignment="1"/>
    <xf numFmtId="0" fontId="19" fillId="0" borderId="0" xfId="2" applyFont="1" applyBorder="1" applyAlignment="1"/>
    <xf numFmtId="0" fontId="20" fillId="0" borderId="0" xfId="2" applyFont="1" applyBorder="1" applyAlignment="1"/>
    <xf numFmtId="0" fontId="22" fillId="0" borderId="0" xfId="2" applyFont="1" applyAlignment="1"/>
    <xf numFmtId="0" fontId="19" fillId="0" borderId="9" xfId="2" applyFont="1" applyBorder="1" applyAlignment="1">
      <alignment wrapText="1"/>
    </xf>
    <xf numFmtId="3" fontId="10" fillId="0" borderId="0" xfId="2" applyNumberFormat="1" applyFont="1"/>
    <xf numFmtId="3" fontId="1" fillId="0" borderId="0" xfId="2" applyNumberFormat="1"/>
    <xf numFmtId="0" fontId="23" fillId="0" borderId="0" xfId="2" applyFont="1" applyAlignment="1">
      <alignment horizontal="center"/>
    </xf>
    <xf numFmtId="0" fontId="47" fillId="0" borderId="0" xfId="2" applyFont="1" applyAlignment="1">
      <alignment vertical="center"/>
    </xf>
    <xf numFmtId="0" fontId="49" fillId="0" borderId="0" xfId="2" applyFont="1" applyAlignment="1">
      <alignment horizontal="left" vertical="center"/>
    </xf>
    <xf numFmtId="0" fontId="5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6" fillId="0" borderId="0" xfId="2" applyFont="1" applyAlignment="1">
      <alignment horizontal="center" vertical="center"/>
    </xf>
    <xf numFmtId="0" fontId="46" fillId="0" borderId="0" xfId="2" applyFont="1" applyBorder="1" applyAlignment="1">
      <alignment horizontal="center" vertical="center"/>
    </xf>
    <xf numFmtId="0" fontId="51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4" fillId="0" borderId="0" xfId="2" applyFont="1"/>
    <xf numFmtId="0" fontId="24" fillId="0" borderId="0" xfId="2" applyFont="1" applyBorder="1" applyAlignment="1">
      <alignment vertical="center" wrapText="1"/>
    </xf>
    <xf numFmtId="0" fontId="55" fillId="0" borderId="0" xfId="2" applyFont="1" applyBorder="1" applyAlignment="1">
      <alignment horizontal="center" vertical="center" wrapText="1"/>
    </xf>
    <xf numFmtId="3" fontId="16" fillId="0" borderId="19" xfId="2" applyNumberFormat="1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54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6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5" applyFont="1" applyBorder="1"/>
    <xf numFmtId="0" fontId="32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1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3" fillId="0" borderId="0" xfId="2" applyFont="1" applyBorder="1"/>
    <xf numFmtId="3" fontId="23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28" fillId="0" borderId="0" xfId="0" applyFont="1"/>
    <xf numFmtId="0" fontId="0" fillId="0" borderId="9" xfId="0" applyBorder="1"/>
    <xf numFmtId="0" fontId="28" fillId="0" borderId="9" xfId="0" applyFont="1" applyBorder="1"/>
    <xf numFmtId="0" fontId="0" fillId="0" borderId="9" xfId="0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20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9" fillId="0" borderId="9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49" fontId="19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0" fontId="29" fillId="0" borderId="0" xfId="2" applyFont="1" applyAlignment="1">
      <alignment vertical="center"/>
    </xf>
    <xf numFmtId="0" fontId="20" fillId="0" borderId="20" xfId="2" applyFont="1" applyBorder="1" applyAlignment="1">
      <alignment horizontal="left" vertical="center"/>
    </xf>
    <xf numFmtId="3" fontId="17" fillId="0" borderId="26" xfId="2" applyNumberFormat="1" applyFont="1" applyBorder="1" applyAlignment="1">
      <alignment horizontal="center" vertical="center" wrapText="1"/>
    </xf>
    <xf numFmtId="49" fontId="14" fillId="0" borderId="16" xfId="2" applyNumberFormat="1" applyFont="1" applyBorder="1" applyAlignment="1">
      <alignment vertical="center"/>
    </xf>
    <xf numFmtId="49" fontId="14" fillId="0" borderId="27" xfId="2" applyNumberFormat="1" applyFont="1" applyBorder="1" applyAlignment="1">
      <alignment vertical="center"/>
    </xf>
    <xf numFmtId="49" fontId="14" fillId="0" borderId="28" xfId="2" applyNumberFormat="1" applyFont="1" applyBorder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9" fillId="3" borderId="16" xfId="2" applyNumberFormat="1" applyFont="1" applyFill="1" applyBorder="1" applyAlignment="1">
      <alignment horizontal="left" vertical="center"/>
    </xf>
    <xf numFmtId="0" fontId="19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2" fillId="0" borderId="18" xfId="2" applyFont="1" applyBorder="1" applyAlignment="1">
      <alignment vertical="center"/>
    </xf>
    <xf numFmtId="0" fontId="21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7" fillId="0" borderId="0" xfId="2" applyFont="1" applyAlignment="1">
      <alignment wrapText="1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19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31" xfId="2" applyNumberFormat="1" applyFont="1" applyFill="1" applyBorder="1" applyAlignment="1">
      <alignment horizontal="right" indent="1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6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7" fillId="0" borderId="39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0" fontId="11" fillId="0" borderId="8" xfId="2" applyFont="1" applyFill="1" applyBorder="1" applyAlignment="1">
      <alignment vertical="center"/>
    </xf>
    <xf numFmtId="0" fontId="28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0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1" xfId="2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67" fillId="0" borderId="42" xfId="2" applyFont="1" applyBorder="1" applyAlignment="1">
      <alignment horizontal="center"/>
    </xf>
    <xf numFmtId="0" fontId="67" fillId="0" borderId="43" xfId="2" applyFont="1" applyBorder="1" applyAlignment="1">
      <alignment horizontal="center"/>
    </xf>
    <xf numFmtId="0" fontId="67" fillId="0" borderId="44" xfId="2" applyFont="1" applyBorder="1" applyAlignment="1">
      <alignment horizontal="center"/>
    </xf>
    <xf numFmtId="166" fontId="34" fillId="0" borderId="45" xfId="1" applyNumberFormat="1" applyFont="1" applyBorder="1" applyAlignment="1">
      <alignment horizontal="right" vertical="center" wrapText="1"/>
    </xf>
    <xf numFmtId="166" fontId="67" fillId="0" borderId="12" xfId="1" applyNumberFormat="1" applyFont="1" applyBorder="1" applyAlignment="1">
      <alignment horizontal="right" vertical="center"/>
    </xf>
    <xf numFmtId="166" fontId="34" fillId="0" borderId="9" xfId="1" applyNumberFormat="1" applyFont="1" applyBorder="1" applyAlignment="1">
      <alignment horizontal="right" vertical="center"/>
    </xf>
    <xf numFmtId="166" fontId="34" fillId="0" borderId="46" xfId="1" applyNumberFormat="1" applyFont="1" applyBorder="1" applyAlignment="1">
      <alignment horizontal="right" vertical="center"/>
    </xf>
    <xf numFmtId="166" fontId="67" fillId="0" borderId="47" xfId="1" applyNumberFormat="1" applyFont="1" applyBorder="1" applyAlignment="1">
      <alignment horizontal="right" vertical="center"/>
    </xf>
    <xf numFmtId="166" fontId="67" fillId="0" borderId="48" xfId="1" applyNumberFormat="1" applyFont="1" applyBorder="1" applyAlignment="1">
      <alignment horizontal="right" vertical="center"/>
    </xf>
    <xf numFmtId="3" fontId="77" fillId="0" borderId="18" xfId="3" applyNumberFormat="1" applyFont="1" applyFill="1" applyBorder="1" applyAlignment="1">
      <alignment horizontal="right" vertical="center" indent="1"/>
    </xf>
    <xf numFmtId="3" fontId="76" fillId="0" borderId="9" xfId="2" applyNumberFormat="1" applyFont="1" applyBorder="1" applyAlignment="1">
      <alignment horizontal="right"/>
    </xf>
    <xf numFmtId="3" fontId="75" fillId="0" borderId="9" xfId="2" applyNumberFormat="1" applyFont="1" applyBorder="1" applyAlignment="1">
      <alignment horizontal="right"/>
    </xf>
    <xf numFmtId="0" fontId="76" fillId="0" borderId="9" xfId="2" applyFont="1" applyBorder="1" applyAlignment="1">
      <alignment horizontal="right"/>
    </xf>
    <xf numFmtId="0" fontId="75" fillId="0" borderId="9" xfId="2" applyFont="1" applyBorder="1" applyAlignment="1">
      <alignment horizontal="right"/>
    </xf>
    <xf numFmtId="0" fontId="78" fillId="2" borderId="9" xfId="2" applyFont="1" applyFill="1" applyBorder="1" applyAlignment="1">
      <alignment horizontal="right"/>
    </xf>
    <xf numFmtId="3" fontId="75" fillId="2" borderId="9" xfId="2" applyNumberFormat="1" applyFont="1" applyFill="1" applyBorder="1" applyAlignment="1">
      <alignment horizontal="right"/>
    </xf>
    <xf numFmtId="0" fontId="74" fillId="0" borderId="0" xfId="0" applyFont="1"/>
    <xf numFmtId="0" fontId="74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6" xfId="2" applyNumberFormat="1" applyFont="1" applyBorder="1" applyAlignment="1">
      <alignment horizontal="right" vertical="center" indent="5"/>
    </xf>
    <xf numFmtId="3" fontId="11" fillId="2" borderId="39" xfId="2" applyNumberFormat="1" applyFont="1" applyFill="1" applyBorder="1" applyAlignment="1">
      <alignment horizontal="right" vertical="center" indent="5"/>
    </xf>
    <xf numFmtId="3" fontId="12" fillId="0" borderId="49" xfId="2" applyNumberFormat="1" applyFont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5"/>
    </xf>
    <xf numFmtId="3" fontId="12" fillId="3" borderId="50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49" xfId="2" applyNumberFormat="1" applyFont="1" applyFill="1" applyBorder="1" applyAlignment="1">
      <alignment horizontal="right" vertical="center" indent="5"/>
    </xf>
    <xf numFmtId="3" fontId="12" fillId="4" borderId="36" xfId="2" applyNumberFormat="1" applyFont="1" applyFill="1" applyBorder="1" applyAlignment="1">
      <alignment horizontal="right" vertical="center" indent="5"/>
    </xf>
    <xf numFmtId="3" fontId="12" fillId="0" borderId="36" xfId="2" applyNumberFormat="1" applyFont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1" fillId="2" borderId="39" xfId="2" applyNumberFormat="1" applyFont="1" applyFill="1" applyBorder="1" applyAlignment="1">
      <alignment horizontal="right" vertical="center" indent="4"/>
    </xf>
    <xf numFmtId="3" fontId="12" fillId="0" borderId="36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6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Fill="1" applyBorder="1" applyAlignment="1">
      <alignment horizontal="center" vertical="center" wrapText="1"/>
    </xf>
    <xf numFmtId="0" fontId="68" fillId="3" borderId="25" xfId="2" applyFont="1" applyFill="1" applyBorder="1" applyAlignment="1">
      <alignment vertical="center" wrapText="1"/>
    </xf>
    <xf numFmtId="0" fontId="68" fillId="3" borderId="9" xfId="2" applyFont="1" applyFill="1" applyBorder="1" applyAlignment="1">
      <alignment vertical="center" wrapText="1"/>
    </xf>
    <xf numFmtId="0" fontId="42" fillId="3" borderId="25" xfId="2" applyFont="1" applyFill="1" applyBorder="1" applyAlignment="1">
      <alignment horizontal="center" vertical="center"/>
    </xf>
    <xf numFmtId="0" fontId="42" fillId="3" borderId="9" xfId="2" applyFont="1" applyFill="1" applyBorder="1" applyAlignment="1">
      <alignment horizontal="center" vertical="center"/>
    </xf>
    <xf numFmtId="167" fontId="21" fillId="3" borderId="25" xfId="1" applyNumberFormat="1" applyFont="1" applyFill="1" applyBorder="1" applyAlignment="1">
      <alignment horizontal="center" vertical="center"/>
    </xf>
    <xf numFmtId="167" fontId="42" fillId="3" borderId="25" xfId="1" applyNumberFormat="1" applyFont="1" applyFill="1" applyBorder="1" applyAlignment="1">
      <alignment horizontal="center" vertical="center"/>
    </xf>
    <xf numFmtId="9" fontId="42" fillId="3" borderId="25" xfId="4" applyFont="1" applyFill="1" applyBorder="1" applyAlignment="1">
      <alignment horizontal="center" vertical="center"/>
    </xf>
    <xf numFmtId="9" fontId="42" fillId="3" borderId="9" xfId="4" applyFont="1" applyFill="1" applyBorder="1" applyAlignment="1">
      <alignment horizontal="center" vertical="center"/>
    </xf>
    <xf numFmtId="167" fontId="21" fillId="3" borderId="9" xfId="1" applyNumberFormat="1" applyFont="1" applyFill="1" applyBorder="1" applyAlignment="1">
      <alignment horizontal="center" vertical="center"/>
    </xf>
    <xf numFmtId="167" fontId="42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166" fontId="1" fillId="0" borderId="0" xfId="2" applyNumberFormat="1"/>
    <xf numFmtId="3" fontId="19" fillId="0" borderId="9" xfId="2" applyNumberFormat="1" applyFont="1" applyFill="1" applyBorder="1" applyAlignment="1">
      <alignment horizontal="right" vertical="center" indent="1"/>
    </xf>
    <xf numFmtId="164" fontId="69" fillId="0" borderId="9" xfId="1" applyNumberFormat="1" applyFont="1" applyBorder="1"/>
    <xf numFmtId="164" fontId="69" fillId="0" borderId="44" xfId="1" applyNumberFormat="1" applyFont="1" applyBorder="1"/>
    <xf numFmtId="164" fontId="69" fillId="0" borderId="48" xfId="1" applyNumberFormat="1" applyFont="1" applyBorder="1"/>
    <xf numFmtId="164" fontId="69" fillId="0" borderId="36" xfId="1" applyNumberFormat="1" applyFont="1" applyBorder="1"/>
    <xf numFmtId="164" fontId="69" fillId="0" borderId="38" xfId="1" applyNumberFormat="1" applyFont="1" applyBorder="1"/>
    <xf numFmtId="164" fontId="69" fillId="0" borderId="51" xfId="1" applyNumberFormat="1" applyFont="1" applyBorder="1" applyAlignment="1">
      <alignment horizontal="right"/>
    </xf>
    <xf numFmtId="164" fontId="69" fillId="0" borderId="9" xfId="1" applyNumberFormat="1" applyFont="1" applyBorder="1" applyAlignment="1">
      <alignment horizontal="right"/>
    </xf>
    <xf numFmtId="164" fontId="69" fillId="0" borderId="44" xfId="1" applyNumberFormat="1" applyFont="1" applyBorder="1" applyAlignment="1">
      <alignment horizontal="right"/>
    </xf>
    <xf numFmtId="164" fontId="69" fillId="0" borderId="48" xfId="1" applyNumberFormat="1" applyFont="1" applyBorder="1" applyAlignment="1">
      <alignment horizontal="right"/>
    </xf>
    <xf numFmtId="164" fontId="0" fillId="0" borderId="0" xfId="0" applyNumberFormat="1"/>
    <xf numFmtId="164" fontId="69" fillId="0" borderId="51" xfId="1" applyNumberFormat="1" applyFont="1" applyBorder="1" applyAlignment="1">
      <alignment horizontal="left"/>
    </xf>
    <xf numFmtId="164" fontId="69" fillId="0" borderId="51" xfId="1" applyNumberFormat="1" applyFont="1" applyBorder="1" applyAlignment="1">
      <alignment horizontal="left" indent="1"/>
    </xf>
    <xf numFmtId="164" fontId="69" fillId="0" borderId="19" xfId="1" applyNumberFormat="1" applyFont="1" applyBorder="1" applyAlignment="1">
      <alignment horizontal="left" indent="1"/>
    </xf>
    <xf numFmtId="164" fontId="69" fillId="0" borderId="9" xfId="1" applyNumberFormat="1" applyFont="1" applyBorder="1" applyAlignment="1">
      <alignment horizontal="left"/>
    </xf>
    <xf numFmtId="164" fontId="69" fillId="0" borderId="9" xfId="1" applyNumberFormat="1" applyFont="1" applyBorder="1" applyAlignment="1">
      <alignment horizontal="left" indent="1"/>
    </xf>
    <xf numFmtId="164" fontId="69" fillId="0" borderId="36" xfId="1" applyNumberFormat="1" applyFont="1" applyBorder="1" applyAlignment="1">
      <alignment horizontal="left" indent="1"/>
    </xf>
    <xf numFmtId="164" fontId="69" fillId="0" borderId="44" xfId="1" applyNumberFormat="1" applyFont="1" applyBorder="1" applyAlignment="1">
      <alignment horizontal="left"/>
    </xf>
    <xf numFmtId="164" fontId="69" fillId="0" borderId="44" xfId="1" applyNumberFormat="1" applyFont="1" applyBorder="1" applyAlignment="1">
      <alignment horizontal="left" indent="1"/>
    </xf>
    <xf numFmtId="164" fontId="69" fillId="0" borderId="38" xfId="1" applyNumberFormat="1" applyFont="1" applyBorder="1" applyAlignment="1">
      <alignment horizontal="left" indent="1"/>
    </xf>
    <xf numFmtId="164" fontId="69" fillId="0" borderId="48" xfId="1" applyNumberFormat="1" applyFont="1" applyBorder="1" applyAlignment="1">
      <alignment horizontal="left"/>
    </xf>
    <xf numFmtId="0" fontId="70" fillId="0" borderId="9" xfId="0" applyFont="1" applyBorder="1" applyAlignment="1">
      <alignment horizontal="center"/>
    </xf>
    <xf numFmtId="3" fontId="79" fillId="0" borderId="9" xfId="0" applyNumberFormat="1" applyFont="1" applyBorder="1"/>
    <xf numFmtId="3" fontId="79" fillId="0" borderId="9" xfId="0" applyNumberFormat="1" applyFont="1" applyBorder="1" applyAlignment="1">
      <alignment vertical="center"/>
    </xf>
    <xf numFmtId="0" fontId="79" fillId="0" borderId="9" xfId="0" applyFont="1" applyBorder="1"/>
    <xf numFmtId="164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 indent="1"/>
    </xf>
    <xf numFmtId="3" fontId="19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3" fontId="10" fillId="3" borderId="16" xfId="2" applyNumberFormat="1" applyFont="1" applyFill="1" applyBorder="1" applyAlignment="1">
      <alignment horizontal="right" vertical="center" indent="1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vertical="center"/>
    </xf>
    <xf numFmtId="3" fontId="19" fillId="0" borderId="16" xfId="2" applyNumberFormat="1" applyFont="1" applyFill="1" applyBorder="1" applyAlignment="1">
      <alignment horizontal="right" vertical="center" indent="1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10" fillId="2" borderId="9" xfId="2" applyFont="1" applyFill="1" applyBorder="1" applyAlignment="1">
      <alignment horizontal="center"/>
    </xf>
    <xf numFmtId="0" fontId="21" fillId="2" borderId="9" xfId="2" applyFont="1" applyFill="1" applyBorder="1" applyAlignment="1">
      <alignment horizontal="center" vertical="center"/>
    </xf>
    <xf numFmtId="0" fontId="71" fillId="0" borderId="0" xfId="2" applyFont="1"/>
    <xf numFmtId="0" fontId="72" fillId="0" borderId="0" xfId="2" applyFont="1"/>
    <xf numFmtId="0" fontId="68" fillId="0" borderId="0" xfId="2" applyFont="1"/>
    <xf numFmtId="0" fontId="68" fillId="0" borderId="0" xfId="2" applyFont="1" applyAlignment="1">
      <alignment horizontal="center"/>
    </xf>
    <xf numFmtId="0" fontId="40" fillId="0" borderId="0" xfId="2" applyFont="1" applyAlignment="1">
      <alignment vertical="center"/>
    </xf>
    <xf numFmtId="3" fontId="42" fillId="3" borderId="0" xfId="2" applyNumberFormat="1" applyFont="1" applyFill="1" applyAlignment="1">
      <alignment horizontal="center"/>
    </xf>
    <xf numFmtId="3" fontId="42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42" fillId="3" borderId="0" xfId="2" applyFont="1" applyFill="1"/>
    <xf numFmtId="3" fontId="42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42" fillId="3" borderId="0" xfId="2" applyFont="1" applyFill="1" applyAlignment="1">
      <alignment horizontal="center"/>
    </xf>
    <xf numFmtId="3" fontId="42" fillId="3" borderId="0" xfId="2" applyNumberFormat="1" applyFont="1" applyFill="1"/>
    <xf numFmtId="3" fontId="71" fillId="0" borderId="0" xfId="2" applyNumberFormat="1" applyFont="1"/>
    <xf numFmtId="0" fontId="73" fillId="0" borderId="0" xfId="2" applyFont="1" applyAlignment="1">
      <alignment horizontal="justify"/>
    </xf>
    <xf numFmtId="3" fontId="42" fillId="0" borderId="0" xfId="2" applyNumberFormat="1" applyFont="1" applyAlignment="1">
      <alignment horizontal="right"/>
    </xf>
    <xf numFmtId="0" fontId="73" fillId="0" borderId="0" xfId="2" applyFont="1" applyAlignment="1">
      <alignment horizontal="left"/>
    </xf>
    <xf numFmtId="0" fontId="43" fillId="0" borderId="0" xfId="2" applyFont="1" applyAlignment="1">
      <alignment vertical="center" wrapText="1"/>
    </xf>
    <xf numFmtId="3" fontId="12" fillId="4" borderId="38" xfId="2" applyNumberFormat="1" applyFont="1" applyFill="1" applyBorder="1" applyAlignment="1">
      <alignment horizontal="right" vertical="center" indent="5"/>
    </xf>
    <xf numFmtId="3" fontId="10" fillId="4" borderId="9" xfId="2" applyNumberFormat="1" applyFont="1" applyFill="1" applyBorder="1" applyAlignment="1">
      <alignment horizontal="right" indent="2"/>
    </xf>
    <xf numFmtId="0" fontId="40" fillId="0" borderId="9" xfId="2" applyFont="1" applyBorder="1"/>
    <xf numFmtId="3" fontId="40" fillId="0" borderId="9" xfId="2" applyNumberFormat="1" applyFont="1" applyBorder="1"/>
    <xf numFmtId="3" fontId="19" fillId="3" borderId="16" xfId="2" applyNumberFormat="1" applyFont="1" applyFill="1" applyBorder="1" applyAlignment="1">
      <alignment horizontal="right" vertical="center" indent="1"/>
    </xf>
    <xf numFmtId="3" fontId="19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/>
    </xf>
    <xf numFmtId="3" fontId="20" fillId="0" borderId="0" xfId="2" applyNumberFormat="1" applyFont="1" applyFill="1"/>
    <xf numFmtId="3" fontId="19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9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horizontal="right"/>
    </xf>
    <xf numFmtId="0" fontId="25" fillId="2" borderId="9" xfId="2" applyFont="1" applyFill="1" applyBorder="1" applyAlignment="1">
      <alignment horizontal="right"/>
    </xf>
    <xf numFmtId="3" fontId="80" fillId="0" borderId="0" xfId="2" applyNumberFormat="1" applyFont="1" applyAlignment="1"/>
    <xf numFmtId="0" fontId="20" fillId="4" borderId="0" xfId="2" applyFont="1" applyFill="1" applyBorder="1" applyAlignment="1">
      <alignment horizontal="right" vertical="center"/>
    </xf>
    <xf numFmtId="0" fontId="54" fillId="0" borderId="0" xfId="2" applyFont="1" applyBorder="1" applyAlignment="1">
      <alignment horizontal="right"/>
    </xf>
    <xf numFmtId="3" fontId="6" fillId="4" borderId="33" xfId="2" applyNumberFormat="1" applyFont="1" applyFill="1" applyBorder="1" applyAlignment="1">
      <alignment horizontal="right" indent="1"/>
    </xf>
    <xf numFmtId="3" fontId="19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42" fillId="0" borderId="9" xfId="2" applyFont="1" applyBorder="1" applyAlignment="1">
      <alignment vertical="center"/>
    </xf>
    <xf numFmtId="0" fontId="41" fillId="0" borderId="0" xfId="0" applyFont="1" applyAlignment="1"/>
    <xf numFmtId="3" fontId="19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49" fontId="14" fillId="0" borderId="56" xfId="2" applyNumberFormat="1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 wrapText="1"/>
    </xf>
    <xf numFmtId="3" fontId="81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2" fillId="0" borderId="26" xfId="2" applyNumberFormat="1" applyFont="1" applyFill="1" applyBorder="1" applyAlignment="1">
      <alignment vertical="center"/>
    </xf>
    <xf numFmtId="0" fontId="10" fillId="0" borderId="29" xfId="2" applyFont="1" applyFill="1" applyBorder="1" applyAlignment="1">
      <alignment horizontal="center" vertical="center" wrapText="1"/>
    </xf>
    <xf numFmtId="3" fontId="54" fillId="0" borderId="0" xfId="2" applyNumberFormat="1" applyFont="1" applyBorder="1"/>
    <xf numFmtId="0" fontId="20" fillId="0" borderId="21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1" fillId="0" borderId="25" xfId="2" applyNumberFormat="1" applyFont="1" applyBorder="1" applyAlignment="1">
      <alignment vertical="center"/>
    </xf>
    <xf numFmtId="0" fontId="19" fillId="0" borderId="16" xfId="2" applyFont="1" applyBorder="1" applyAlignment="1">
      <alignment horizontal="center"/>
    </xf>
    <xf numFmtId="0" fontId="19" fillId="0" borderId="25" xfId="2" applyFont="1" applyBorder="1"/>
    <xf numFmtId="0" fontId="21" fillId="0" borderId="16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8" fillId="0" borderId="54" xfId="0" applyFont="1" applyBorder="1" applyAlignment="1">
      <alignment horizontal="center" vertical="center"/>
    </xf>
    <xf numFmtId="3" fontId="16" fillId="0" borderId="16" xfId="2" applyNumberFormat="1" applyFont="1" applyFill="1" applyBorder="1" applyAlignment="1">
      <alignment vertical="center"/>
    </xf>
    <xf numFmtId="3" fontId="20" fillId="0" borderId="16" xfId="2" applyNumberFormat="1" applyFont="1" applyBorder="1" applyAlignment="1">
      <alignment horizontal="center" vertical="center"/>
    </xf>
    <xf numFmtId="3" fontId="12" fillId="0" borderId="16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6" xfId="2" applyNumberFormat="1" applyFont="1" applyBorder="1" applyAlignment="1">
      <alignment vertical="center"/>
    </xf>
    <xf numFmtId="3" fontId="65" fillId="0" borderId="26" xfId="2" applyNumberFormat="1" applyFont="1" applyFill="1" applyBorder="1" applyAlignment="1">
      <alignment vertical="center"/>
    </xf>
    <xf numFmtId="3" fontId="12" fillId="0" borderId="16" xfId="2" applyNumberFormat="1" applyFont="1" applyFill="1" applyBorder="1" applyAlignment="1"/>
    <xf numFmtId="3" fontId="65" fillId="0" borderId="16" xfId="2" applyNumberFormat="1" applyFont="1" applyFill="1" applyBorder="1" applyAlignment="1"/>
    <xf numFmtId="3" fontId="16" fillId="0" borderId="16" xfId="2" applyNumberFormat="1" applyFont="1" applyFill="1" applyBorder="1" applyAlignment="1"/>
    <xf numFmtId="3" fontId="16" fillId="0" borderId="16" xfId="2" applyNumberFormat="1" applyFont="1" applyBorder="1" applyAlignment="1"/>
    <xf numFmtId="3" fontId="11" fillId="0" borderId="16" xfId="2" applyNumberFormat="1" applyFont="1" applyFill="1" applyBorder="1" applyAlignment="1">
      <alignment wrapText="1"/>
    </xf>
    <xf numFmtId="3" fontId="16" fillId="0" borderId="16" xfId="2" applyNumberFormat="1" applyFont="1" applyFill="1" applyBorder="1" applyAlignment="1">
      <alignment horizontal="right" vertical="center"/>
    </xf>
    <xf numFmtId="0" fontId="18" fillId="0" borderId="16" xfId="2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left" vertical="center" indent="2"/>
    </xf>
    <xf numFmtId="0" fontId="19" fillId="0" borderId="16" xfId="2" applyFont="1" applyBorder="1" applyAlignment="1">
      <alignment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 wrapText="1"/>
    </xf>
    <xf numFmtId="3" fontId="20" fillId="0" borderId="0" xfId="2" applyNumberFormat="1" applyFont="1" applyBorder="1"/>
    <xf numFmtId="3" fontId="16" fillId="0" borderId="0" xfId="2" applyNumberFormat="1" applyFont="1" applyBorder="1"/>
    <xf numFmtId="0" fontId="20" fillId="0" borderId="7" xfId="2" applyFont="1" applyBorder="1" applyAlignment="1">
      <alignment horizontal="left" vertical="center"/>
    </xf>
    <xf numFmtId="3" fontId="12" fillId="4" borderId="30" xfId="2" applyNumberFormat="1" applyFont="1" applyFill="1" applyBorder="1" applyAlignment="1">
      <alignment horizontal="right" vertical="center" indent="5"/>
    </xf>
    <xf numFmtId="0" fontId="82" fillId="0" borderId="9" xfId="2" applyFont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/>
    </xf>
    <xf numFmtId="3" fontId="14" fillId="0" borderId="0" xfId="2" applyNumberFormat="1" applyFont="1" applyFill="1" applyAlignment="1">
      <alignment horizontal="right" vertical="center"/>
    </xf>
    <xf numFmtId="3" fontId="17" fillId="0" borderId="26" xfId="2" applyNumberFormat="1" applyFont="1" applyFill="1" applyBorder="1" applyAlignment="1">
      <alignment horizontal="center" vertical="center" wrapText="1"/>
    </xf>
    <xf numFmtId="0" fontId="1" fillId="0" borderId="0" xfId="2" applyFill="1" applyAlignment="1">
      <alignment vertical="center"/>
    </xf>
    <xf numFmtId="3" fontId="15" fillId="0" borderId="42" xfId="2" applyNumberFormat="1" applyFont="1" applyFill="1" applyBorder="1" applyAlignment="1">
      <alignment horizontal="center" vertical="center"/>
    </xf>
    <xf numFmtId="3" fontId="19" fillId="0" borderId="9" xfId="2" applyNumberFormat="1" applyFont="1" applyFill="1" applyBorder="1" applyAlignment="1">
      <alignment horizontal="center" vertical="center" wrapText="1"/>
    </xf>
    <xf numFmtId="0" fontId="83" fillId="0" borderId="0" xfId="2" applyFont="1" applyFill="1"/>
    <xf numFmtId="49" fontId="19" fillId="0" borderId="16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50" xfId="2" applyNumberFormat="1" applyFont="1" applyFill="1" applyBorder="1" applyAlignment="1">
      <alignment horizontal="right" vertical="center" indent="5"/>
    </xf>
    <xf numFmtId="3" fontId="11" fillId="2" borderId="30" xfId="2" applyNumberFormat="1" applyFont="1" applyFill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20" fillId="0" borderId="57" xfId="2" applyFont="1" applyBorder="1" applyAlignment="1">
      <alignment horizontal="left" vertical="center"/>
    </xf>
    <xf numFmtId="3" fontId="12" fillId="0" borderId="58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 wrapText="1"/>
    </xf>
    <xf numFmtId="3" fontId="3" fillId="0" borderId="0" xfId="2" applyNumberFormat="1" applyFont="1"/>
    <xf numFmtId="167" fontId="0" fillId="0" borderId="0" xfId="0" applyNumberFormat="1"/>
    <xf numFmtId="167" fontId="0" fillId="0" borderId="9" xfId="0" applyNumberFormat="1" applyBorder="1"/>
    <xf numFmtId="0" fontId="85" fillId="0" borderId="9" xfId="0" applyFont="1" applyBorder="1" applyAlignment="1">
      <alignment horizontal="center" vertical="center" wrapText="1"/>
    </xf>
    <xf numFmtId="0" fontId="84" fillId="0" borderId="9" xfId="0" applyFont="1" applyBorder="1" applyAlignment="1">
      <alignment horizontal="center" vertical="center"/>
    </xf>
    <xf numFmtId="0" fontId="85" fillId="0" borderId="9" xfId="0" applyFon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86" fillId="0" borderId="9" xfId="0" applyFont="1" applyBorder="1" applyAlignment="1">
      <alignment horizontal="center" vertical="center"/>
    </xf>
    <xf numFmtId="167" fontId="86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7" fontId="84" fillId="0" borderId="9" xfId="0" applyNumberFormat="1" applyFont="1" applyBorder="1" applyAlignment="1">
      <alignment vertical="center"/>
    </xf>
    <xf numFmtId="164" fontId="69" fillId="0" borderId="49" xfId="1" applyNumberFormat="1" applyFont="1" applyBorder="1"/>
    <xf numFmtId="0" fontId="70" fillId="0" borderId="9" xfId="0" applyFont="1" applyBorder="1" applyAlignment="1">
      <alignment horizontal="center" vertical="center"/>
    </xf>
    <xf numFmtId="164" fontId="69" fillId="0" borderId="25" xfId="1" applyNumberFormat="1" applyFont="1" applyBorder="1"/>
    <xf numFmtId="164" fontId="69" fillId="0" borderId="23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/>
    <xf numFmtId="0" fontId="63" fillId="0" borderId="0" xfId="0" applyFont="1" applyAlignment="1"/>
    <xf numFmtId="0" fontId="24" fillId="0" borderId="0" xfId="2" applyFont="1" applyBorder="1" applyAlignment="1">
      <alignment horizontal="center" vertical="center" wrapText="1"/>
    </xf>
    <xf numFmtId="3" fontId="20" fillId="0" borderId="52" xfId="2" applyNumberFormat="1" applyFont="1" applyBorder="1" applyAlignment="1">
      <alignment horizontal="right"/>
    </xf>
    <xf numFmtId="3" fontId="19" fillId="0" borderId="52" xfId="2" applyNumberFormat="1" applyFont="1" applyBorder="1" applyAlignment="1">
      <alignment horizontal="right"/>
    </xf>
    <xf numFmtId="0" fontId="1" fillId="0" borderId="0" xfId="2" applyBorder="1" applyAlignment="1">
      <alignment horizontal="right"/>
    </xf>
    <xf numFmtId="3" fontId="11" fillId="0" borderId="26" xfId="2" applyNumberFormat="1" applyFont="1" applyFill="1" applyBorder="1" applyAlignment="1">
      <alignment vertical="center" wrapText="1"/>
    </xf>
    <xf numFmtId="3" fontId="64" fillId="0" borderId="26" xfId="2" applyNumberFormat="1" applyFont="1" applyFill="1" applyBorder="1" applyAlignment="1">
      <alignment vertical="center" wrapText="1"/>
    </xf>
    <xf numFmtId="49" fontId="14" fillId="0" borderId="26" xfId="2" applyNumberFormat="1" applyFont="1" applyBorder="1" applyAlignment="1">
      <alignment vertical="center"/>
    </xf>
    <xf numFmtId="0" fontId="14" fillId="0" borderId="29" xfId="2" applyFont="1" applyBorder="1" applyAlignment="1">
      <alignment vertical="center" wrapText="1"/>
    </xf>
    <xf numFmtId="0" fontId="19" fillId="3" borderId="29" xfId="2" applyFont="1" applyFill="1" applyBorder="1" applyAlignment="1">
      <alignment horizontal="left" vertical="center" wrapText="1"/>
    </xf>
    <xf numFmtId="3" fontId="10" fillId="2" borderId="16" xfId="2" applyNumberFormat="1" applyFont="1" applyFill="1" applyBorder="1" applyAlignment="1">
      <alignment horizontal="right" vertical="center" indent="2"/>
    </xf>
    <xf numFmtId="49" fontId="19" fillId="0" borderId="26" xfId="2" applyNumberFormat="1" applyFont="1" applyBorder="1" applyAlignment="1">
      <alignment horizontal="left" vertical="center"/>
    </xf>
    <xf numFmtId="49" fontId="19" fillId="0" borderId="26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70" fillId="0" borderId="54" xfId="0" applyFont="1" applyBorder="1" applyAlignment="1">
      <alignment horizontal="center" vertical="center"/>
    </xf>
    <xf numFmtId="3" fontId="75" fillId="0" borderId="16" xfId="2" applyNumberFormat="1" applyFont="1" applyBorder="1" applyAlignment="1">
      <alignment horizontal="right" vertical="center" indent="1"/>
    </xf>
    <xf numFmtId="3" fontId="75" fillId="3" borderId="16" xfId="2" applyNumberFormat="1" applyFont="1" applyFill="1" applyBorder="1" applyAlignment="1">
      <alignment horizontal="right" vertical="center" indent="1"/>
    </xf>
    <xf numFmtId="0" fontId="1" fillId="6" borderId="0" xfId="2" applyFill="1"/>
    <xf numFmtId="3" fontId="75" fillId="0" borderId="16" xfId="2" applyNumberFormat="1" applyFont="1" applyBorder="1" applyAlignment="1">
      <alignment horizontal="right" vertical="center" indent="2"/>
    </xf>
    <xf numFmtId="3" fontId="75" fillId="4" borderId="16" xfId="2" applyNumberFormat="1" applyFont="1" applyFill="1" applyBorder="1" applyAlignment="1">
      <alignment horizontal="right" vertical="center" indent="1"/>
    </xf>
    <xf numFmtId="3" fontId="75" fillId="3" borderId="16" xfId="2" applyNumberFormat="1" applyFont="1" applyFill="1" applyBorder="1" applyAlignment="1">
      <alignment horizontal="right" vertical="center" indent="2"/>
    </xf>
    <xf numFmtId="3" fontId="17" fillId="0" borderId="55" xfId="2" applyNumberFormat="1" applyFont="1" applyBorder="1" applyAlignment="1">
      <alignment horizontal="center" vertical="center" wrapText="1"/>
    </xf>
    <xf numFmtId="3" fontId="16" fillId="0" borderId="55" xfId="2" applyNumberFormat="1" applyFont="1" applyBorder="1" applyAlignment="1">
      <alignment horizontal="center" vertical="center" wrapText="1"/>
    </xf>
    <xf numFmtId="3" fontId="16" fillId="2" borderId="27" xfId="2" applyNumberFormat="1" applyFont="1" applyFill="1" applyBorder="1" applyAlignment="1">
      <alignment horizontal="center" vertical="center" wrapText="1"/>
    </xf>
    <xf numFmtId="3" fontId="10" fillId="2" borderId="30" xfId="2" applyNumberFormat="1" applyFont="1" applyFill="1" applyBorder="1" applyAlignment="1">
      <alignment horizontal="right" vertical="center" indent="5"/>
    </xf>
    <xf numFmtId="3" fontId="11" fillId="0" borderId="26" xfId="2" applyNumberFormat="1" applyFont="1" applyFill="1" applyBorder="1" applyAlignment="1">
      <alignment horizontal="center" vertical="center" wrapText="1"/>
    </xf>
    <xf numFmtId="3" fontId="64" fillId="0" borderId="26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center" vertical="center" wrapText="1"/>
    </xf>
    <xf numFmtId="3" fontId="16" fillId="0" borderId="16" xfId="2" applyNumberFormat="1" applyFont="1" applyBorder="1" applyAlignment="1">
      <alignment vertical="center" wrapText="1"/>
    </xf>
    <xf numFmtId="3" fontId="12" fillId="0" borderId="16" xfId="2" applyNumberFormat="1" applyFont="1" applyFill="1" applyBorder="1" applyAlignment="1">
      <alignment horizontal="center" vertical="center" wrapText="1"/>
    </xf>
    <xf numFmtId="3" fontId="12" fillId="0" borderId="0" xfId="2" quotePrefix="1" applyNumberFormat="1" applyFont="1" applyAlignment="1">
      <alignment horizontal="center"/>
    </xf>
    <xf numFmtId="0" fontId="42" fillId="0" borderId="16" xfId="2" applyFont="1" applyFill="1" applyBorder="1" applyAlignment="1">
      <alignment horizontal="center" vertical="center"/>
    </xf>
    <xf numFmtId="0" fontId="42" fillId="0" borderId="0" xfId="2" applyFont="1" applyFill="1"/>
    <xf numFmtId="0" fontId="42" fillId="0" borderId="9" xfId="2" applyFont="1" applyFill="1" applyBorder="1" applyAlignment="1">
      <alignment horizontal="left"/>
    </xf>
    <xf numFmtId="3" fontId="42" fillId="0" borderId="25" xfId="2" applyNumberFormat="1" applyFont="1" applyFill="1" applyBorder="1" applyAlignment="1">
      <alignment horizontal="right" indent="1"/>
    </xf>
    <xf numFmtId="3" fontId="42" fillId="0" borderId="9" xfId="2" applyNumberFormat="1" applyFont="1" applyFill="1" applyBorder="1" applyAlignment="1">
      <alignment horizontal="right" indent="1"/>
    </xf>
    <xf numFmtId="0" fontId="21" fillId="2" borderId="9" xfId="2" applyFont="1" applyFill="1" applyBorder="1" applyAlignment="1">
      <alignment horizontal="left"/>
    </xf>
    <xf numFmtId="3" fontId="21" fillId="2" borderId="9" xfId="2" applyNumberFormat="1" applyFont="1" applyFill="1" applyBorder="1" applyAlignment="1">
      <alignment horizontal="right" indent="1"/>
    </xf>
    <xf numFmtId="0" fontId="21" fillId="0" borderId="0" xfId="2" applyFont="1" applyFill="1"/>
    <xf numFmtId="3" fontId="21" fillId="0" borderId="0" xfId="2" applyNumberFormat="1" applyFont="1" applyFill="1"/>
    <xf numFmtId="0" fontId="21" fillId="2" borderId="9" xfId="2" applyFont="1" applyFill="1" applyBorder="1"/>
    <xf numFmtId="3" fontId="42" fillId="0" borderId="0" xfId="2" applyNumberFormat="1" applyFont="1" applyFill="1"/>
    <xf numFmtId="0" fontId="16" fillId="0" borderId="0" xfId="2" applyFont="1" applyFill="1" applyAlignment="1">
      <alignment vertical="center" wrapText="1"/>
    </xf>
    <xf numFmtId="0" fontId="42" fillId="0" borderId="9" xfId="2" applyFont="1" applyFill="1" applyBorder="1" applyAlignment="1">
      <alignment horizontal="left" vertical="center" wrapText="1"/>
    </xf>
    <xf numFmtId="3" fontId="42" fillId="0" borderId="9" xfId="2" applyNumberFormat="1" applyFont="1" applyFill="1" applyBorder="1" applyAlignment="1">
      <alignment horizontal="right" vertical="center" wrapText="1"/>
    </xf>
    <xf numFmtId="0" fontId="21" fillId="0" borderId="0" xfId="2" applyFont="1" applyFill="1" applyAlignment="1">
      <alignment vertical="center" wrapText="1"/>
    </xf>
    <xf numFmtId="3" fontId="21" fillId="0" borderId="0" xfId="2" applyNumberFormat="1" applyFont="1" applyFill="1" applyAlignment="1">
      <alignment vertical="center" wrapText="1"/>
    </xf>
    <xf numFmtId="0" fontId="19" fillId="3" borderId="9" xfId="2" applyFont="1" applyFill="1" applyBorder="1" applyAlignment="1">
      <alignment horizontal="center"/>
    </xf>
    <xf numFmtId="0" fontId="19" fillId="0" borderId="9" xfId="2" applyFont="1" applyFill="1" applyBorder="1" applyAlignment="1">
      <alignment wrapText="1"/>
    </xf>
    <xf numFmtId="0" fontId="19" fillId="0" borderId="9" xfId="2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/>
    </xf>
    <xf numFmtId="0" fontId="19" fillId="0" borderId="43" xfId="2" applyFont="1" applyBorder="1"/>
    <xf numFmtId="0" fontId="1" fillId="0" borderId="8" xfId="2" applyBorder="1"/>
    <xf numFmtId="0" fontId="21" fillId="0" borderId="0" xfId="2" applyFont="1" applyBorder="1" applyAlignment="1">
      <alignment horizontal="center" vertical="center" wrapText="1"/>
    </xf>
    <xf numFmtId="0" fontId="19" fillId="0" borderId="53" xfId="2" applyFont="1" applyBorder="1"/>
    <xf numFmtId="0" fontId="19" fillId="0" borderId="0" xfId="2" applyFont="1" applyBorder="1"/>
    <xf numFmtId="0" fontId="19" fillId="0" borderId="0" xfId="2" applyFont="1" applyBorder="1" applyAlignment="1">
      <alignment horizontal="center"/>
    </xf>
    <xf numFmtId="0" fontId="72" fillId="0" borderId="0" xfId="2" applyFont="1" applyBorder="1"/>
    <xf numFmtId="0" fontId="68" fillId="0" borderId="0" xfId="2" applyFont="1" applyBorder="1"/>
    <xf numFmtId="0" fontId="68" fillId="0" borderId="0" xfId="2" applyFont="1" applyBorder="1" applyAlignment="1">
      <alignment horizontal="center"/>
    </xf>
    <xf numFmtId="3" fontId="68" fillId="0" borderId="0" xfId="2" applyNumberFormat="1" applyFont="1" applyBorder="1"/>
    <xf numFmtId="0" fontId="68" fillId="0" borderId="53" xfId="2" applyFont="1" applyBorder="1"/>
    <xf numFmtId="0" fontId="1" fillId="0" borderId="55" xfId="2" applyBorder="1"/>
    <xf numFmtId="0" fontId="72" fillId="0" borderId="52" xfId="2" applyFont="1" applyBorder="1"/>
    <xf numFmtId="0" fontId="68" fillId="0" borderId="52" xfId="2" applyFont="1" applyBorder="1"/>
    <xf numFmtId="0" fontId="68" fillId="0" borderId="52" xfId="2" applyFont="1" applyBorder="1" applyAlignment="1">
      <alignment horizontal="center"/>
    </xf>
    <xf numFmtId="3" fontId="68" fillId="0" borderId="52" xfId="2" applyNumberFormat="1" applyFont="1" applyBorder="1"/>
    <xf numFmtId="0" fontId="68" fillId="0" borderId="59" xfId="2" applyFont="1" applyBorder="1"/>
    <xf numFmtId="0" fontId="84" fillId="0" borderId="0" xfId="0" applyFont="1" applyBorder="1" applyAlignment="1">
      <alignment horizontal="center"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Border="1"/>
    <xf numFmtId="167" fontId="86" fillId="0" borderId="0" xfId="0" applyNumberFormat="1" applyFont="1" applyBorder="1" applyAlignment="1">
      <alignment horizontal="center" vertical="center"/>
    </xf>
    <xf numFmtId="0" fontId="10" fillId="0" borderId="16" xfId="3" applyFont="1" applyFill="1" applyBorder="1" applyAlignment="1">
      <alignment vertical="center"/>
    </xf>
    <xf numFmtId="0" fontId="70" fillId="0" borderId="10" xfId="0" applyFont="1" applyBorder="1" applyAlignment="1"/>
    <xf numFmtId="0" fontId="19" fillId="0" borderId="10" xfId="2" quotePrefix="1" applyFont="1" applyBorder="1" applyAlignment="1">
      <alignment horizontal="center"/>
    </xf>
    <xf numFmtId="49" fontId="19" fillId="0" borderId="16" xfId="2" quotePrefix="1" applyNumberFormat="1" applyFont="1" applyBorder="1" applyAlignment="1">
      <alignment vertical="center"/>
    </xf>
    <xf numFmtId="0" fontId="10" fillId="0" borderId="9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5" fillId="0" borderId="44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6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1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64" fontId="16" fillId="6" borderId="8" xfId="1" applyNumberFormat="1" applyFont="1" applyFill="1" applyBorder="1" applyAlignment="1">
      <alignment horizontal="center" vertical="center" wrapText="1"/>
    </xf>
    <xf numFmtId="3" fontId="20" fillId="0" borderId="8" xfId="2" applyNumberFormat="1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11" fillId="0" borderId="16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/>
    </xf>
    <xf numFmtId="0" fontId="11" fillId="0" borderId="55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left" vertical="center"/>
    </xf>
    <xf numFmtId="3" fontId="16" fillId="2" borderId="15" xfId="2" applyNumberFormat="1" applyFont="1" applyFill="1" applyBorder="1" applyAlignment="1">
      <alignment horizontal="center" vertical="center" wrapText="1"/>
    </xf>
    <xf numFmtId="3" fontId="16" fillId="2" borderId="28" xfId="2" applyNumberFormat="1" applyFont="1" applyFill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3" fontId="17" fillId="0" borderId="15" xfId="2" applyNumberFormat="1" applyFont="1" applyBorder="1" applyAlignment="1">
      <alignment horizontal="center" vertical="center" wrapText="1"/>
    </xf>
    <xf numFmtId="3" fontId="17" fillId="0" borderId="28" xfId="2" applyNumberFormat="1" applyFont="1" applyBorder="1" applyAlignment="1">
      <alignment horizontal="center" vertical="center" wrapText="1"/>
    </xf>
    <xf numFmtId="0" fontId="66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textRotation="90"/>
    </xf>
    <xf numFmtId="0" fontId="17" fillId="0" borderId="28" xfId="2" applyFont="1" applyBorder="1" applyAlignment="1">
      <alignment horizontal="center" vertical="center" textRotation="90"/>
    </xf>
    <xf numFmtId="0" fontId="17" fillId="0" borderId="4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3" fontId="15" fillId="0" borderId="42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3" fontId="15" fillId="0" borderId="5" xfId="2" applyNumberFormat="1" applyFont="1" applyBorder="1" applyAlignment="1">
      <alignment horizontal="center" vertical="center"/>
    </xf>
    <xf numFmtId="3" fontId="15" fillId="0" borderId="48" xfId="2" applyNumberFormat="1" applyFont="1" applyBorder="1" applyAlignment="1">
      <alignment horizontal="center" vertical="center"/>
    </xf>
    <xf numFmtId="3" fontId="15" fillId="0" borderId="39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1" fillId="0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2" borderId="10" xfId="2" applyFont="1" applyFill="1" applyBorder="1" applyAlignment="1">
      <alignment horizontal="left" vertical="center"/>
    </xf>
    <xf numFmtId="0" fontId="21" fillId="2" borderId="18" xfId="2" applyFont="1" applyFill="1" applyBorder="1" applyAlignment="1">
      <alignment horizontal="left" vertical="center"/>
    </xf>
    <xf numFmtId="0" fontId="21" fillId="2" borderId="11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/>
    </xf>
    <xf numFmtId="0" fontId="21" fillId="0" borderId="54" xfId="2" applyFont="1" applyBorder="1" applyAlignment="1">
      <alignment horizontal="center" vertical="center" wrapText="1"/>
    </xf>
    <xf numFmtId="0" fontId="21" fillId="0" borderId="42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60" xfId="2" applyFont="1" applyFill="1" applyBorder="1" applyAlignment="1">
      <alignment horizontal="center" vertical="center" wrapText="1"/>
    </xf>
    <xf numFmtId="0" fontId="21" fillId="0" borderId="61" xfId="2" applyFont="1" applyFill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28" xfId="2" applyFont="1" applyBorder="1" applyAlignment="1">
      <alignment horizontal="center" vertical="center"/>
    </xf>
    <xf numFmtId="0" fontId="67" fillId="0" borderId="15" xfId="2" applyFont="1" applyBorder="1" applyAlignment="1">
      <alignment horizontal="center" vertical="center"/>
    </xf>
    <xf numFmtId="0" fontId="67" fillId="0" borderId="28" xfId="2" applyFont="1" applyBorder="1" applyAlignment="1">
      <alignment horizontal="center" vertical="center"/>
    </xf>
    <xf numFmtId="0" fontId="57" fillId="0" borderId="0" xfId="2" applyFont="1" applyAlignment="1">
      <alignment horizontal="center" wrapText="1"/>
    </xf>
    <xf numFmtId="0" fontId="85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0" fillId="0" borderId="0" xfId="3" applyFont="1" applyFill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1" fillId="3" borderId="0" xfId="2" applyFont="1" applyFill="1" applyAlignment="1">
      <alignment horizontal="center"/>
    </xf>
    <xf numFmtId="0" fontId="43" fillId="0" borderId="0" xfId="2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zoomScale="130" zoomScaleNormal="130" workbookViewId="0">
      <selection activeCell="G5" sqref="G5"/>
    </sheetView>
  </sheetViews>
  <sheetFormatPr defaultRowHeight="15.75"/>
  <cols>
    <col min="1" max="1" width="7.85546875" style="86" customWidth="1"/>
    <col min="2" max="2" width="8.42578125" style="78" customWidth="1"/>
    <col min="3" max="3" width="42.42578125" style="105" bestFit="1" customWidth="1"/>
    <col min="4" max="4" width="12.140625" style="86" customWidth="1"/>
    <col min="5" max="5" width="9.140625" style="86"/>
    <col min="6" max="6" width="12.7109375" style="87" customWidth="1"/>
    <col min="7" max="16384" width="9.140625" style="87"/>
  </cols>
  <sheetData>
    <row r="1" spans="1:10" ht="23.25" customHeight="1">
      <c r="A1" s="621" t="s">
        <v>596</v>
      </c>
      <c r="B1" s="621"/>
      <c r="C1" s="621"/>
      <c r="D1" s="621"/>
      <c r="E1" s="621"/>
      <c r="J1" s="94"/>
    </row>
    <row r="2" spans="1:10" ht="23.25" customHeight="1">
      <c r="A2" s="35"/>
      <c r="B2" s="35"/>
      <c r="C2" s="35"/>
      <c r="D2" s="35"/>
      <c r="E2" s="35"/>
      <c r="F2" s="202"/>
      <c r="J2" s="94"/>
    </row>
    <row r="3" spans="1:10" ht="31.5" customHeight="1">
      <c r="A3" s="622" t="s">
        <v>192</v>
      </c>
      <c r="B3" s="622"/>
      <c r="C3" s="622"/>
      <c r="D3" s="622"/>
      <c r="E3" s="622"/>
      <c r="F3" s="146"/>
      <c r="G3" s="146"/>
    </row>
    <row r="4" spans="1:10">
      <c r="B4" s="203"/>
      <c r="C4" s="204"/>
      <c r="D4" s="176"/>
      <c r="E4" s="176"/>
    </row>
    <row r="5" spans="1:10" ht="27.75" customHeight="1" thickBot="1">
      <c r="B5" s="203"/>
      <c r="C5" s="204"/>
      <c r="D5" s="176"/>
      <c r="E5" s="176"/>
    </row>
    <row r="6" spans="1:10" ht="72" customHeight="1" thickBot="1">
      <c r="B6" s="241" t="s">
        <v>217</v>
      </c>
      <c r="C6" s="623" t="s">
        <v>218</v>
      </c>
      <c r="D6" s="623"/>
      <c r="E6" s="176"/>
    </row>
    <row r="7" spans="1:10" ht="30" customHeight="1">
      <c r="B7" s="242" t="s">
        <v>38</v>
      </c>
      <c r="C7" s="624" t="s">
        <v>193</v>
      </c>
      <c r="D7" s="625"/>
      <c r="E7" s="205"/>
    </row>
    <row r="8" spans="1:10" ht="30" customHeight="1">
      <c r="B8" s="243" t="s">
        <v>39</v>
      </c>
      <c r="C8" s="626" t="s">
        <v>240</v>
      </c>
      <c r="D8" s="627"/>
      <c r="E8" s="205"/>
    </row>
    <row r="9" spans="1:10" ht="30" customHeight="1">
      <c r="B9" s="243" t="s">
        <v>41</v>
      </c>
      <c r="C9" s="628" t="s">
        <v>241</v>
      </c>
      <c r="D9" s="629"/>
      <c r="E9" s="74"/>
    </row>
    <row r="10" spans="1:10" ht="30" customHeight="1">
      <c r="B10" s="243" t="s">
        <v>43</v>
      </c>
      <c r="C10" s="617" t="s">
        <v>220</v>
      </c>
      <c r="D10" s="618"/>
      <c r="E10" s="206"/>
    </row>
    <row r="11" spans="1:10" ht="30" customHeight="1" thickBot="1">
      <c r="B11" s="244" t="s">
        <v>215</v>
      </c>
      <c r="C11" s="619" t="s">
        <v>224</v>
      </c>
      <c r="D11" s="620"/>
      <c r="E11" s="205"/>
    </row>
    <row r="12" spans="1:10" ht="30" customHeight="1">
      <c r="B12" s="203"/>
      <c r="C12" s="207"/>
      <c r="D12" s="205"/>
      <c r="E12" s="205"/>
    </row>
    <row r="13" spans="1:10" ht="30" customHeight="1">
      <c r="B13" s="176"/>
      <c r="C13" s="176"/>
      <c r="D13" s="87"/>
      <c r="E13" s="87"/>
    </row>
    <row r="14" spans="1:10" ht="30" customHeight="1">
      <c r="B14" s="176"/>
      <c r="C14" s="176"/>
      <c r="D14" s="87"/>
      <c r="E14" s="87"/>
    </row>
    <row r="15" spans="1:10" ht="30" customHeight="1">
      <c r="B15" s="176"/>
      <c r="C15" s="176"/>
      <c r="D15" s="87"/>
      <c r="E15" s="87"/>
    </row>
    <row r="16" spans="1:10" ht="30" customHeight="1">
      <c r="B16" s="176"/>
      <c r="C16" s="176"/>
      <c r="D16" s="87"/>
      <c r="E16" s="87"/>
    </row>
    <row r="17" spans="2:5" ht="30" customHeight="1">
      <c r="B17" s="176"/>
      <c r="C17" s="176"/>
      <c r="D17" s="87"/>
      <c r="E17" s="87"/>
    </row>
    <row r="18" spans="2:5" ht="30" customHeight="1">
      <c r="B18" s="176"/>
      <c r="C18" s="176"/>
      <c r="D18" s="87"/>
      <c r="E18" s="87"/>
    </row>
    <row r="19" spans="2:5" ht="30" customHeight="1">
      <c r="B19" s="176"/>
      <c r="C19" s="176"/>
      <c r="D19" s="87"/>
      <c r="E19" s="87"/>
    </row>
    <row r="20" spans="2:5" ht="30" customHeight="1">
      <c r="B20" s="176"/>
      <c r="C20" s="176"/>
      <c r="D20" s="87"/>
      <c r="E20" s="87"/>
    </row>
    <row r="21" spans="2:5" ht="30" customHeight="1">
      <c r="B21" s="176"/>
      <c r="C21" s="176"/>
      <c r="D21" s="87"/>
      <c r="E21" s="87"/>
    </row>
    <row r="22" spans="2:5" ht="30" customHeight="1">
      <c r="B22" s="176"/>
      <c r="C22" s="176"/>
      <c r="D22" s="87"/>
      <c r="E22" s="87"/>
    </row>
    <row r="23" spans="2:5" ht="30" customHeight="1">
      <c r="B23" s="203"/>
      <c r="C23" s="204"/>
      <c r="D23" s="176"/>
      <c r="E23" s="176"/>
    </row>
    <row r="24" spans="2:5" ht="30" customHeight="1">
      <c r="B24" s="203"/>
      <c r="C24" s="169"/>
      <c r="D24" s="176"/>
      <c r="E24" s="176"/>
    </row>
    <row r="25" spans="2:5">
      <c r="B25" s="203"/>
      <c r="C25" s="204"/>
      <c r="D25" s="176"/>
      <c r="E25" s="176"/>
    </row>
    <row r="26" spans="2:5">
      <c r="B26" s="203"/>
      <c r="C26" s="204"/>
      <c r="D26" s="176"/>
      <c r="E26" s="176"/>
    </row>
    <row r="27" spans="2:5">
      <c r="B27" s="203"/>
      <c r="C27" s="204"/>
      <c r="D27" s="176"/>
      <c r="E27" s="176"/>
    </row>
    <row r="28" spans="2:5">
      <c r="B28" s="203"/>
      <c r="C28" s="204"/>
      <c r="D28" s="176"/>
      <c r="E28" s="176"/>
    </row>
    <row r="29" spans="2:5">
      <c r="B29" s="203"/>
      <c r="C29" s="204"/>
      <c r="D29" s="176"/>
      <c r="E29" s="176"/>
    </row>
    <row r="30" spans="2:5">
      <c r="B30" s="203"/>
      <c r="C30" s="204"/>
      <c r="D30" s="176"/>
      <c r="E30" s="176"/>
    </row>
    <row r="31" spans="2:5">
      <c r="B31" s="203"/>
      <c r="C31" s="204"/>
      <c r="D31" s="176"/>
      <c r="E31" s="176"/>
    </row>
    <row r="32" spans="2:5">
      <c r="B32" s="203"/>
      <c r="C32" s="204"/>
      <c r="D32" s="176"/>
      <c r="E32" s="176"/>
    </row>
    <row r="33" spans="2:5">
      <c r="B33" s="203"/>
      <c r="C33" s="204"/>
      <c r="D33" s="176"/>
      <c r="E33" s="176"/>
    </row>
    <row r="34" spans="2:5">
      <c r="B34" s="203"/>
      <c r="C34" s="204"/>
      <c r="D34" s="176"/>
      <c r="E34" s="176"/>
    </row>
    <row r="35" spans="2:5">
      <c r="B35" s="203"/>
      <c r="C35" s="204"/>
      <c r="D35" s="176"/>
      <c r="E35" s="176"/>
    </row>
    <row r="36" spans="2:5">
      <c r="B36" s="203"/>
      <c r="C36" s="204"/>
      <c r="D36" s="176"/>
      <c r="E36" s="176"/>
    </row>
    <row r="37" spans="2:5">
      <c r="B37" s="203"/>
      <c r="C37" s="204"/>
      <c r="D37" s="176"/>
      <c r="E37" s="176"/>
    </row>
    <row r="38" spans="2:5">
      <c r="B38" s="203"/>
      <c r="C38" s="204"/>
      <c r="D38" s="176"/>
      <c r="E38" s="176"/>
    </row>
    <row r="39" spans="2:5">
      <c r="B39" s="203"/>
      <c r="C39" s="204"/>
      <c r="D39" s="176"/>
      <c r="E39" s="176"/>
    </row>
    <row r="40" spans="2:5">
      <c r="B40" s="203"/>
      <c r="C40" s="204"/>
      <c r="D40" s="176"/>
      <c r="E40" s="176"/>
    </row>
    <row r="41" spans="2:5">
      <c r="B41" s="203"/>
      <c r="C41" s="204"/>
      <c r="D41" s="176"/>
      <c r="E41" s="176"/>
    </row>
    <row r="42" spans="2:5">
      <c r="B42" s="203"/>
      <c r="C42" s="204"/>
      <c r="D42" s="176"/>
      <c r="E42" s="176"/>
    </row>
    <row r="43" spans="2:5">
      <c r="B43" s="203"/>
      <c r="C43" s="204"/>
      <c r="D43" s="176"/>
      <c r="E43" s="176"/>
    </row>
    <row r="44" spans="2:5">
      <c r="B44" s="203"/>
      <c r="C44" s="204"/>
      <c r="D44" s="176"/>
      <c r="E44" s="176"/>
    </row>
    <row r="45" spans="2:5">
      <c r="B45" s="203"/>
      <c r="C45" s="204"/>
      <c r="D45" s="176"/>
      <c r="E45" s="176"/>
    </row>
    <row r="46" spans="2:5">
      <c r="B46" s="203"/>
      <c r="C46" s="204"/>
      <c r="D46" s="176"/>
      <c r="E46" s="176"/>
    </row>
    <row r="47" spans="2:5">
      <c r="B47" s="203"/>
      <c r="C47" s="204"/>
      <c r="D47" s="176"/>
      <c r="E47" s="176"/>
    </row>
    <row r="48" spans="2:5">
      <c r="B48" s="203"/>
      <c r="C48" s="204"/>
      <c r="D48" s="176"/>
      <c r="E48" s="176"/>
    </row>
    <row r="49" spans="2:5">
      <c r="B49" s="203"/>
      <c r="C49" s="204"/>
      <c r="D49" s="176"/>
      <c r="E49" s="176"/>
    </row>
    <row r="50" spans="2:5">
      <c r="B50" s="203"/>
      <c r="C50" s="204"/>
      <c r="D50" s="176"/>
      <c r="E50" s="176"/>
    </row>
    <row r="51" spans="2:5">
      <c r="B51" s="203"/>
      <c r="C51" s="204"/>
      <c r="D51" s="176"/>
      <c r="E51" s="176"/>
    </row>
    <row r="52" spans="2:5">
      <c r="B52" s="203"/>
      <c r="C52" s="204"/>
      <c r="D52" s="176"/>
      <c r="E52" s="176"/>
    </row>
    <row r="53" spans="2:5">
      <c r="B53" s="203"/>
      <c r="C53" s="204"/>
      <c r="D53" s="176"/>
      <c r="E53" s="176"/>
    </row>
    <row r="54" spans="2:5">
      <c r="B54" s="203"/>
      <c r="C54" s="204"/>
      <c r="D54" s="176"/>
      <c r="E54" s="176"/>
    </row>
    <row r="55" spans="2:5">
      <c r="B55" s="203"/>
      <c r="C55" s="204"/>
      <c r="D55" s="176"/>
      <c r="E55" s="176"/>
    </row>
    <row r="56" spans="2:5">
      <c r="B56" s="203"/>
      <c r="C56" s="204"/>
      <c r="D56" s="176"/>
      <c r="E56" s="176"/>
    </row>
    <row r="57" spans="2:5">
      <c r="B57" s="203"/>
      <c r="C57" s="204"/>
      <c r="D57" s="176"/>
      <c r="E57" s="176"/>
    </row>
    <row r="58" spans="2:5">
      <c r="B58" s="203"/>
      <c r="C58" s="204"/>
      <c r="D58" s="176"/>
      <c r="E58" s="176"/>
    </row>
    <row r="59" spans="2:5">
      <c r="B59" s="203"/>
      <c r="C59" s="204"/>
      <c r="D59" s="176"/>
      <c r="E59" s="176"/>
    </row>
    <row r="60" spans="2:5">
      <c r="B60" s="203"/>
      <c r="C60" s="204"/>
      <c r="D60" s="176"/>
      <c r="E60" s="176"/>
    </row>
    <row r="61" spans="2:5">
      <c r="B61" s="203"/>
      <c r="C61" s="204"/>
      <c r="D61" s="176"/>
      <c r="E61" s="176"/>
    </row>
    <row r="62" spans="2:5">
      <c r="B62" s="203"/>
      <c r="C62" s="204"/>
      <c r="D62" s="176"/>
      <c r="E62" s="176"/>
    </row>
    <row r="63" spans="2:5">
      <c r="B63" s="203"/>
      <c r="C63" s="204"/>
      <c r="D63" s="176"/>
      <c r="E63" s="176"/>
    </row>
    <row r="64" spans="2:5">
      <c r="B64" s="203"/>
      <c r="C64" s="204"/>
      <c r="D64" s="176"/>
      <c r="E64" s="176"/>
    </row>
    <row r="65" spans="2:5">
      <c r="B65" s="203"/>
      <c r="C65" s="204"/>
      <c r="D65" s="176"/>
      <c r="E65" s="176"/>
    </row>
    <row r="66" spans="2:5">
      <c r="B66" s="203"/>
      <c r="C66" s="204"/>
      <c r="D66" s="176"/>
      <c r="E66" s="176"/>
    </row>
    <row r="67" spans="2:5">
      <c r="B67" s="203"/>
      <c r="C67" s="204"/>
      <c r="D67" s="176"/>
      <c r="E67" s="176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L27"/>
  <sheetViews>
    <sheetView zoomScaleNormal="100" workbookViewId="0">
      <selection activeCell="L26" sqref="L26"/>
    </sheetView>
  </sheetViews>
  <sheetFormatPr defaultColWidth="8.85546875" defaultRowHeight="15.75"/>
  <cols>
    <col min="1" max="2" width="5.28515625" style="37" customWidth="1"/>
    <col min="3" max="3" width="3.85546875" style="68" bestFit="1" customWidth="1"/>
    <col min="4" max="4" width="12.140625" style="69" bestFit="1" customWidth="1"/>
    <col min="5" max="5" width="43.42578125" style="73" customWidth="1"/>
    <col min="6" max="6" width="18.7109375" style="73" customWidth="1"/>
    <col min="7" max="7" width="21.28515625" style="73" customWidth="1"/>
    <col min="8" max="8" width="9.7109375" style="73" customWidth="1"/>
    <col min="9" max="12" width="8.85546875" style="73"/>
    <col min="13" max="16384" width="8.85546875" style="37"/>
  </cols>
  <sheetData>
    <row r="1" spans="1:12" s="84" customFormat="1">
      <c r="A1" s="686" t="s">
        <v>605</v>
      </c>
      <c r="B1" s="686"/>
      <c r="C1" s="686"/>
      <c r="D1" s="686"/>
      <c r="E1" s="686"/>
      <c r="F1" s="686"/>
      <c r="G1" s="686"/>
      <c r="H1" s="686"/>
      <c r="I1" s="686"/>
      <c r="J1" s="69"/>
      <c r="K1" s="69"/>
      <c r="L1" s="69"/>
    </row>
    <row r="2" spans="1:12">
      <c r="E2" s="70"/>
      <c r="F2" s="70"/>
      <c r="G2" s="72"/>
    </row>
    <row r="3" spans="1:12">
      <c r="E3" s="70"/>
      <c r="F3" s="71"/>
      <c r="G3" s="72"/>
    </row>
    <row r="4" spans="1:12" ht="27.75" customHeight="1">
      <c r="A4" s="690" t="s">
        <v>63</v>
      </c>
      <c r="B4" s="690"/>
      <c r="C4" s="690"/>
      <c r="D4" s="690"/>
      <c r="E4" s="690"/>
      <c r="F4" s="690"/>
      <c r="G4" s="690"/>
      <c r="H4" s="690"/>
      <c r="I4" s="74"/>
      <c r="J4" s="74"/>
      <c r="K4" s="74"/>
      <c r="L4" s="74"/>
    </row>
    <row r="5" spans="1:12" ht="39" customHeight="1">
      <c r="A5" s="690" t="s">
        <v>573</v>
      </c>
      <c r="B5" s="690"/>
      <c r="C5" s="690"/>
      <c r="D5" s="690"/>
      <c r="E5" s="690"/>
      <c r="F5" s="690"/>
      <c r="G5" s="690"/>
      <c r="H5" s="311"/>
      <c r="I5" s="74"/>
      <c r="J5" s="74"/>
      <c r="K5" s="74"/>
      <c r="L5" s="74"/>
    </row>
    <row r="6" spans="1:12" ht="16.5" customHeight="1">
      <c r="D6" s="75"/>
      <c r="E6" s="75"/>
      <c r="F6" s="75"/>
      <c r="G6" s="75"/>
      <c r="H6" s="75"/>
      <c r="I6" s="75"/>
      <c r="J6" s="75"/>
      <c r="K6" s="74"/>
      <c r="L6" s="74"/>
    </row>
    <row r="7" spans="1:12" s="76" customFormat="1" ht="96" customHeight="1">
      <c r="C7" s="255" t="s">
        <v>217</v>
      </c>
      <c r="D7" s="77" t="s">
        <v>64</v>
      </c>
      <c r="E7" s="77" t="s">
        <v>65</v>
      </c>
      <c r="F7" s="246" t="s">
        <v>574</v>
      </c>
      <c r="G7" s="246" t="s">
        <v>589</v>
      </c>
      <c r="H7" s="78"/>
      <c r="I7" s="78"/>
    </row>
    <row r="8" spans="1:12" s="76" customFormat="1">
      <c r="C8" s="252"/>
      <c r="D8" s="249" t="s">
        <v>225</v>
      </c>
      <c r="E8" s="79" t="s">
        <v>66</v>
      </c>
      <c r="F8" s="503">
        <f>+'5.a sz.mell.'!O6</f>
        <v>1</v>
      </c>
      <c r="G8" s="503">
        <f>+'5.a sz.mell.'!P6</f>
        <v>1</v>
      </c>
      <c r="H8" s="78"/>
      <c r="I8" s="78"/>
    </row>
    <row r="9" spans="1:12" s="76" customFormat="1">
      <c r="C9" s="247"/>
      <c r="D9" s="249" t="s">
        <v>227</v>
      </c>
      <c r="E9" s="79" t="s">
        <v>226</v>
      </c>
      <c r="F9" s="503">
        <f>+'5.a sz.mell.'!O18</f>
        <v>1</v>
      </c>
      <c r="G9" s="503">
        <f>+'5.a sz.mell.'!P18</f>
        <v>1</v>
      </c>
      <c r="H9" s="78"/>
      <c r="I9" s="78"/>
    </row>
    <row r="10" spans="1:12" s="76" customFormat="1">
      <c r="C10" s="247"/>
      <c r="D10" s="250" t="s">
        <v>228</v>
      </c>
      <c r="E10" s="79" t="s">
        <v>229</v>
      </c>
      <c r="F10" s="503">
        <f>+'5.a sz.mell.'!O19</f>
        <v>9</v>
      </c>
      <c r="G10" s="503">
        <f>+'5.a sz.mell.'!P19</f>
        <v>10</v>
      </c>
      <c r="H10" s="78"/>
      <c r="I10" s="78"/>
    </row>
    <row r="11" spans="1:12" s="76" customFormat="1">
      <c r="C11" s="247"/>
      <c r="D11" s="250" t="s">
        <v>230</v>
      </c>
      <c r="E11" s="79" t="s">
        <v>49</v>
      </c>
      <c r="F11" s="503">
        <f>+'5.a sz.mell.'!O21</f>
        <v>3</v>
      </c>
      <c r="G11" s="503">
        <f>+'5.a sz.mell.'!P21</f>
        <v>3</v>
      </c>
      <c r="H11" s="78"/>
      <c r="I11" s="78"/>
    </row>
    <row r="12" spans="1:12" s="76" customFormat="1">
      <c r="C12" s="248"/>
      <c r="D12" s="80">
        <v>104044</v>
      </c>
      <c r="E12" s="79" t="s">
        <v>232</v>
      </c>
      <c r="F12" s="503">
        <f>+'5.a sz.mell.'!O25</f>
        <v>2</v>
      </c>
      <c r="G12" s="503">
        <f>+'5.a sz.mell.'!P25</f>
        <v>2</v>
      </c>
      <c r="H12" s="78"/>
      <c r="I12" s="78"/>
    </row>
    <row r="13" spans="1:12" s="76" customFormat="1">
      <c r="C13" s="247"/>
      <c r="D13" s="615" t="s">
        <v>594</v>
      </c>
      <c r="E13" s="79" t="s">
        <v>595</v>
      </c>
      <c r="F13" s="503">
        <f>+'5.a sz.mell.'!O28</f>
        <v>0</v>
      </c>
      <c r="G13" s="503">
        <f>+'5.a sz.mell.'!P39</f>
        <v>1</v>
      </c>
      <c r="H13" s="78"/>
      <c r="I13" s="78"/>
    </row>
    <row r="14" spans="1:12" s="76" customFormat="1">
      <c r="C14" s="226" t="s">
        <v>38</v>
      </c>
      <c r="D14" s="82" t="s">
        <v>236</v>
      </c>
      <c r="E14" s="284"/>
      <c r="F14" s="590">
        <f>SUM(F8:F13)</f>
        <v>16</v>
      </c>
      <c r="G14" s="590">
        <f>SUM(G8:G13)</f>
        <v>18</v>
      </c>
      <c r="H14" s="78"/>
      <c r="I14" s="78"/>
    </row>
    <row r="15" spans="1:12" s="76" customFormat="1" ht="19.5" customHeight="1">
      <c r="C15" s="226"/>
      <c r="D15" s="251" t="s">
        <v>225</v>
      </c>
      <c r="E15" s="81" t="s">
        <v>240</v>
      </c>
      <c r="F15" s="508">
        <f>+'5.a sz.mell.'!O45</f>
        <v>17</v>
      </c>
      <c r="G15" s="508">
        <f>+'5.a sz.mell.'!P45</f>
        <v>17</v>
      </c>
      <c r="H15" s="78"/>
      <c r="I15" s="78"/>
    </row>
    <row r="16" spans="1:12">
      <c r="C16" s="253" t="s">
        <v>39</v>
      </c>
      <c r="D16" s="82" t="s">
        <v>235</v>
      </c>
      <c r="E16" s="83"/>
      <c r="F16" s="591">
        <f>F15</f>
        <v>17</v>
      </c>
      <c r="G16" s="591">
        <f>G15</f>
        <v>17</v>
      </c>
      <c r="J16" s="37"/>
      <c r="K16" s="37"/>
      <c r="L16" s="37"/>
    </row>
    <row r="17" spans="3:12">
      <c r="C17" s="247"/>
      <c r="D17" s="249" t="s">
        <v>290</v>
      </c>
      <c r="E17" s="79" t="s">
        <v>317</v>
      </c>
      <c r="F17" s="503">
        <f>+'5.a sz.mell.'!O46</f>
        <v>3</v>
      </c>
      <c r="G17" s="503">
        <f>+'5.a sz.mell.'!P46</f>
        <v>3</v>
      </c>
      <c r="J17" s="37"/>
      <c r="K17" s="37"/>
      <c r="L17" s="37"/>
    </row>
    <row r="18" spans="3:12" ht="18" customHeight="1">
      <c r="C18" s="254" t="s">
        <v>41</v>
      </c>
      <c r="D18" s="82" t="s">
        <v>233</v>
      </c>
      <c r="E18" s="83"/>
      <c r="F18" s="410">
        <f>SUM(F17)</f>
        <v>3</v>
      </c>
      <c r="G18" s="410">
        <f>SUM(G17)</f>
        <v>3</v>
      </c>
      <c r="J18" s="37"/>
      <c r="K18" s="37"/>
      <c r="L18" s="37"/>
    </row>
    <row r="19" spans="3:12">
      <c r="C19" s="247"/>
      <c r="D19" s="249" t="s">
        <v>295</v>
      </c>
      <c r="E19" s="79" t="s">
        <v>220</v>
      </c>
      <c r="F19" s="503">
        <f>+'5.a sz.mell.'!O53</f>
        <v>1</v>
      </c>
      <c r="G19" s="503">
        <f>+'5.a sz.mell.'!P53</f>
        <v>1</v>
      </c>
      <c r="J19" s="37"/>
      <c r="K19" s="37"/>
      <c r="L19" s="37"/>
    </row>
    <row r="20" spans="3:12">
      <c r="C20" s="254" t="s">
        <v>43</v>
      </c>
      <c r="D20" s="82" t="s">
        <v>234</v>
      </c>
      <c r="E20" s="83"/>
      <c r="F20" s="410">
        <v>1</v>
      </c>
      <c r="G20" s="410">
        <v>1</v>
      </c>
      <c r="J20" s="37"/>
      <c r="K20" s="37"/>
      <c r="L20" s="37"/>
    </row>
    <row r="21" spans="3:12">
      <c r="C21" s="247"/>
      <c r="D21" s="80">
        <v>107052</v>
      </c>
      <c r="E21" s="79" t="s">
        <v>286</v>
      </c>
      <c r="F21" s="503">
        <f>+'5.a sz.mell.'!O54</f>
        <v>4</v>
      </c>
      <c r="G21" s="503">
        <f>+'5.a sz.mell.'!P54</f>
        <v>4</v>
      </c>
      <c r="J21" s="37"/>
      <c r="K21" s="37"/>
      <c r="L21" s="37"/>
    </row>
    <row r="22" spans="3:12">
      <c r="C22" s="247"/>
      <c r="D22" s="80">
        <v>104042</v>
      </c>
      <c r="E22" s="79" t="s">
        <v>287</v>
      </c>
      <c r="F22" s="503">
        <f>+'5.a sz.mell.'!O55</f>
        <v>2</v>
      </c>
      <c r="G22" s="503">
        <f>+'5.a sz.mell.'!P55</f>
        <v>2</v>
      </c>
      <c r="J22" s="37"/>
      <c r="K22" s="37"/>
      <c r="L22" s="37"/>
    </row>
    <row r="23" spans="3:12">
      <c r="C23" s="247"/>
      <c r="D23" s="80">
        <v>102031</v>
      </c>
      <c r="E23" s="79" t="s">
        <v>288</v>
      </c>
      <c r="F23" s="503">
        <f>+'5.a sz.mell.'!O56</f>
        <v>2</v>
      </c>
      <c r="G23" s="503">
        <f>+'5.a sz.mell.'!P56</f>
        <v>6</v>
      </c>
      <c r="J23" s="37"/>
      <c r="K23" s="37"/>
      <c r="L23" s="37"/>
    </row>
    <row r="24" spans="3:12">
      <c r="C24" s="247"/>
      <c r="D24" s="80">
        <v>107051</v>
      </c>
      <c r="E24" s="79" t="s">
        <v>289</v>
      </c>
      <c r="F24" s="503">
        <f>+'5.a sz.mell.'!O58</f>
        <v>1</v>
      </c>
      <c r="G24" s="503">
        <f>+'5.a sz.mell.'!P58</f>
        <v>1</v>
      </c>
      <c r="J24" s="37"/>
      <c r="K24" s="37"/>
      <c r="L24" s="37"/>
    </row>
    <row r="25" spans="3:12">
      <c r="C25" s="247"/>
      <c r="D25" s="250" t="s">
        <v>231</v>
      </c>
      <c r="E25" s="79" t="s">
        <v>67</v>
      </c>
      <c r="F25" s="503">
        <f>+'5.a sz.mell.'!O61</f>
        <v>9</v>
      </c>
      <c r="G25" s="503">
        <f>+'5.a sz.mell.'!P61</f>
        <v>8</v>
      </c>
      <c r="J25" s="37"/>
      <c r="K25" s="37"/>
      <c r="L25" s="37"/>
    </row>
    <row r="26" spans="3:12" ht="19.5" customHeight="1">
      <c r="C26" s="254" t="s">
        <v>215</v>
      </c>
      <c r="D26" s="82" t="s">
        <v>318</v>
      </c>
      <c r="E26" s="83"/>
      <c r="F26" s="410">
        <f>SUM(F21:F25)</f>
        <v>18</v>
      </c>
      <c r="G26" s="410">
        <f>SUM(G21:G25)</f>
        <v>21</v>
      </c>
      <c r="J26" s="37"/>
      <c r="K26" s="37"/>
      <c r="L26" s="37"/>
    </row>
    <row r="27" spans="3:12" ht="36" customHeight="1">
      <c r="C27" s="687" t="s">
        <v>68</v>
      </c>
      <c r="D27" s="688"/>
      <c r="E27" s="689"/>
      <c r="F27" s="411">
        <f>SUM(F14,F16,F18,F20,F26)</f>
        <v>55</v>
      </c>
      <c r="G27" s="411">
        <f>SUM(G14,G16,G18,G20,G26)</f>
        <v>60</v>
      </c>
      <c r="J27" s="37"/>
      <c r="K27" s="37"/>
      <c r="L27" s="37"/>
    </row>
  </sheetData>
  <mergeCells count="4">
    <mergeCell ref="A1:I1"/>
    <mergeCell ref="C27:E27"/>
    <mergeCell ref="A4:H4"/>
    <mergeCell ref="A5:G5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72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19"/>
  <sheetViews>
    <sheetView zoomScaleNormal="100" workbookViewId="0">
      <selection activeCell="N6" sqref="N6"/>
    </sheetView>
  </sheetViews>
  <sheetFormatPr defaultColWidth="8.85546875" defaultRowHeight="15.75"/>
  <cols>
    <col min="1" max="2" width="8.85546875" style="37"/>
    <col min="3" max="3" width="8.85546875" style="73"/>
    <col min="4" max="4" width="38.42578125" style="73" customWidth="1"/>
    <col min="5" max="5" width="9.140625" style="69" hidden="1" customWidth="1"/>
    <col min="6" max="6" width="9.140625" style="73" hidden="1" customWidth="1"/>
    <col min="7" max="12" width="8.85546875" style="73"/>
    <col min="13" max="16384" width="8.85546875" style="37"/>
  </cols>
  <sheetData>
    <row r="1" spans="1:10">
      <c r="A1" s="691" t="s">
        <v>606</v>
      </c>
      <c r="B1" s="691"/>
      <c r="C1" s="691"/>
      <c r="D1" s="691"/>
      <c r="E1" s="691"/>
      <c r="F1" s="691"/>
      <c r="G1" s="691"/>
      <c r="H1" s="691"/>
      <c r="I1" s="691"/>
    </row>
    <row r="3" spans="1:10" ht="16.5" thickBot="1"/>
    <row r="4" spans="1:10" ht="37.5" customHeight="1">
      <c r="A4" s="692" t="s">
        <v>575</v>
      </c>
      <c r="B4" s="693"/>
      <c r="C4" s="693"/>
      <c r="D4" s="693"/>
      <c r="E4" s="693"/>
      <c r="F4" s="693"/>
      <c r="G4" s="693"/>
      <c r="H4" s="693"/>
      <c r="I4" s="693"/>
      <c r="J4" s="592"/>
    </row>
    <row r="5" spans="1:10" ht="37.5" customHeight="1">
      <c r="A5" s="593"/>
      <c r="B5" s="594"/>
      <c r="C5" s="594"/>
      <c r="D5" s="594"/>
      <c r="E5" s="594"/>
      <c r="F5" s="594"/>
      <c r="G5" s="594"/>
      <c r="H5" s="594"/>
      <c r="I5" s="594"/>
      <c r="J5" s="595"/>
    </row>
    <row r="6" spans="1:10" ht="39.75" customHeight="1">
      <c r="A6" s="593"/>
      <c r="B6" s="209"/>
      <c r="C6" s="596"/>
      <c r="D6" s="596"/>
      <c r="E6" s="597"/>
      <c r="F6" s="596"/>
      <c r="G6" s="694" t="s">
        <v>576</v>
      </c>
      <c r="H6" s="694"/>
      <c r="I6" s="694"/>
      <c r="J6" s="695"/>
    </row>
    <row r="7" spans="1:10" ht="20.25">
      <c r="A7" s="593"/>
      <c r="B7" s="598"/>
      <c r="C7" s="599" t="s">
        <v>272</v>
      </c>
      <c r="D7" s="599"/>
      <c r="E7" s="600"/>
      <c r="F7" s="599"/>
      <c r="G7" s="601">
        <f>+'5.a sz.mell.'!O10</f>
        <v>27</v>
      </c>
      <c r="H7" s="599" t="s">
        <v>387</v>
      </c>
      <c r="I7" s="601"/>
      <c r="J7" s="602"/>
    </row>
    <row r="8" spans="1:10" ht="20.25">
      <c r="A8" s="593"/>
      <c r="B8" s="598"/>
      <c r="C8" s="599"/>
      <c r="D8" s="599"/>
      <c r="E8" s="600"/>
      <c r="F8" s="599"/>
      <c r="G8" s="599"/>
      <c r="H8" s="596"/>
      <c r="I8" s="599"/>
      <c r="J8" s="595"/>
    </row>
    <row r="9" spans="1:10" ht="20.25">
      <c r="A9" s="593"/>
      <c r="B9" s="598"/>
      <c r="C9" s="599"/>
      <c r="D9" s="599"/>
      <c r="E9" s="600"/>
      <c r="F9" s="599"/>
      <c r="G9" s="599"/>
      <c r="H9" s="596"/>
      <c r="I9" s="599"/>
      <c r="J9" s="595"/>
    </row>
    <row r="10" spans="1:10" ht="20.25">
      <c r="A10" s="593"/>
      <c r="B10" s="598"/>
      <c r="C10" s="599" t="s">
        <v>350</v>
      </c>
      <c r="D10" s="599"/>
      <c r="E10" s="600"/>
      <c r="F10" s="599"/>
      <c r="G10" s="601">
        <f>+'5.a sz.mell.'!O12</f>
        <v>13</v>
      </c>
      <c r="H10" s="599" t="s">
        <v>387</v>
      </c>
      <c r="I10" s="601"/>
      <c r="J10" s="602"/>
    </row>
    <row r="11" spans="1:10" ht="20.25">
      <c r="A11" s="593"/>
      <c r="B11" s="598"/>
      <c r="C11" s="599"/>
      <c r="D11" s="599"/>
      <c r="E11" s="600"/>
      <c r="F11" s="599"/>
      <c r="G11" s="599"/>
      <c r="H11" s="596"/>
      <c r="I11" s="599"/>
      <c r="J11" s="595"/>
    </row>
    <row r="12" spans="1:10" ht="20.25">
      <c r="A12" s="593"/>
      <c r="B12" s="598"/>
      <c r="C12" s="599"/>
      <c r="D12" s="599"/>
      <c r="E12" s="600"/>
      <c r="F12" s="599"/>
      <c r="G12" s="599"/>
      <c r="H12" s="596"/>
      <c r="I12" s="599"/>
      <c r="J12" s="595"/>
    </row>
    <row r="13" spans="1:10" ht="20.25">
      <c r="A13" s="593"/>
      <c r="B13" s="598"/>
      <c r="C13" s="599"/>
      <c r="D13" s="599"/>
      <c r="E13" s="600"/>
      <c r="F13" s="599"/>
      <c r="G13" s="599"/>
      <c r="H13" s="596"/>
      <c r="I13" s="599"/>
      <c r="J13" s="595"/>
    </row>
    <row r="14" spans="1:10" ht="21" thickBot="1">
      <c r="A14" s="603"/>
      <c r="B14" s="604"/>
      <c r="C14" s="605"/>
      <c r="D14" s="605" t="s">
        <v>44</v>
      </c>
      <c r="E14" s="606"/>
      <c r="F14" s="605"/>
      <c r="G14" s="607">
        <f>+G7+G10</f>
        <v>40</v>
      </c>
      <c r="H14" s="605" t="s">
        <v>387</v>
      </c>
      <c r="I14" s="605"/>
      <c r="J14" s="608"/>
    </row>
    <row r="15" spans="1:10" ht="20.25">
      <c r="B15" s="413"/>
      <c r="C15" s="414"/>
      <c r="D15" s="414"/>
      <c r="E15" s="415"/>
      <c r="F15" s="414"/>
      <c r="G15" s="414"/>
    </row>
    <row r="16" spans="1:10" ht="13.5" customHeight="1"/>
    <row r="19" ht="18" customHeight="1"/>
  </sheetData>
  <mergeCells count="4">
    <mergeCell ref="A1:I1"/>
    <mergeCell ref="A4:I4"/>
    <mergeCell ref="G6:H6"/>
    <mergeCell ref="I6:J6"/>
  </mergeCells>
  <phoneticPr fontId="0" type="noConversion"/>
  <pageMargins left="0.7" right="0.7" top="0.75" bottom="0.75" header="0.3" footer="0.3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"/>
  <sheetViews>
    <sheetView view="pageBreakPreview" zoomScaleNormal="80" zoomScaleSheetLayoutView="100" workbookViewId="0">
      <selection activeCell="A3" sqref="A3:I3"/>
    </sheetView>
  </sheetViews>
  <sheetFormatPr defaultRowHeight="15.75"/>
  <cols>
    <col min="1" max="1" width="47.140625" style="86" customWidth="1"/>
    <col min="2" max="2" width="15.140625" style="91" customWidth="1"/>
    <col min="3" max="3" width="21.28515625" style="91" customWidth="1"/>
    <col min="4" max="4" width="23.7109375" style="91" customWidth="1"/>
    <col min="5" max="5" width="14" style="91" customWidth="1"/>
    <col min="6" max="6" width="21.7109375" style="91" customWidth="1"/>
    <col min="7" max="7" width="18.28515625" style="91" customWidth="1"/>
    <col min="8" max="8" width="21.7109375" style="91" customWidth="1"/>
    <col min="9" max="9" width="19.7109375" style="91" customWidth="1"/>
    <col min="10" max="10" width="21.5703125" style="89" customWidth="1"/>
    <col min="11" max="11" width="26.140625" style="89" customWidth="1"/>
    <col min="12" max="12" width="17" style="89" customWidth="1"/>
    <col min="13" max="13" width="17.7109375" style="89" customWidth="1"/>
    <col min="14" max="14" width="18.85546875" style="90" customWidth="1"/>
    <col min="15" max="16384" width="9.140625" style="87"/>
  </cols>
  <sheetData>
    <row r="1" spans="1:14" ht="21" customHeight="1">
      <c r="A1" s="631" t="s">
        <v>607</v>
      </c>
      <c r="B1" s="631"/>
      <c r="C1" s="631"/>
      <c r="D1" s="631"/>
      <c r="E1" s="631"/>
      <c r="F1" s="631"/>
      <c r="G1" s="631"/>
      <c r="H1" s="631"/>
      <c r="I1" s="631"/>
      <c r="J1" s="256"/>
      <c r="K1" s="256"/>
      <c r="L1" s="256"/>
      <c r="M1" s="256"/>
      <c r="N1" s="256"/>
    </row>
    <row r="2" spans="1:14">
      <c r="B2" s="88"/>
      <c r="C2" s="88"/>
      <c r="D2" s="88"/>
      <c r="E2" s="88"/>
      <c r="F2" s="88"/>
      <c r="G2" s="88"/>
      <c r="H2" s="88"/>
      <c r="I2" s="88"/>
    </row>
    <row r="3" spans="1:14" ht="27.75" customHeight="1">
      <c r="A3" s="698" t="s">
        <v>63</v>
      </c>
      <c r="B3" s="698"/>
      <c r="C3" s="698"/>
      <c r="D3" s="698"/>
      <c r="E3" s="698"/>
      <c r="F3" s="698"/>
      <c r="G3" s="698"/>
      <c r="H3" s="698"/>
      <c r="I3" s="698"/>
      <c r="J3" s="354"/>
      <c r="K3" s="354"/>
      <c r="L3" s="354"/>
      <c r="M3" s="354"/>
      <c r="N3" s="354"/>
    </row>
    <row r="4" spans="1:14" ht="42.75" customHeight="1">
      <c r="A4" s="638" t="s">
        <v>69</v>
      </c>
      <c r="B4" s="638"/>
      <c r="C4" s="638"/>
      <c r="D4" s="638"/>
      <c r="E4" s="638"/>
      <c r="F4" s="638"/>
      <c r="G4" s="638"/>
      <c r="H4" s="638"/>
      <c r="I4" s="638"/>
      <c r="J4" s="285"/>
      <c r="K4" s="285"/>
      <c r="L4" s="285"/>
      <c r="M4" s="285"/>
      <c r="N4" s="285"/>
    </row>
    <row r="5" spans="1:14" ht="30" customHeight="1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</row>
    <row r="6" spans="1:14" ht="54.75" customHeight="1">
      <c r="A6" s="697" t="s">
        <v>319</v>
      </c>
      <c r="B6" s="696" t="s">
        <v>364</v>
      </c>
      <c r="C6" s="696" t="s">
        <v>577</v>
      </c>
      <c r="D6" s="699" t="s">
        <v>362</v>
      </c>
      <c r="E6" s="700"/>
      <c r="F6" s="701" t="s">
        <v>578</v>
      </c>
      <c r="G6" s="702"/>
      <c r="H6" s="699" t="s">
        <v>579</v>
      </c>
      <c r="I6" s="700"/>
      <c r="J6" s="696" t="s">
        <v>361</v>
      </c>
      <c r="K6" s="696"/>
      <c r="L6" s="92"/>
      <c r="M6" s="93"/>
    </row>
    <row r="7" spans="1:14" ht="73.5" customHeight="1">
      <c r="A7" s="697"/>
      <c r="B7" s="696"/>
      <c r="C7" s="696"/>
      <c r="D7" s="356" t="s">
        <v>388</v>
      </c>
      <c r="E7" s="356" t="s">
        <v>389</v>
      </c>
      <c r="F7" s="553" t="s">
        <v>388</v>
      </c>
      <c r="G7" s="553" t="s">
        <v>389</v>
      </c>
      <c r="H7" s="553" t="s">
        <v>388</v>
      </c>
      <c r="I7" s="553" t="s">
        <v>389</v>
      </c>
      <c r="J7" s="553" t="s">
        <v>388</v>
      </c>
      <c r="K7" s="553" t="s">
        <v>389</v>
      </c>
      <c r="L7" s="87"/>
      <c r="M7" s="87"/>
      <c r="N7" s="87"/>
    </row>
    <row r="8" spans="1:14" ht="50.25" customHeight="1">
      <c r="A8" s="357" t="s">
        <v>379</v>
      </c>
      <c r="B8" s="359" t="s">
        <v>310</v>
      </c>
      <c r="C8" s="361">
        <v>155500000</v>
      </c>
      <c r="D8" s="361">
        <v>155500000</v>
      </c>
      <c r="E8" s="363">
        <v>1</v>
      </c>
      <c r="F8" s="362">
        <f>+C8-148074197</f>
        <v>7425803</v>
      </c>
      <c r="G8" s="363">
        <f>+F8/D8</f>
        <v>4.7754360128617362E-2</v>
      </c>
      <c r="H8" s="361">
        <v>0</v>
      </c>
      <c r="I8" s="363">
        <f>+H8/D8</f>
        <v>0</v>
      </c>
      <c r="J8" s="362">
        <f>+D8-F8+H8</f>
        <v>148074197</v>
      </c>
      <c r="K8" s="363">
        <f>J8/D8</f>
        <v>0.95224563987138267</v>
      </c>
      <c r="L8" s="87"/>
      <c r="M8" s="87"/>
      <c r="N8" s="87"/>
    </row>
    <row r="9" spans="1:14" ht="83.25" customHeight="1">
      <c r="A9" s="357" t="s">
        <v>365</v>
      </c>
      <c r="B9" s="359" t="s">
        <v>310</v>
      </c>
      <c r="C9" s="361">
        <v>89180205</v>
      </c>
      <c r="D9" s="362">
        <v>49599394</v>
      </c>
      <c r="E9" s="363">
        <f>+D9/C9</f>
        <v>0.55617044163556251</v>
      </c>
      <c r="F9" s="362">
        <f>+D9-14740137</f>
        <v>34859257</v>
      </c>
      <c r="G9" s="363">
        <f>+F9/C9</f>
        <v>0.39088558946461271</v>
      </c>
      <c r="H9" s="362">
        <v>38712761</v>
      </c>
      <c r="I9" s="363">
        <f>+H9/C9</f>
        <v>0.43409589605675386</v>
      </c>
      <c r="J9" s="362">
        <f>+D9-F9+H9</f>
        <v>53452898</v>
      </c>
      <c r="K9" s="363">
        <f>+J9/C9</f>
        <v>0.59938074822770371</v>
      </c>
      <c r="L9" s="87"/>
      <c r="M9" s="87"/>
      <c r="N9" s="87"/>
    </row>
    <row r="10" spans="1:14" s="94" customFormat="1" ht="82.5" customHeight="1">
      <c r="A10" s="358" t="s">
        <v>363</v>
      </c>
      <c r="B10" s="360" t="s">
        <v>310</v>
      </c>
      <c r="C10" s="365">
        <v>88739589</v>
      </c>
      <c r="D10" s="366">
        <v>48307343</v>
      </c>
      <c r="E10" s="364">
        <f>+D10/C10</f>
        <v>0.54437194880404505</v>
      </c>
      <c r="F10" s="366">
        <f>+D10-23005204</f>
        <v>25302139</v>
      </c>
      <c r="G10" s="363">
        <f>+F10/C10</f>
        <v>0.285127971462658</v>
      </c>
      <c r="H10" s="366">
        <v>39091566</v>
      </c>
      <c r="I10" s="363">
        <f>+H10/C10</f>
        <v>0.44052002539700741</v>
      </c>
      <c r="J10" s="366">
        <f>+D10-F10+H10</f>
        <v>62096770</v>
      </c>
      <c r="K10" s="363">
        <f>+J10/C10</f>
        <v>0.69976400273839445</v>
      </c>
    </row>
  </sheetData>
  <mergeCells count="10">
    <mergeCell ref="J6:K6"/>
    <mergeCell ref="A1:I1"/>
    <mergeCell ref="C6:C7"/>
    <mergeCell ref="B6:B7"/>
    <mergeCell ref="A6:A7"/>
    <mergeCell ref="A4:I4"/>
    <mergeCell ref="A3:I3"/>
    <mergeCell ref="D6:E6"/>
    <mergeCell ref="F6:G6"/>
    <mergeCell ref="H6:I6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8" scale="8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topLeftCell="B1" zoomScaleNormal="100" workbookViewId="0">
      <selection activeCell="I4" sqref="I4"/>
    </sheetView>
  </sheetViews>
  <sheetFormatPr defaultColWidth="8.85546875" defaultRowHeight="15.75"/>
  <cols>
    <col min="1" max="1" width="12.28515625" style="37" hidden="1" customWidth="1"/>
    <col min="2" max="2" width="47.28515625" style="37" customWidth="1"/>
    <col min="3" max="3" width="20.7109375" style="73" customWidth="1"/>
    <col min="4" max="4" width="8.85546875" style="73"/>
    <col min="5" max="7" width="9.140625" style="73" customWidth="1"/>
    <col min="8" max="9" width="8.85546875" style="103"/>
    <col min="10" max="16384" width="8.85546875" style="37"/>
  </cols>
  <sheetData>
    <row r="1" spans="1:9" ht="40.5" customHeight="1">
      <c r="A1" s="703" t="s">
        <v>608</v>
      </c>
      <c r="B1" s="703"/>
      <c r="C1" s="703"/>
      <c r="D1" s="256"/>
      <c r="E1" s="256"/>
      <c r="F1" s="256"/>
      <c r="G1" s="256"/>
    </row>
    <row r="4" spans="1:9" ht="38.25" customHeight="1">
      <c r="A4" s="416" t="s">
        <v>501</v>
      </c>
      <c r="B4" s="704" t="s">
        <v>501</v>
      </c>
      <c r="C4" s="704"/>
      <c r="D4" s="416"/>
      <c r="E4" s="416"/>
      <c r="F4" s="416"/>
      <c r="G4" s="416"/>
    </row>
    <row r="6" spans="1:9" ht="16.5" thickBot="1">
      <c r="C6" s="104" t="s">
        <v>329</v>
      </c>
    </row>
    <row r="7" spans="1:9" ht="16.5" customHeight="1" thickBot="1">
      <c r="C7" s="474" t="s">
        <v>383</v>
      </c>
    </row>
    <row r="8" spans="1:9" s="39" customFormat="1" ht="35.1" customHeight="1" thickBot="1">
      <c r="B8" s="476" t="s">
        <v>92</v>
      </c>
      <c r="C8" s="473">
        <f>+'2.sz.mell.'!C83</f>
        <v>107151973</v>
      </c>
      <c r="D8" s="107"/>
      <c r="E8" s="105"/>
      <c r="F8" s="105"/>
      <c r="G8" s="105"/>
      <c r="H8" s="106"/>
      <c r="I8" s="106"/>
    </row>
    <row r="9" spans="1:9">
      <c r="B9" s="475" t="s">
        <v>375</v>
      </c>
      <c r="C9" s="367">
        <f>+'5.a sz.mell.'!I15</f>
        <v>32120642</v>
      </c>
    </row>
    <row r="10" spans="1:9" ht="47.25">
      <c r="B10" s="160" t="s">
        <v>581</v>
      </c>
      <c r="C10" s="367">
        <f>+'5.a sz.mell.'!I16</f>
        <v>67707822</v>
      </c>
    </row>
    <row r="11" spans="1:9" ht="31.5">
      <c r="B11" s="160" t="s">
        <v>580</v>
      </c>
      <c r="C11" s="367">
        <f>+'5.a sz.mell.'!I19</f>
        <v>2267425</v>
      </c>
    </row>
    <row r="12" spans="1:9" ht="47.25">
      <c r="B12" s="160" t="s">
        <v>582</v>
      </c>
      <c r="C12" s="367">
        <f>+'5.a sz.mell.'!I26</f>
        <v>5056084</v>
      </c>
    </row>
    <row r="13" spans="1:9" s="39" customFormat="1" ht="28.5" customHeight="1">
      <c r="B13" s="454" t="s">
        <v>376</v>
      </c>
      <c r="C13" s="453">
        <f>+'2.sz.mell.'!C82</f>
        <v>0</v>
      </c>
      <c r="D13" s="107"/>
      <c r="E13" s="105"/>
      <c r="F13" s="105"/>
      <c r="G13" s="105"/>
      <c r="H13" s="106"/>
      <c r="I13" s="106"/>
    </row>
    <row r="14" spans="1:9" ht="20.25">
      <c r="B14" s="433" t="s">
        <v>237</v>
      </c>
      <c r="C14" s="434">
        <f>+C13+C8</f>
        <v>107151973</v>
      </c>
    </row>
    <row r="16" spans="1:9">
      <c r="C16" s="72">
        <f>+'5.a sz.mell.'!I63</f>
        <v>107151973</v>
      </c>
    </row>
  </sheetData>
  <mergeCells count="2">
    <mergeCell ref="A1:C1"/>
    <mergeCell ref="B4:C4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2" max="1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0"/>
  <sheetViews>
    <sheetView view="pageBreakPreview" zoomScale="70" zoomScaleNormal="70" zoomScaleSheetLayoutView="70" workbookViewId="0">
      <selection activeCell="L17" sqref="L17"/>
    </sheetView>
  </sheetViews>
  <sheetFormatPr defaultColWidth="8.85546875" defaultRowHeight="12.75"/>
  <cols>
    <col min="1" max="1" width="29.28515625" style="37" customWidth="1"/>
    <col min="2" max="2" width="22.7109375" style="37" customWidth="1"/>
    <col min="3" max="3" width="23.7109375" style="37" customWidth="1"/>
    <col min="4" max="4" width="22.5703125" style="37" customWidth="1"/>
    <col min="5" max="5" width="23" style="37" customWidth="1"/>
    <col min="6" max="6" width="22.140625" style="37" customWidth="1"/>
    <col min="7" max="8" width="17" style="37" customWidth="1"/>
    <col min="9" max="9" width="17" style="37" bestFit="1" customWidth="1"/>
    <col min="10" max="10" width="22.140625" style="37" customWidth="1"/>
    <col min="11" max="11" width="17" style="37" bestFit="1" customWidth="1"/>
    <col min="12" max="21" width="22" style="37" bestFit="1" customWidth="1"/>
    <col min="22" max="22" width="21.5703125" style="37" bestFit="1" customWidth="1"/>
    <col min="23" max="23" width="10.42578125" style="37" customWidth="1"/>
    <col min="24" max="16384" width="8.85546875" style="37"/>
  </cols>
  <sheetData>
    <row r="1" spans="1:23" ht="15.75">
      <c r="A1" s="631" t="s">
        <v>609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256"/>
      <c r="P1" s="256"/>
      <c r="Q1" s="256"/>
      <c r="R1" s="256"/>
      <c r="S1" s="256"/>
      <c r="T1" s="256"/>
      <c r="U1" s="256"/>
      <c r="V1" s="256"/>
      <c r="W1" s="95"/>
    </row>
    <row r="2" spans="1:23" ht="20.25" customHeight="1">
      <c r="A2" s="709" t="s">
        <v>70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274"/>
      <c r="P2" s="274"/>
      <c r="Q2" s="274"/>
      <c r="R2" s="274"/>
      <c r="S2" s="274"/>
      <c r="T2" s="274"/>
      <c r="U2" s="274"/>
      <c r="V2" s="274"/>
      <c r="W2" s="274"/>
    </row>
    <row r="3" spans="1:23" ht="15.75" thickBo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  <c r="N3" s="97" t="s">
        <v>322</v>
      </c>
      <c r="O3" s="97"/>
      <c r="P3" s="97"/>
      <c r="Q3" s="97"/>
      <c r="R3" s="97"/>
      <c r="S3" s="97"/>
      <c r="T3" s="97"/>
      <c r="U3" s="97"/>
      <c r="W3" s="96"/>
    </row>
    <row r="4" spans="1:23" ht="15.75">
      <c r="A4" s="705" t="s">
        <v>71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</row>
    <row r="5" spans="1:23" ht="16.5" thickBot="1">
      <c r="A5" s="706"/>
      <c r="B5" s="314" t="s">
        <v>73</v>
      </c>
      <c r="C5" s="314" t="s">
        <v>74</v>
      </c>
      <c r="D5" s="314" t="s">
        <v>75</v>
      </c>
      <c r="E5" s="314" t="s">
        <v>76</v>
      </c>
      <c r="F5" s="314" t="s">
        <v>77</v>
      </c>
      <c r="G5" s="314" t="s">
        <v>78</v>
      </c>
      <c r="H5" s="314" t="s">
        <v>79</v>
      </c>
      <c r="I5" s="314" t="s">
        <v>80</v>
      </c>
      <c r="J5" s="314" t="s">
        <v>81</v>
      </c>
      <c r="K5" s="314" t="s">
        <v>82</v>
      </c>
      <c r="L5" s="314" t="s">
        <v>83</v>
      </c>
      <c r="M5" s="314" t="s">
        <v>84</v>
      </c>
      <c r="N5" s="314">
        <v>2031</v>
      </c>
    </row>
    <row r="6" spans="1:23" ht="36">
      <c r="A6" s="98" t="s">
        <v>88</v>
      </c>
      <c r="B6" s="315">
        <v>49200000</v>
      </c>
      <c r="C6" s="315">
        <v>45000000</v>
      </c>
      <c r="D6" s="315">
        <v>40000000</v>
      </c>
      <c r="E6" s="315">
        <v>40000000</v>
      </c>
      <c r="F6" s="315">
        <v>40000000</v>
      </c>
      <c r="G6" s="315">
        <v>40000000</v>
      </c>
      <c r="H6" s="315">
        <v>40000000</v>
      </c>
      <c r="I6" s="315">
        <v>40000000</v>
      </c>
      <c r="J6" s="315">
        <v>40000000</v>
      </c>
      <c r="K6" s="315">
        <v>40000000</v>
      </c>
      <c r="L6" s="315">
        <v>40000000</v>
      </c>
      <c r="M6" s="315">
        <v>40000000</v>
      </c>
      <c r="N6" s="315">
        <v>40000000</v>
      </c>
    </row>
    <row r="7" spans="1:23" ht="54">
      <c r="A7" s="99" t="s">
        <v>313</v>
      </c>
      <c r="B7" s="317">
        <f>7500000+6000000</f>
        <v>13500000</v>
      </c>
      <c r="C7" s="317">
        <v>4500000</v>
      </c>
      <c r="D7" s="317">
        <v>4500000</v>
      </c>
      <c r="E7" s="317">
        <v>4500000</v>
      </c>
      <c r="F7" s="317">
        <v>4500000</v>
      </c>
      <c r="G7" s="317">
        <v>4500000</v>
      </c>
      <c r="H7" s="317">
        <v>4500000</v>
      </c>
      <c r="I7" s="317">
        <v>4500000</v>
      </c>
      <c r="J7" s="317">
        <v>4500000</v>
      </c>
      <c r="K7" s="317">
        <v>4500000</v>
      </c>
      <c r="L7" s="317">
        <v>4500000</v>
      </c>
      <c r="M7" s="317">
        <v>4500000</v>
      </c>
      <c r="N7" s="317">
        <v>4500000</v>
      </c>
    </row>
    <row r="8" spans="1:23" ht="36.75" thickBot="1">
      <c r="A8" s="100" t="s">
        <v>89</v>
      </c>
      <c r="B8" s="318">
        <v>100000</v>
      </c>
      <c r="C8" s="318">
        <v>500000</v>
      </c>
      <c r="D8" s="318">
        <v>500000</v>
      </c>
      <c r="E8" s="318">
        <v>500000</v>
      </c>
      <c r="F8" s="318">
        <v>500000</v>
      </c>
      <c r="G8" s="318">
        <v>500000</v>
      </c>
      <c r="H8" s="318">
        <v>500000</v>
      </c>
      <c r="I8" s="318">
        <v>500000</v>
      </c>
      <c r="J8" s="318">
        <v>500000</v>
      </c>
      <c r="K8" s="318">
        <v>500000</v>
      </c>
      <c r="L8" s="318">
        <v>500000</v>
      </c>
      <c r="M8" s="318">
        <v>500000</v>
      </c>
      <c r="N8" s="318">
        <v>500000</v>
      </c>
    </row>
    <row r="9" spans="1:23" ht="18.75" thickBot="1">
      <c r="A9" s="101" t="s">
        <v>90</v>
      </c>
      <c r="B9" s="319">
        <f t="shared" ref="B9:N9" si="0">SUM(B6:B8)</f>
        <v>62800000</v>
      </c>
      <c r="C9" s="319">
        <f t="shared" si="0"/>
        <v>50000000</v>
      </c>
      <c r="D9" s="319">
        <f t="shared" si="0"/>
        <v>45000000</v>
      </c>
      <c r="E9" s="319">
        <f t="shared" si="0"/>
        <v>45000000</v>
      </c>
      <c r="F9" s="319">
        <f t="shared" si="0"/>
        <v>45000000</v>
      </c>
      <c r="G9" s="319">
        <f t="shared" si="0"/>
        <v>45000000</v>
      </c>
      <c r="H9" s="319">
        <f t="shared" si="0"/>
        <v>45000000</v>
      </c>
      <c r="I9" s="319">
        <f t="shared" si="0"/>
        <v>45000000</v>
      </c>
      <c r="J9" s="319">
        <f t="shared" si="0"/>
        <v>45000000</v>
      </c>
      <c r="K9" s="319">
        <f t="shared" si="0"/>
        <v>45000000</v>
      </c>
      <c r="L9" s="319">
        <f t="shared" si="0"/>
        <v>45000000</v>
      </c>
      <c r="M9" s="319">
        <f t="shared" si="0"/>
        <v>45000000</v>
      </c>
      <c r="N9" s="319">
        <f t="shared" si="0"/>
        <v>45000000</v>
      </c>
    </row>
    <row r="10" spans="1:23" ht="228" thickBot="1">
      <c r="A10" s="102" t="s">
        <v>91</v>
      </c>
      <c r="B10" s="320">
        <v>1908000</v>
      </c>
      <c r="C10" s="320">
        <v>1900000</v>
      </c>
      <c r="D10" s="320">
        <v>1850000</v>
      </c>
      <c r="E10" s="320">
        <v>1800000</v>
      </c>
      <c r="F10" s="320">
        <v>1750000</v>
      </c>
      <c r="G10" s="320">
        <v>1700000</v>
      </c>
      <c r="H10" s="320">
        <v>1650000</v>
      </c>
      <c r="I10" s="320">
        <v>1600000</v>
      </c>
      <c r="J10" s="320">
        <v>1550000</v>
      </c>
      <c r="K10" s="320">
        <v>1500000</v>
      </c>
      <c r="L10" s="320">
        <v>1450000</v>
      </c>
      <c r="M10" s="320">
        <v>1400000</v>
      </c>
      <c r="N10" s="320">
        <v>1350000</v>
      </c>
    </row>
    <row r="13" spans="1:23" ht="13.5" thickBot="1">
      <c r="C13" s="368"/>
      <c r="D13" s="368"/>
      <c r="E13" s="368"/>
      <c r="F13" s="368"/>
      <c r="G13" s="368"/>
      <c r="H13" s="368"/>
    </row>
    <row r="14" spans="1:23" ht="15.75">
      <c r="A14" s="705" t="s">
        <v>71</v>
      </c>
      <c r="B14" s="312"/>
      <c r="C14" s="312"/>
      <c r="D14" s="312"/>
      <c r="E14" s="312"/>
      <c r="F14" s="312"/>
      <c r="G14" s="312"/>
      <c r="H14" s="313"/>
      <c r="I14" s="707" t="s">
        <v>72</v>
      </c>
    </row>
    <row r="15" spans="1:23" ht="16.5" thickBot="1">
      <c r="A15" s="706"/>
      <c r="B15" s="314" t="s">
        <v>85</v>
      </c>
      <c r="C15" s="314" t="s">
        <v>86</v>
      </c>
      <c r="D15" s="314" t="s">
        <v>87</v>
      </c>
      <c r="E15" s="314" t="s">
        <v>312</v>
      </c>
      <c r="F15" s="314" t="s">
        <v>328</v>
      </c>
      <c r="G15" s="314" t="s">
        <v>366</v>
      </c>
      <c r="H15" s="314" t="s">
        <v>583</v>
      </c>
      <c r="I15" s="708"/>
    </row>
    <row r="16" spans="1:23" ht="36">
      <c r="A16" s="98" t="s">
        <v>88</v>
      </c>
      <c r="B16" s="315">
        <v>40000000</v>
      </c>
      <c r="C16" s="315">
        <v>40000000</v>
      </c>
      <c r="D16" s="315">
        <v>40000000</v>
      </c>
      <c r="E16" s="315">
        <v>40000000</v>
      </c>
      <c r="F16" s="315">
        <v>40000000</v>
      </c>
      <c r="G16" s="315">
        <v>40000000</v>
      </c>
      <c r="H16" s="315">
        <v>40000000</v>
      </c>
      <c r="I16" s="316">
        <f>SUM(B6:N6)+B16+C16+D16+E16+F16+G16+H16</f>
        <v>814200000</v>
      </c>
    </row>
    <row r="17" spans="1:9" ht="54">
      <c r="A17" s="99" t="s">
        <v>313</v>
      </c>
      <c r="B17" s="317">
        <v>4500000</v>
      </c>
      <c r="C17" s="317">
        <v>4500000</v>
      </c>
      <c r="D17" s="317">
        <v>4500000</v>
      </c>
      <c r="E17" s="317">
        <v>4500000</v>
      </c>
      <c r="F17" s="317">
        <v>4500000</v>
      </c>
      <c r="G17" s="317">
        <v>4500000</v>
      </c>
      <c r="H17" s="317">
        <v>4500000</v>
      </c>
      <c r="I17" s="316">
        <f>SUM(B7:N7)+G17+F17+E17+D17+C17+B17+H17</f>
        <v>99000000</v>
      </c>
    </row>
    <row r="18" spans="1:9" ht="36.75" thickBot="1">
      <c r="A18" s="100" t="s">
        <v>89</v>
      </c>
      <c r="B18" s="318">
        <v>500000</v>
      </c>
      <c r="C18" s="318">
        <v>500000</v>
      </c>
      <c r="D18" s="318">
        <v>500000</v>
      </c>
      <c r="E18" s="318">
        <v>500000</v>
      </c>
      <c r="F18" s="318">
        <v>500000</v>
      </c>
      <c r="G18" s="318">
        <v>500000</v>
      </c>
      <c r="H18" s="318">
        <v>500000</v>
      </c>
      <c r="I18" s="316">
        <f>SUM(B8:N8)+H18+G18+F18+E18+D18+C18+B18</f>
        <v>9600000</v>
      </c>
    </row>
    <row r="19" spans="1:9" ht="18.75" thickBot="1">
      <c r="A19" s="101" t="s">
        <v>90</v>
      </c>
      <c r="B19" s="319">
        <f t="shared" ref="B19:H19" si="1">SUM(B16:B18)</f>
        <v>45000000</v>
      </c>
      <c r="C19" s="319">
        <f t="shared" si="1"/>
        <v>45000000</v>
      </c>
      <c r="D19" s="319">
        <f t="shared" si="1"/>
        <v>45000000</v>
      </c>
      <c r="E19" s="319">
        <f t="shared" si="1"/>
        <v>45000000</v>
      </c>
      <c r="F19" s="319">
        <f t="shared" si="1"/>
        <v>45000000</v>
      </c>
      <c r="G19" s="319">
        <f t="shared" si="1"/>
        <v>45000000</v>
      </c>
      <c r="H19" s="319">
        <f t="shared" si="1"/>
        <v>45000000</v>
      </c>
      <c r="I19" s="316">
        <f>+I16+I17+I18</f>
        <v>922800000</v>
      </c>
    </row>
    <row r="20" spans="1:9" ht="228" thickBot="1">
      <c r="A20" s="102" t="s">
        <v>91</v>
      </c>
      <c r="B20" s="320">
        <v>1300000</v>
      </c>
      <c r="C20" s="320">
        <v>1250000</v>
      </c>
      <c r="D20" s="320">
        <v>1200000</v>
      </c>
      <c r="E20" s="320">
        <v>1150000</v>
      </c>
      <c r="F20" s="320">
        <v>1100000</v>
      </c>
      <c r="G20" s="320">
        <v>1050000</v>
      </c>
      <c r="H20" s="320">
        <v>1000000</v>
      </c>
      <c r="I20" s="316">
        <f>SUM(B10:N10)+H20+G20+F20+E20+D20+C20+B20</f>
        <v>29458000</v>
      </c>
    </row>
  </sheetData>
  <mergeCells count="5">
    <mergeCell ref="A4:A5"/>
    <mergeCell ref="I14:I15"/>
    <mergeCell ref="A14:A15"/>
    <mergeCell ref="A2:N2"/>
    <mergeCell ref="A1:N1"/>
  </mergeCells>
  <phoneticPr fontId="0" type="noConversion"/>
  <pageMargins left="0.11811023622047245" right="0.11811023622047245" top="0.35433070866141736" bottom="0.35433070866141736" header="0.31496062992125984" footer="0.31496062992125984"/>
  <pageSetup paperSize="8"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58"/>
  <sheetViews>
    <sheetView view="pageBreakPreview" zoomScale="60" zoomScaleNormal="100" workbookViewId="0">
      <selection activeCell="M18" sqref="M18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6" width="20.7109375" customWidth="1"/>
    <col min="7" max="7" width="16.28515625" customWidth="1"/>
  </cols>
  <sheetData>
    <row r="1" spans="1:11" ht="15.75">
      <c r="A1" s="711" t="s">
        <v>610</v>
      </c>
      <c r="B1" s="711"/>
      <c r="C1" s="711"/>
      <c r="D1" s="711"/>
      <c r="E1" s="711"/>
      <c r="F1" s="711"/>
      <c r="G1" s="711"/>
      <c r="H1" s="455"/>
      <c r="I1" s="455"/>
      <c r="J1" s="455"/>
      <c r="K1" s="130"/>
    </row>
    <row r="2" spans="1:11" ht="15.75">
      <c r="A2" s="713" t="s">
        <v>63</v>
      </c>
      <c r="B2" s="713"/>
      <c r="C2" s="713"/>
      <c r="D2" s="713"/>
      <c r="E2" s="713"/>
      <c r="F2" s="713"/>
      <c r="G2" s="713"/>
      <c r="H2" s="131"/>
      <c r="I2" s="131"/>
      <c r="J2" s="131"/>
      <c r="K2" s="130"/>
    </row>
    <row r="3" spans="1:11">
      <c r="A3" s="713"/>
      <c r="B3" s="713"/>
      <c r="C3" s="713"/>
      <c r="D3" s="713"/>
      <c r="E3" s="713"/>
      <c r="F3" s="713"/>
      <c r="G3" s="713"/>
      <c r="H3" s="538"/>
      <c r="I3" s="538"/>
      <c r="J3" s="538"/>
    </row>
    <row r="4" spans="1:11" ht="41.45" customHeight="1">
      <c r="A4" s="712" t="s">
        <v>93</v>
      </c>
      <c r="B4" s="712"/>
      <c r="C4" s="712"/>
      <c r="D4" s="712"/>
      <c r="E4" s="712"/>
      <c r="F4" s="712"/>
      <c r="G4" s="712"/>
      <c r="H4" s="537"/>
      <c r="I4" s="537"/>
      <c r="J4" s="537"/>
    </row>
    <row r="7" spans="1:11" ht="24" customHeight="1">
      <c r="A7" s="714" t="s">
        <v>478</v>
      </c>
      <c r="B7" s="714"/>
      <c r="C7" s="714"/>
      <c r="D7" s="714"/>
      <c r="E7" s="714"/>
      <c r="F7" s="714"/>
      <c r="G7" s="714"/>
      <c r="H7" s="539"/>
      <c r="I7" s="539"/>
      <c r="J7" s="539"/>
    </row>
    <row r="9" spans="1:11" ht="30">
      <c r="A9" s="522" t="s">
        <v>482</v>
      </c>
      <c r="B9" s="523">
        <v>2019</v>
      </c>
      <c r="C9" s="523">
        <v>2020</v>
      </c>
      <c r="D9" s="523">
        <v>2021</v>
      </c>
      <c r="E9" s="523">
        <v>2022</v>
      </c>
      <c r="F9" s="523" t="s">
        <v>90</v>
      </c>
    </row>
    <row r="10" spans="1:11" s="526" customFormat="1" ht="21.75" customHeight="1">
      <c r="A10" s="524" t="s">
        <v>479</v>
      </c>
      <c r="B10" s="525">
        <f>+(1496674/127)*100</f>
        <v>1178483.464566929</v>
      </c>
      <c r="C10" s="525">
        <f>((+C31+C32+C33+C34+C35+C36+C37+C38+C39+C40+C41+C42)/127)*100</f>
        <v>545413.38582677161</v>
      </c>
      <c r="D10" s="525">
        <f>((+C43+C44++C45+C46+C47+C48+C49+C50+C51+C52+C53+C54)/127)*100</f>
        <v>572774.01574803155</v>
      </c>
      <c r="E10" s="525">
        <f>((C55)/127)*100</f>
        <v>49000.787401574802</v>
      </c>
      <c r="F10" s="531">
        <f>E10+D10+C10+B10</f>
        <v>2345671.653543307</v>
      </c>
    </row>
    <row r="11" spans="1:11" s="526" customFormat="1" ht="21.75" customHeight="1">
      <c r="A11" s="524" t="s">
        <v>481</v>
      </c>
      <c r="B11" s="525">
        <f>+B10*0.27</f>
        <v>318190.53543307085</v>
      </c>
      <c r="C11" s="525">
        <f>+C10*0.27</f>
        <v>147261.61417322836</v>
      </c>
      <c r="D11" s="525">
        <f>+D10*0.27</f>
        <v>154648.98425196853</v>
      </c>
      <c r="E11" s="525">
        <f>+E10*0.27</f>
        <v>13230.212598425198</v>
      </c>
      <c r="F11" s="531">
        <f t="shared" ref="F11:F13" si="0">E11+D11+C11+B11</f>
        <v>633331.3464566929</v>
      </c>
    </row>
    <row r="12" spans="1:11" s="526" customFormat="1" ht="21.75" customHeight="1">
      <c r="A12" s="524" t="s">
        <v>480</v>
      </c>
      <c r="B12" s="525">
        <f>+D20+D21+D22+D23+D24+D25+D26+D27+D28+D29+D30</f>
        <v>84404</v>
      </c>
      <c r="C12" s="525">
        <f>+D31+D32+D33+D34+D35+D36+D37+D38+D39+D40+D41+D42</f>
        <v>57192</v>
      </c>
      <c r="D12" s="525">
        <f>+D43+D44+D45+D46+D47+D48+D49+D50+D51+D52+D53+D54</f>
        <v>22443</v>
      </c>
      <c r="E12" s="525">
        <f>+D55</f>
        <v>258</v>
      </c>
      <c r="F12" s="531">
        <f t="shared" si="0"/>
        <v>164297</v>
      </c>
    </row>
    <row r="13" spans="1:11" s="526" customFormat="1" ht="21.75" customHeight="1">
      <c r="A13" s="524" t="s">
        <v>72</v>
      </c>
      <c r="B13" s="525">
        <f>+B10+B11+B12</f>
        <v>1581078</v>
      </c>
      <c r="C13" s="525">
        <f t="shared" ref="C13" si="1">+C10+C11+C12</f>
        <v>749867</v>
      </c>
      <c r="D13" s="525">
        <f>+D10+D11+D12</f>
        <v>749866.00000000012</v>
      </c>
      <c r="E13" s="525">
        <f>+E10+E11+E12</f>
        <v>62489</v>
      </c>
      <c r="F13" s="531">
        <f t="shared" si="0"/>
        <v>3143300</v>
      </c>
    </row>
    <row r="14" spans="1:11">
      <c r="F14" s="520">
        <f>+F13-E56</f>
        <v>0</v>
      </c>
      <c r="G14" s="520"/>
    </row>
    <row r="15" spans="1:11">
      <c r="G15" s="520"/>
    </row>
    <row r="16" spans="1:11" ht="22.5" customHeight="1">
      <c r="A16" s="710" t="s">
        <v>483</v>
      </c>
      <c r="B16" s="710"/>
      <c r="C16" s="710"/>
      <c r="D16" s="710"/>
      <c r="E16" s="710"/>
      <c r="F16" s="710"/>
      <c r="G16" s="710"/>
    </row>
    <row r="18" spans="2:6" ht="27.75" customHeight="1">
      <c r="B18" s="523" t="s">
        <v>484</v>
      </c>
      <c r="C18" s="523" t="s">
        <v>485</v>
      </c>
      <c r="D18" s="523" t="s">
        <v>487</v>
      </c>
      <c r="E18" s="523" t="s">
        <v>486</v>
      </c>
      <c r="F18" s="609"/>
    </row>
    <row r="19" spans="2:6" ht="27.75" customHeight="1">
      <c r="B19" s="530" t="s">
        <v>489</v>
      </c>
      <c r="C19" s="525">
        <v>893700</v>
      </c>
      <c r="D19" s="523">
        <v>0</v>
      </c>
      <c r="E19" s="525">
        <f>+C19+D19</f>
        <v>893700</v>
      </c>
      <c r="F19" s="610"/>
    </row>
    <row r="20" spans="2:6">
      <c r="B20" s="527">
        <v>43511</v>
      </c>
      <c r="C20" s="521">
        <v>50780</v>
      </c>
      <c r="D20" s="521">
        <v>11709</v>
      </c>
      <c r="E20" s="521">
        <f>+C20+D20</f>
        <v>62489</v>
      </c>
      <c r="F20" s="611"/>
    </row>
    <row r="21" spans="2:6">
      <c r="B21" s="527">
        <v>43542</v>
      </c>
      <c r="C21" s="521">
        <v>54057</v>
      </c>
      <c r="D21" s="521">
        <v>8432</v>
      </c>
      <c r="E21" s="521">
        <f t="shared" ref="E21:E55" si="2">+C21+D21</f>
        <v>62489</v>
      </c>
      <c r="F21" s="611"/>
    </row>
    <row r="22" spans="2:6">
      <c r="B22" s="527">
        <v>43570</v>
      </c>
      <c r="C22" s="521">
        <v>54281</v>
      </c>
      <c r="D22" s="521">
        <v>8208</v>
      </c>
      <c r="E22" s="521">
        <f t="shared" si="2"/>
        <v>62489</v>
      </c>
      <c r="F22" s="611"/>
    </row>
    <row r="23" spans="2:6">
      <c r="B23" s="527">
        <v>43600</v>
      </c>
      <c r="C23" s="521">
        <v>54506</v>
      </c>
      <c r="D23" s="521">
        <v>7983</v>
      </c>
      <c r="E23" s="521">
        <f t="shared" si="2"/>
        <v>62489</v>
      </c>
      <c r="F23" s="611"/>
    </row>
    <row r="24" spans="2:6">
      <c r="B24" s="527">
        <v>43633</v>
      </c>
      <c r="C24" s="521">
        <v>55483</v>
      </c>
      <c r="D24" s="521">
        <v>7006</v>
      </c>
      <c r="E24" s="521">
        <f t="shared" si="2"/>
        <v>62489</v>
      </c>
      <c r="F24" s="611"/>
    </row>
    <row r="25" spans="2:6">
      <c r="B25" s="527">
        <v>43661</v>
      </c>
      <c r="C25" s="521">
        <v>55205</v>
      </c>
      <c r="D25" s="521">
        <v>7284</v>
      </c>
      <c r="E25" s="521">
        <f t="shared" si="2"/>
        <v>62489</v>
      </c>
      <c r="F25" s="611"/>
    </row>
    <row r="26" spans="2:6">
      <c r="B26" s="527">
        <v>43692</v>
      </c>
      <c r="C26" s="521">
        <v>54720</v>
      </c>
      <c r="D26" s="521">
        <v>7769</v>
      </c>
      <c r="E26" s="521">
        <f t="shared" si="2"/>
        <v>62489</v>
      </c>
      <c r="F26" s="611"/>
    </row>
    <row r="27" spans="2:6">
      <c r="B27" s="527">
        <v>43724</v>
      </c>
      <c r="C27" s="521">
        <v>56102</v>
      </c>
      <c r="D27" s="521">
        <v>6387</v>
      </c>
      <c r="E27" s="521">
        <f t="shared" si="2"/>
        <v>62489</v>
      </c>
      <c r="F27" s="611"/>
    </row>
    <row r="28" spans="2:6">
      <c r="B28" s="527">
        <v>43753</v>
      </c>
      <c r="C28" s="521">
        <v>55650</v>
      </c>
      <c r="D28" s="521">
        <v>6839</v>
      </c>
      <c r="E28" s="521">
        <f t="shared" si="2"/>
        <v>62489</v>
      </c>
      <c r="F28" s="611"/>
    </row>
    <row r="29" spans="2:6">
      <c r="B29" s="527">
        <v>43784</v>
      </c>
      <c r="C29" s="521">
        <v>55667</v>
      </c>
      <c r="D29" s="521">
        <v>6821</v>
      </c>
      <c r="E29" s="521">
        <f t="shared" si="2"/>
        <v>62488</v>
      </c>
      <c r="F29" s="611"/>
    </row>
    <row r="30" spans="2:6">
      <c r="B30" s="527">
        <v>43815</v>
      </c>
      <c r="C30" s="521">
        <v>56523</v>
      </c>
      <c r="D30" s="521">
        <v>5966</v>
      </c>
      <c r="E30" s="521">
        <f t="shared" si="2"/>
        <v>62489</v>
      </c>
      <c r="F30" s="611"/>
    </row>
    <row r="31" spans="2:6">
      <c r="B31" s="527">
        <v>43845</v>
      </c>
      <c r="C31" s="521">
        <v>56346</v>
      </c>
      <c r="D31" s="521">
        <v>6143</v>
      </c>
      <c r="E31" s="521">
        <f t="shared" si="2"/>
        <v>62489</v>
      </c>
      <c r="F31" s="611"/>
    </row>
    <row r="32" spans="2:6">
      <c r="B32" s="527">
        <v>43878</v>
      </c>
      <c r="C32" s="521">
        <v>56579</v>
      </c>
      <c r="D32" s="521">
        <v>5910</v>
      </c>
      <c r="E32" s="521">
        <f t="shared" si="2"/>
        <v>62489</v>
      </c>
      <c r="F32" s="611"/>
    </row>
    <row r="33" spans="2:6">
      <c r="B33" s="527">
        <v>43906</v>
      </c>
      <c r="C33" s="521">
        <v>56997</v>
      </c>
      <c r="D33" s="521">
        <v>5492</v>
      </c>
      <c r="E33" s="521">
        <f t="shared" si="2"/>
        <v>62489</v>
      </c>
      <c r="F33" s="611"/>
    </row>
    <row r="34" spans="2:6">
      <c r="B34" s="527">
        <v>43936</v>
      </c>
      <c r="C34" s="521">
        <v>56699</v>
      </c>
      <c r="D34" s="521">
        <v>5790</v>
      </c>
      <c r="E34" s="521">
        <f t="shared" si="2"/>
        <v>62489</v>
      </c>
      <c r="F34" s="611"/>
    </row>
    <row r="35" spans="2:6">
      <c r="B35" s="527">
        <v>43966</v>
      </c>
      <c r="C35" s="521">
        <v>57788</v>
      </c>
      <c r="D35" s="521">
        <v>4701</v>
      </c>
      <c r="E35" s="521">
        <f t="shared" si="2"/>
        <v>62489</v>
      </c>
      <c r="F35" s="611"/>
    </row>
    <row r="36" spans="2:6">
      <c r="B36" s="527">
        <v>43997</v>
      </c>
      <c r="C36" s="521">
        <v>57684</v>
      </c>
      <c r="D36" s="521">
        <v>4805</v>
      </c>
      <c r="E36" s="521">
        <f t="shared" si="2"/>
        <v>62489</v>
      </c>
      <c r="F36" s="611"/>
    </row>
    <row r="37" spans="2:6">
      <c r="B37" s="527">
        <v>44027</v>
      </c>
      <c r="C37" s="521">
        <v>57916</v>
      </c>
      <c r="D37" s="521">
        <v>4573</v>
      </c>
      <c r="E37" s="521">
        <f t="shared" si="2"/>
        <v>62489</v>
      </c>
      <c r="F37" s="611"/>
    </row>
    <row r="38" spans="2:6">
      <c r="B38" s="527">
        <v>44060</v>
      </c>
      <c r="C38" s="521">
        <v>58003</v>
      </c>
      <c r="D38" s="521">
        <v>4486</v>
      </c>
      <c r="E38" s="521">
        <f t="shared" si="2"/>
        <v>62489</v>
      </c>
      <c r="F38" s="611"/>
    </row>
    <row r="39" spans="2:6">
      <c r="B39" s="527">
        <v>44089</v>
      </c>
      <c r="C39" s="521">
        <v>58381</v>
      </c>
      <c r="D39" s="521">
        <v>4108</v>
      </c>
      <c r="E39" s="521">
        <f t="shared" si="2"/>
        <v>62489</v>
      </c>
      <c r="F39" s="611"/>
    </row>
    <row r="40" spans="2:6">
      <c r="B40" s="527">
        <v>44119</v>
      </c>
      <c r="C40" s="521">
        <v>58227</v>
      </c>
      <c r="D40" s="521">
        <v>4261</v>
      </c>
      <c r="E40" s="521">
        <f t="shared" si="2"/>
        <v>62488</v>
      </c>
      <c r="F40" s="611"/>
    </row>
    <row r="41" spans="2:6">
      <c r="B41" s="527">
        <v>44151</v>
      </c>
      <c r="C41" s="521">
        <v>58970</v>
      </c>
      <c r="D41" s="521">
        <v>3519</v>
      </c>
      <c r="E41" s="521">
        <f t="shared" si="2"/>
        <v>62489</v>
      </c>
      <c r="F41" s="611"/>
    </row>
    <row r="42" spans="2:6">
      <c r="B42" s="527">
        <v>44180</v>
      </c>
      <c r="C42" s="521">
        <v>59085</v>
      </c>
      <c r="D42" s="521">
        <v>3404</v>
      </c>
      <c r="E42" s="521">
        <f t="shared" si="2"/>
        <v>62489</v>
      </c>
      <c r="F42" s="611"/>
    </row>
    <row r="43" spans="2:6">
      <c r="B43" s="527">
        <v>44211</v>
      </c>
      <c r="C43" s="521">
        <v>59111</v>
      </c>
      <c r="D43" s="521">
        <v>3378</v>
      </c>
      <c r="E43" s="521">
        <f t="shared" si="2"/>
        <v>62489</v>
      </c>
      <c r="F43" s="611"/>
    </row>
    <row r="44" spans="2:6">
      <c r="B44" s="527">
        <v>44242</v>
      </c>
      <c r="C44" s="521">
        <v>59657</v>
      </c>
      <c r="D44" s="521">
        <v>2832</v>
      </c>
      <c r="E44" s="521">
        <f t="shared" si="2"/>
        <v>62489</v>
      </c>
      <c r="F44" s="611"/>
    </row>
    <row r="45" spans="2:6">
      <c r="B45" s="527">
        <v>44271</v>
      </c>
      <c r="C45" s="521">
        <v>59708</v>
      </c>
      <c r="D45" s="521">
        <v>2780</v>
      </c>
      <c r="E45" s="521">
        <f t="shared" si="2"/>
        <v>62488</v>
      </c>
      <c r="F45" s="611"/>
    </row>
    <row r="46" spans="2:6">
      <c r="B46" s="527">
        <v>44301</v>
      </c>
      <c r="C46" s="521">
        <v>59956</v>
      </c>
      <c r="D46" s="521">
        <v>2533</v>
      </c>
      <c r="E46" s="521">
        <f t="shared" si="2"/>
        <v>62489</v>
      </c>
      <c r="F46" s="611"/>
    </row>
    <row r="47" spans="2:6">
      <c r="B47" s="527">
        <v>44333</v>
      </c>
      <c r="C47" s="521">
        <v>60352</v>
      </c>
      <c r="D47" s="521">
        <v>2137</v>
      </c>
      <c r="E47" s="521">
        <f t="shared" si="2"/>
        <v>62489</v>
      </c>
      <c r="F47" s="611"/>
    </row>
    <row r="48" spans="2:6">
      <c r="B48" s="527">
        <v>44362</v>
      </c>
      <c r="C48" s="521">
        <v>60520</v>
      </c>
      <c r="D48" s="521">
        <v>1969</v>
      </c>
      <c r="E48" s="521">
        <f t="shared" si="2"/>
        <v>62489</v>
      </c>
      <c r="F48" s="611"/>
    </row>
    <row r="49" spans="2:6">
      <c r="B49" s="527">
        <v>44392</v>
      </c>
      <c r="C49" s="521">
        <v>60648</v>
      </c>
      <c r="D49" s="521">
        <v>1841</v>
      </c>
      <c r="E49" s="521">
        <f t="shared" si="2"/>
        <v>62489</v>
      </c>
      <c r="F49" s="611"/>
    </row>
    <row r="50" spans="2:6">
      <c r="B50" s="527">
        <v>44424</v>
      </c>
      <c r="C50" s="521">
        <v>61056</v>
      </c>
      <c r="D50" s="521">
        <v>1433</v>
      </c>
      <c r="E50" s="521">
        <f t="shared" si="2"/>
        <v>62489</v>
      </c>
      <c r="F50" s="611"/>
    </row>
    <row r="51" spans="2:6">
      <c r="B51" s="527">
        <v>44454</v>
      </c>
      <c r="C51" s="521">
        <v>61251</v>
      </c>
      <c r="D51" s="521">
        <v>1238</v>
      </c>
      <c r="E51" s="521">
        <f t="shared" si="2"/>
        <v>62489</v>
      </c>
      <c r="F51" s="611"/>
    </row>
    <row r="52" spans="2:6">
      <c r="B52" s="527">
        <v>44484</v>
      </c>
      <c r="C52" s="521">
        <v>61430</v>
      </c>
      <c r="D52" s="521">
        <v>1058</v>
      </c>
      <c r="E52" s="521">
        <f t="shared" si="2"/>
        <v>62488</v>
      </c>
      <c r="F52" s="611"/>
    </row>
    <row r="53" spans="2:6">
      <c r="B53" s="527">
        <v>44515</v>
      </c>
      <c r="C53" s="521">
        <v>61743</v>
      </c>
      <c r="D53" s="521">
        <v>746</v>
      </c>
      <c r="E53" s="521">
        <f t="shared" si="2"/>
        <v>62489</v>
      </c>
      <c r="F53" s="611"/>
    </row>
    <row r="54" spans="2:6">
      <c r="B54" s="527">
        <v>44545</v>
      </c>
      <c r="C54" s="521">
        <v>61991</v>
      </c>
      <c r="D54" s="521">
        <v>498</v>
      </c>
      <c r="E54" s="521">
        <f t="shared" si="2"/>
        <v>62489</v>
      </c>
      <c r="F54" s="611"/>
    </row>
    <row r="55" spans="2:6">
      <c r="B55" s="527">
        <v>44576</v>
      </c>
      <c r="C55" s="521">
        <v>62231</v>
      </c>
      <c r="D55" s="521">
        <v>258</v>
      </c>
      <c r="E55" s="521">
        <f t="shared" si="2"/>
        <v>62489</v>
      </c>
      <c r="F55" s="611"/>
    </row>
    <row r="56" spans="2:6" ht="30.75" customHeight="1">
      <c r="B56" s="528" t="s">
        <v>488</v>
      </c>
      <c r="C56" s="529">
        <f>SUM(C19:C55)</f>
        <v>2979003</v>
      </c>
      <c r="D56" s="529">
        <f>SUM(D19:D55)</f>
        <v>164297</v>
      </c>
      <c r="E56" s="529">
        <f>SUM(E19:E55)</f>
        <v>3143300</v>
      </c>
      <c r="F56" s="612"/>
    </row>
    <row r="58" spans="2:6">
      <c r="C58" s="520"/>
    </row>
  </sheetData>
  <mergeCells count="5">
    <mergeCell ref="A16:G16"/>
    <mergeCell ref="A1:G1"/>
    <mergeCell ref="A4:G4"/>
    <mergeCell ref="A2:G3"/>
    <mergeCell ref="A7:G7"/>
  </mergeCells>
  <phoneticPr fontId="0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4"/>
  <sheetViews>
    <sheetView view="pageBreakPreview" zoomScale="80" zoomScaleNormal="80" zoomScaleSheetLayoutView="80" workbookViewId="0">
      <pane xSplit="1" ySplit="1" topLeftCell="B2" activePane="bottomRight" state="frozen"/>
      <selection activeCell="C6" sqref="C6:D6"/>
      <selection pane="topRight" activeCell="C6" sqref="C6:D6"/>
      <selection pane="bottomLeft" activeCell="C6" sqref="C6:D6"/>
      <selection pane="bottomRight" activeCell="I28" sqref="I28"/>
    </sheetView>
  </sheetViews>
  <sheetFormatPr defaultRowHeight="15.75"/>
  <cols>
    <col min="1" max="1" width="36.85546875" style="114" customWidth="1"/>
    <col min="2" max="12" width="20.28515625" style="114" customWidth="1"/>
    <col min="13" max="13" width="20.28515625" style="128" customWidth="1"/>
    <col min="14" max="14" width="20.28515625" style="129" customWidth="1"/>
    <col min="15" max="15" width="16.5703125" style="129" customWidth="1"/>
    <col min="16" max="16" width="17.7109375" style="109" customWidth="1"/>
    <col min="17" max="17" width="14.28515625" style="109" customWidth="1"/>
    <col min="18" max="18" width="12.85546875" style="110" customWidth="1"/>
    <col min="19" max="19" width="12" style="110" bestFit="1" customWidth="1"/>
    <col min="20" max="20" width="11.5703125" style="109" bestFit="1" customWidth="1"/>
    <col min="21" max="21" width="12.140625" style="109" customWidth="1"/>
    <col min="22" max="22" width="11.5703125" style="109" bestFit="1" customWidth="1"/>
    <col min="23" max="23" width="13.28515625" style="109" customWidth="1"/>
    <col min="24" max="24" width="11.5703125" style="109" bestFit="1" customWidth="1"/>
    <col min="25" max="25" width="13.28515625" style="109" customWidth="1"/>
    <col min="26" max="27" width="13.140625" style="109" bestFit="1" customWidth="1"/>
    <col min="28" max="28" width="16.85546875" style="109" customWidth="1"/>
    <col min="29" max="29" width="20.28515625" style="109" customWidth="1"/>
    <col min="30" max="30" width="16.85546875" style="109" customWidth="1"/>
    <col min="31" max="16384" width="9.140625" style="109"/>
  </cols>
  <sheetData>
    <row r="1" spans="1:19">
      <c r="A1" s="715" t="s">
        <v>611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108"/>
      <c r="O1" s="108"/>
    </row>
    <row r="2" spans="1:19" s="112" customFormat="1" ht="28.5" customHeight="1">
      <c r="A2" s="716" t="s">
        <v>502</v>
      </c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111"/>
      <c r="O2" s="111"/>
      <c r="R2" s="113"/>
      <c r="S2" s="113"/>
    </row>
    <row r="3" spans="1:19" ht="26.25" customHeight="1" thickBot="1">
      <c r="M3" s="115" t="s">
        <v>322</v>
      </c>
      <c r="N3" s="116"/>
      <c r="O3" s="116"/>
    </row>
    <row r="4" spans="1:19" s="119" customFormat="1" ht="24.95" customHeight="1" thickBot="1">
      <c r="A4" s="117"/>
      <c r="B4" s="125" t="s">
        <v>94</v>
      </c>
      <c r="C4" s="125" t="s">
        <v>95</v>
      </c>
      <c r="D4" s="125" t="s">
        <v>96</v>
      </c>
      <c r="E4" s="125" t="s">
        <v>97</v>
      </c>
      <c r="F4" s="125" t="s">
        <v>98</v>
      </c>
      <c r="G4" s="125" t="s">
        <v>99</v>
      </c>
      <c r="H4" s="125" t="s">
        <v>100</v>
      </c>
      <c r="I4" s="125" t="s">
        <v>101</v>
      </c>
      <c r="J4" s="125" t="s">
        <v>102</v>
      </c>
      <c r="K4" s="125" t="s">
        <v>103</v>
      </c>
      <c r="L4" s="125" t="s">
        <v>104</v>
      </c>
      <c r="M4" s="125" t="s">
        <v>105</v>
      </c>
      <c r="N4" s="613" t="s">
        <v>90</v>
      </c>
      <c r="O4" s="118"/>
      <c r="Q4" s="120"/>
    </row>
    <row r="5" spans="1:19" s="119" customFormat="1" ht="45.75" customHeight="1">
      <c r="A5" s="117"/>
      <c r="B5" s="477" t="s">
        <v>383</v>
      </c>
      <c r="C5" s="477" t="s">
        <v>383</v>
      </c>
      <c r="D5" s="477" t="s">
        <v>383</v>
      </c>
      <c r="E5" s="477" t="s">
        <v>383</v>
      </c>
      <c r="F5" s="477" t="s">
        <v>383</v>
      </c>
      <c r="G5" s="477" t="s">
        <v>383</v>
      </c>
      <c r="H5" s="477" t="s">
        <v>383</v>
      </c>
      <c r="I5" s="477" t="s">
        <v>383</v>
      </c>
      <c r="J5" s="477" t="s">
        <v>383</v>
      </c>
      <c r="K5" s="477" t="s">
        <v>383</v>
      </c>
      <c r="L5" s="477" t="s">
        <v>383</v>
      </c>
      <c r="M5" s="477" t="s">
        <v>383</v>
      </c>
      <c r="N5" s="477" t="s">
        <v>383</v>
      </c>
      <c r="O5" s="118"/>
      <c r="Q5" s="120"/>
    </row>
    <row r="6" spans="1:19" ht="24.95" customHeight="1">
      <c r="A6" s="121" t="s">
        <v>117</v>
      </c>
      <c r="B6" s="395">
        <v>28292620</v>
      </c>
      <c r="C6" s="395">
        <v>28292620</v>
      </c>
      <c r="D6" s="395">
        <v>28292620</v>
      </c>
      <c r="E6" s="395">
        <v>28292620</v>
      </c>
      <c r="F6" s="395">
        <v>28292620</v>
      </c>
      <c r="G6" s="395">
        <v>28292620</v>
      </c>
      <c r="H6" s="395">
        <v>28292620</v>
      </c>
      <c r="I6" s="395">
        <v>28292620</v>
      </c>
      <c r="J6" s="395">
        <v>28292620</v>
      </c>
      <c r="K6" s="395">
        <v>28292620</v>
      </c>
      <c r="L6" s="395">
        <v>28292620</v>
      </c>
      <c r="M6" s="395">
        <f>28292620-3</f>
        <v>28292617</v>
      </c>
      <c r="N6" s="396">
        <f t="shared" ref="N6:N12" si="0">+M6+L6+K6+J6+I6+H6+G6+F6+E6+D6+C6+B6</f>
        <v>339511437</v>
      </c>
      <c r="O6" s="122">
        <f>+'5 b.sz.mell.'!E60</f>
        <v>339511437</v>
      </c>
      <c r="P6" s="394">
        <f>+O6-N6</f>
        <v>0</v>
      </c>
      <c r="Q6" s="110">
        <f>+O6/12</f>
        <v>28292619.75</v>
      </c>
      <c r="R6" s="109"/>
      <c r="S6" s="109"/>
    </row>
    <row r="7" spans="1:19" ht="24.95" customHeight="1">
      <c r="A7" s="121" t="s">
        <v>106</v>
      </c>
      <c r="B7" s="395">
        <v>120000</v>
      </c>
      <c r="C7" s="395">
        <v>320000</v>
      </c>
      <c r="D7" s="395">
        <v>4700000</v>
      </c>
      <c r="E7" s="395">
        <v>1950000</v>
      </c>
      <c r="F7" s="395">
        <v>19300000</v>
      </c>
      <c r="G7" s="395">
        <v>1850000</v>
      </c>
      <c r="H7" s="395">
        <v>850000</v>
      </c>
      <c r="I7" s="395">
        <v>1400000</v>
      </c>
      <c r="J7" s="395">
        <v>7500000</v>
      </c>
      <c r="K7" s="395">
        <v>2200000</v>
      </c>
      <c r="L7" s="395">
        <v>1900000</v>
      </c>
      <c r="M7" s="395">
        <v>17180000</v>
      </c>
      <c r="N7" s="396">
        <f t="shared" si="0"/>
        <v>59270000</v>
      </c>
      <c r="O7" s="122">
        <f>+'5 b.sz.mell.'!I60</f>
        <v>59270000</v>
      </c>
      <c r="P7" s="123">
        <f>+O7-N7</f>
        <v>0</v>
      </c>
      <c r="Q7" s="110"/>
      <c r="R7" s="109"/>
      <c r="S7" s="109"/>
    </row>
    <row r="8" spans="1:19" ht="24.95" customHeight="1">
      <c r="A8" s="121" t="s">
        <v>107</v>
      </c>
      <c r="B8" s="395">
        <f t="shared" ref="B8:J8" si="1">5570012-850000</f>
        <v>4720012</v>
      </c>
      <c r="C8" s="395">
        <f t="shared" si="1"/>
        <v>4720012</v>
      </c>
      <c r="D8" s="395">
        <f t="shared" si="1"/>
        <v>4720012</v>
      </c>
      <c r="E8" s="395">
        <f t="shared" si="1"/>
        <v>4720012</v>
      </c>
      <c r="F8" s="395">
        <f t="shared" si="1"/>
        <v>4720012</v>
      </c>
      <c r="G8" s="395">
        <f t="shared" si="1"/>
        <v>4720012</v>
      </c>
      <c r="H8" s="395">
        <f t="shared" si="1"/>
        <v>4720012</v>
      </c>
      <c r="I8" s="395">
        <f t="shared" si="1"/>
        <v>4720012</v>
      </c>
      <c r="J8" s="395">
        <f t="shared" si="1"/>
        <v>4720012</v>
      </c>
      <c r="K8" s="395">
        <f>5570012-850000-10285</f>
        <v>4709727</v>
      </c>
      <c r="L8" s="395">
        <f>5570012-850000</f>
        <v>4720012</v>
      </c>
      <c r="M8" s="395">
        <f>5570012+1-836836-618024</f>
        <v>4115153</v>
      </c>
      <c r="N8" s="396">
        <f t="shared" si="0"/>
        <v>56025000</v>
      </c>
      <c r="O8" s="122">
        <f>+'5 b.sz.mell.'!D60</f>
        <v>56025000</v>
      </c>
      <c r="P8" s="123">
        <f t="shared" ref="P8:P12" si="2">+O8-N8</f>
        <v>0</v>
      </c>
      <c r="Q8" s="110"/>
      <c r="R8" s="109"/>
      <c r="S8" s="109"/>
    </row>
    <row r="9" spans="1:19" ht="24.95" customHeight="1">
      <c r="A9" s="121" t="s">
        <v>108</v>
      </c>
      <c r="B9" s="395">
        <v>0</v>
      </c>
      <c r="C9" s="395">
        <v>0</v>
      </c>
      <c r="D9" s="395">
        <v>0</v>
      </c>
      <c r="E9" s="395">
        <f>+'5 b.sz.mell.'!F26</f>
        <v>77804327</v>
      </c>
      <c r="F9" s="395"/>
      <c r="G9" s="395">
        <f>+'5 b.sz.mell.'!F35</f>
        <v>31014114</v>
      </c>
      <c r="H9" s="395"/>
      <c r="I9" s="395"/>
      <c r="J9" s="395"/>
      <c r="K9" s="395">
        <v>0</v>
      </c>
      <c r="L9" s="395">
        <v>0</v>
      </c>
      <c r="M9" s="395">
        <v>0</v>
      </c>
      <c r="N9" s="396">
        <f t="shared" si="0"/>
        <v>108818441</v>
      </c>
      <c r="O9" s="122">
        <f>+'5 b.sz.mell.'!F60</f>
        <v>108818441</v>
      </c>
      <c r="P9" s="123">
        <f t="shared" si="2"/>
        <v>0</v>
      </c>
      <c r="Q9" s="110"/>
      <c r="R9" s="109"/>
      <c r="S9" s="109"/>
    </row>
    <row r="10" spans="1:19" ht="24.95" customHeight="1">
      <c r="A10" s="121" t="s">
        <v>351</v>
      </c>
      <c r="B10" s="395">
        <v>0</v>
      </c>
      <c r="C10" s="395">
        <v>0</v>
      </c>
      <c r="D10" s="395">
        <v>0</v>
      </c>
      <c r="E10" s="395">
        <v>0</v>
      </c>
      <c r="F10" s="395">
        <v>0</v>
      </c>
      <c r="G10" s="395">
        <v>0</v>
      </c>
      <c r="H10" s="395">
        <v>0</v>
      </c>
      <c r="I10" s="395">
        <v>0</v>
      </c>
      <c r="J10" s="395">
        <v>0</v>
      </c>
      <c r="K10" s="395">
        <v>0</v>
      </c>
      <c r="L10" s="395">
        <v>0</v>
      </c>
      <c r="M10" s="395">
        <v>0</v>
      </c>
      <c r="N10" s="396">
        <f t="shared" si="0"/>
        <v>0</v>
      </c>
      <c r="O10" s="122"/>
      <c r="P10" s="123">
        <f t="shared" si="2"/>
        <v>0</v>
      </c>
      <c r="Q10" s="110"/>
      <c r="R10" s="109"/>
      <c r="S10" s="109"/>
    </row>
    <row r="11" spans="1:19" ht="24.95" customHeight="1">
      <c r="A11" s="121" t="s">
        <v>314</v>
      </c>
      <c r="B11" s="395">
        <v>34750000</v>
      </c>
      <c r="C11" s="395">
        <v>34750000</v>
      </c>
      <c r="D11" s="395">
        <v>34750000</v>
      </c>
      <c r="E11" s="395">
        <v>34750000</v>
      </c>
      <c r="F11" s="395">
        <v>34750000</v>
      </c>
      <c r="G11" s="395">
        <v>34750000</v>
      </c>
      <c r="H11" s="395">
        <v>34750000</v>
      </c>
      <c r="I11" s="395">
        <v>34750000</v>
      </c>
      <c r="J11" s="395">
        <v>34750000</v>
      </c>
      <c r="K11" s="395">
        <v>34750000</v>
      </c>
      <c r="L11" s="395">
        <v>34750000</v>
      </c>
      <c r="M11" s="395">
        <f>34750000-51102</f>
        <v>34698898</v>
      </c>
      <c r="N11" s="396">
        <f t="shared" si="0"/>
        <v>416948898</v>
      </c>
      <c r="O11" s="122">
        <f>+'5 b.sz.mell.'!G60</f>
        <v>416948898</v>
      </c>
      <c r="P11" s="123">
        <f t="shared" si="2"/>
        <v>0</v>
      </c>
      <c r="Q11" s="110">
        <f>+O11/12</f>
        <v>34745741.5</v>
      </c>
      <c r="R11" s="109"/>
      <c r="S11" s="109"/>
    </row>
    <row r="12" spans="1:19" ht="24.95" customHeight="1">
      <c r="A12" s="124" t="s">
        <v>109</v>
      </c>
      <c r="B12" s="397">
        <f t="shared" ref="B12:M12" si="3">SUM(B6:B11)</f>
        <v>67882632</v>
      </c>
      <c r="C12" s="397">
        <f t="shared" si="3"/>
        <v>68082632</v>
      </c>
      <c r="D12" s="397">
        <f t="shared" si="3"/>
        <v>72462632</v>
      </c>
      <c r="E12" s="397">
        <f t="shared" si="3"/>
        <v>147516959</v>
      </c>
      <c r="F12" s="397">
        <f t="shared" si="3"/>
        <v>87062632</v>
      </c>
      <c r="G12" s="397">
        <f t="shared" si="3"/>
        <v>100626746</v>
      </c>
      <c r="H12" s="397">
        <f t="shared" si="3"/>
        <v>68612632</v>
      </c>
      <c r="I12" s="397">
        <f t="shared" si="3"/>
        <v>69162632</v>
      </c>
      <c r="J12" s="397">
        <f t="shared" si="3"/>
        <v>75262632</v>
      </c>
      <c r="K12" s="397">
        <f t="shared" si="3"/>
        <v>69952347</v>
      </c>
      <c r="L12" s="397">
        <f t="shared" si="3"/>
        <v>69662632</v>
      </c>
      <c r="M12" s="397">
        <f t="shared" si="3"/>
        <v>84286668</v>
      </c>
      <c r="N12" s="396">
        <f t="shared" si="0"/>
        <v>980573776</v>
      </c>
      <c r="O12" s="122">
        <f>+'5 b.sz.mell.'!J60-'5 b.sz.mell.'!I67</f>
        <v>1184535110</v>
      </c>
      <c r="P12" s="123">
        <f t="shared" si="2"/>
        <v>203961334</v>
      </c>
      <c r="Q12" s="110"/>
      <c r="R12" s="109"/>
      <c r="S12" s="109"/>
    </row>
    <row r="13" spans="1:19" ht="24.95" customHeight="1">
      <c r="A13" s="125"/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96"/>
      <c r="O13" s="122"/>
      <c r="Q13" s="110"/>
      <c r="R13" s="109"/>
      <c r="S13" s="109"/>
    </row>
    <row r="14" spans="1:19" s="126" customFormat="1" ht="24.95" customHeight="1">
      <c r="A14" s="121" t="s">
        <v>17</v>
      </c>
      <c r="B14" s="395">
        <v>17690000</v>
      </c>
      <c r="C14" s="395">
        <v>17690000</v>
      </c>
      <c r="D14" s="395">
        <v>17690000</v>
      </c>
      <c r="E14" s="395">
        <v>17690000</v>
      </c>
      <c r="F14" s="395">
        <v>17690000</v>
      </c>
      <c r="G14" s="395">
        <v>17690000</v>
      </c>
      <c r="H14" s="395">
        <v>17690000</v>
      </c>
      <c r="I14" s="395">
        <v>17690000</v>
      </c>
      <c r="J14" s="395">
        <v>17690000</v>
      </c>
      <c r="K14" s="395">
        <v>17690000</v>
      </c>
      <c r="L14" s="395">
        <v>17690000</v>
      </c>
      <c r="M14" s="395">
        <f>17690000+5909</f>
        <v>17695909</v>
      </c>
      <c r="N14" s="396">
        <f t="shared" ref="N14:N24" si="4">+M14+L14+K14+J14+I14+H14+G14+F14+E14+D14+C14+B14</f>
        <v>212285909</v>
      </c>
      <c r="O14" s="122">
        <f>+'5.a sz.mell.'!D63</f>
        <v>212285909</v>
      </c>
      <c r="P14" s="478">
        <f>+O14-N14</f>
        <v>0</v>
      </c>
      <c r="Q14" s="127">
        <f>+O14/12</f>
        <v>17690492.416666668</v>
      </c>
    </row>
    <row r="15" spans="1:19" s="126" customFormat="1" ht="24.95" customHeight="1">
      <c r="A15" s="121" t="s">
        <v>110</v>
      </c>
      <c r="B15" s="395">
        <v>3299900</v>
      </c>
      <c r="C15" s="395">
        <v>3299900</v>
      </c>
      <c r="D15" s="395">
        <v>3299900</v>
      </c>
      <c r="E15" s="395">
        <v>3299900</v>
      </c>
      <c r="F15" s="395">
        <v>3299900</v>
      </c>
      <c r="G15" s="395">
        <v>3299900</v>
      </c>
      <c r="H15" s="395">
        <v>3299900</v>
      </c>
      <c r="I15" s="395">
        <v>3299900</v>
      </c>
      <c r="J15" s="395">
        <v>3299900</v>
      </c>
      <c r="K15" s="395">
        <v>3299900</v>
      </c>
      <c r="L15" s="395">
        <v>3299900</v>
      </c>
      <c r="M15" s="395">
        <f>3299900+262</f>
        <v>3300162</v>
      </c>
      <c r="N15" s="396">
        <f t="shared" si="4"/>
        <v>39599062</v>
      </c>
      <c r="O15" s="122">
        <f>+'5.a sz.mell.'!E63</f>
        <v>39599062</v>
      </c>
      <c r="P15" s="478">
        <f t="shared" ref="P15:P19" si="5">+O15-N15</f>
        <v>0</v>
      </c>
      <c r="Q15" s="127">
        <f>+O15/12</f>
        <v>3299921.8333333335</v>
      </c>
    </row>
    <row r="16" spans="1:19" s="126" customFormat="1" ht="24.95" customHeight="1">
      <c r="A16" s="121" t="s">
        <v>111</v>
      </c>
      <c r="B16" s="395">
        <v>20290000</v>
      </c>
      <c r="C16" s="395">
        <v>20290000</v>
      </c>
      <c r="D16" s="395">
        <v>20290000</v>
      </c>
      <c r="E16" s="395">
        <v>20290000</v>
      </c>
      <c r="F16" s="395">
        <v>20290000</v>
      </c>
      <c r="G16" s="395">
        <v>20290000</v>
      </c>
      <c r="H16" s="395">
        <v>20290000</v>
      </c>
      <c r="I16" s="395">
        <v>20290000</v>
      </c>
      <c r="J16" s="395">
        <v>20290000</v>
      </c>
      <c r="K16" s="395">
        <v>20290000</v>
      </c>
      <c r="L16" s="395">
        <f>20290000+86668</f>
        <v>20376668</v>
      </c>
      <c r="M16" s="395">
        <v>20290000</v>
      </c>
      <c r="N16" s="396">
        <f t="shared" si="4"/>
        <v>243566668</v>
      </c>
      <c r="O16" s="122">
        <f>+'5.a sz.mell.'!F63</f>
        <v>243566668</v>
      </c>
      <c r="P16" s="478">
        <f t="shared" si="5"/>
        <v>0</v>
      </c>
      <c r="Q16" s="127">
        <f>+O16/12</f>
        <v>20297222.333333332</v>
      </c>
    </row>
    <row r="17" spans="1:19" s="126" customFormat="1" ht="24.95" customHeight="1">
      <c r="A17" s="121" t="s">
        <v>116</v>
      </c>
      <c r="B17" s="395">
        <v>397000</v>
      </c>
      <c r="C17" s="395">
        <v>397000</v>
      </c>
      <c r="D17" s="395">
        <v>397000</v>
      </c>
      <c r="E17" s="395">
        <v>397000</v>
      </c>
      <c r="F17" s="395">
        <v>397000</v>
      </c>
      <c r="G17" s="395">
        <v>397000</v>
      </c>
      <c r="H17" s="395">
        <v>397000</v>
      </c>
      <c r="I17" s="395">
        <v>397000</v>
      </c>
      <c r="J17" s="395">
        <v>397000</v>
      </c>
      <c r="K17" s="395">
        <v>397000</v>
      </c>
      <c r="L17" s="395">
        <v>397000</v>
      </c>
      <c r="M17" s="395">
        <f>397000+3000</f>
        <v>400000</v>
      </c>
      <c r="N17" s="396">
        <f t="shared" si="4"/>
        <v>4767000</v>
      </c>
      <c r="O17" s="122">
        <f>+'5.a sz.mell.'!H63</f>
        <v>4767000</v>
      </c>
      <c r="P17" s="478">
        <f>+O17-N17</f>
        <v>0</v>
      </c>
      <c r="Q17" s="127">
        <f>+O17/12</f>
        <v>397250</v>
      </c>
    </row>
    <row r="18" spans="1:19" s="126" customFormat="1" ht="24.95" customHeight="1">
      <c r="A18" s="121" t="s">
        <v>112</v>
      </c>
      <c r="B18" s="395">
        <v>7047000</v>
      </c>
      <c r="C18" s="395">
        <v>7047000</v>
      </c>
      <c r="D18" s="395">
        <v>7047000</v>
      </c>
      <c r="E18" s="395">
        <v>7047000</v>
      </c>
      <c r="F18" s="395">
        <v>7047000</v>
      </c>
      <c r="G18" s="395">
        <v>7047000</v>
      </c>
      <c r="H18" s="395">
        <v>7047000</v>
      </c>
      <c r="I18" s="395">
        <v>7047000</v>
      </c>
      <c r="J18" s="395">
        <v>7047000</v>
      </c>
      <c r="K18" s="395">
        <v>7047000</v>
      </c>
      <c r="L18" s="395">
        <v>7047000</v>
      </c>
      <c r="M18" s="395">
        <f>7047000+3133</f>
        <v>7050133</v>
      </c>
      <c r="N18" s="396">
        <f t="shared" si="4"/>
        <v>84567133</v>
      </c>
      <c r="O18" s="122">
        <f>+'5.a sz.mell.'!G63</f>
        <v>84567133</v>
      </c>
      <c r="P18" s="478">
        <f t="shared" si="5"/>
        <v>0</v>
      </c>
      <c r="Q18" s="127">
        <f>+O18/12</f>
        <v>7047261.083333333</v>
      </c>
    </row>
    <row r="19" spans="1:19" s="126" customFormat="1" ht="24.95" customHeight="1">
      <c r="A19" s="121" t="s">
        <v>352</v>
      </c>
      <c r="B19" s="395">
        <v>10420711</v>
      </c>
      <c r="C19" s="398">
        <v>0</v>
      </c>
      <c r="D19" s="398">
        <v>0</v>
      </c>
      <c r="E19" s="398">
        <v>0</v>
      </c>
      <c r="F19" s="398">
        <v>0</v>
      </c>
      <c r="G19" s="398">
        <v>0</v>
      </c>
      <c r="H19" s="398">
        <v>0</v>
      </c>
      <c r="I19" s="398">
        <v>0</v>
      </c>
      <c r="J19" s="398">
        <v>0</v>
      </c>
      <c r="K19" s="398">
        <v>0</v>
      </c>
      <c r="L19" s="398">
        <v>0</v>
      </c>
      <c r="M19" s="398">
        <v>0</v>
      </c>
      <c r="N19" s="396">
        <f t="shared" si="4"/>
        <v>10420711</v>
      </c>
      <c r="O19" s="122">
        <f>+'5.a sz.mell.'!J63</f>
        <v>10420711</v>
      </c>
      <c r="P19" s="478">
        <f t="shared" si="5"/>
        <v>0</v>
      </c>
      <c r="Q19" s="127"/>
    </row>
    <row r="20" spans="1:19" s="126" customFormat="1" ht="24.95" customHeight="1">
      <c r="A20" s="121" t="s">
        <v>490</v>
      </c>
      <c r="B20" s="395">
        <f>893700+62489</f>
        <v>956189</v>
      </c>
      <c r="C20" s="398">
        <v>62489</v>
      </c>
      <c r="D20" s="398">
        <v>62489</v>
      </c>
      <c r="E20" s="398">
        <v>62489</v>
      </c>
      <c r="F20" s="398">
        <v>62489</v>
      </c>
      <c r="G20" s="398">
        <v>62489</v>
      </c>
      <c r="H20" s="398">
        <v>62489</v>
      </c>
      <c r="I20" s="398">
        <v>62489</v>
      </c>
      <c r="J20" s="398">
        <v>62489</v>
      </c>
      <c r="K20" s="398">
        <v>62489</v>
      </c>
      <c r="L20" s="398">
        <v>62489</v>
      </c>
      <c r="M20" s="398">
        <v>62489</v>
      </c>
      <c r="N20" s="396">
        <f t="shared" si="4"/>
        <v>1643568</v>
      </c>
      <c r="O20" s="122">
        <f>+'5.a sz.mell.'!K31</f>
        <v>1643568</v>
      </c>
      <c r="P20" s="478">
        <f>+O20-N20</f>
        <v>0</v>
      </c>
      <c r="Q20" s="127">
        <f>+P20/11</f>
        <v>0</v>
      </c>
    </row>
    <row r="21" spans="1:19" ht="24.95" customHeight="1">
      <c r="A21" s="121" t="s">
        <v>113</v>
      </c>
      <c r="B21" s="398">
        <v>0</v>
      </c>
      <c r="C21" s="398">
        <v>0</v>
      </c>
      <c r="D21" s="395">
        <v>0</v>
      </c>
      <c r="E21" s="395">
        <v>0</v>
      </c>
      <c r="F21" s="395">
        <v>21430395</v>
      </c>
      <c r="G21" s="395">
        <v>21430395</v>
      </c>
      <c r="H21" s="395">
        <v>21430395</v>
      </c>
      <c r="I21" s="395">
        <v>0</v>
      </c>
      <c r="J21" s="395">
        <v>21430395</v>
      </c>
      <c r="K21" s="395">
        <v>0</v>
      </c>
      <c r="L21" s="395">
        <v>0</v>
      </c>
      <c r="M21" s="395">
        <v>21430393</v>
      </c>
      <c r="N21" s="396">
        <f t="shared" si="4"/>
        <v>107151973</v>
      </c>
      <c r="O21" s="122">
        <f>+'5.a sz.mell.'!I63</f>
        <v>107151973</v>
      </c>
      <c r="P21" s="478"/>
      <c r="Q21" s="110"/>
      <c r="R21" s="109"/>
      <c r="S21" s="109"/>
    </row>
    <row r="22" spans="1:19" ht="24.95" customHeight="1">
      <c r="A22" s="121" t="s">
        <v>60</v>
      </c>
      <c r="B22" s="398">
        <v>23000000</v>
      </c>
      <c r="C22" s="398">
        <v>23000000</v>
      </c>
      <c r="D22" s="398">
        <v>23000000</v>
      </c>
      <c r="E22" s="398">
        <v>23000000</v>
      </c>
      <c r="F22" s="398">
        <f>23000000+571752</f>
        <v>23571752</v>
      </c>
      <c r="G22" s="398">
        <v>23000000</v>
      </c>
      <c r="H22" s="398">
        <v>23000000</v>
      </c>
      <c r="I22" s="398">
        <v>23000000</v>
      </c>
      <c r="J22" s="398">
        <v>23000000</v>
      </c>
      <c r="K22" s="398">
        <v>23000000</v>
      </c>
      <c r="L22" s="398">
        <v>23000000</v>
      </c>
      <c r="M22" s="398">
        <v>23000000</v>
      </c>
      <c r="N22" s="396">
        <f t="shared" si="4"/>
        <v>276571752</v>
      </c>
      <c r="O22" s="122">
        <f>+'5.a sz.mell.'!L63+'5.a sz.mell.'!M63</f>
        <v>276571752</v>
      </c>
      <c r="P22" s="478"/>
      <c r="Q22" s="110"/>
      <c r="R22" s="109"/>
      <c r="S22" s="109"/>
    </row>
    <row r="23" spans="1:19" ht="24.95" customHeight="1">
      <c r="A23" s="124" t="s">
        <v>114</v>
      </c>
      <c r="B23" s="397">
        <f t="shared" ref="B23:M23" si="6">SUM(B14:B22)</f>
        <v>83100800</v>
      </c>
      <c r="C23" s="397">
        <f t="shared" si="6"/>
        <v>71786389</v>
      </c>
      <c r="D23" s="397">
        <f t="shared" si="6"/>
        <v>71786389</v>
      </c>
      <c r="E23" s="397">
        <f t="shared" si="6"/>
        <v>71786389</v>
      </c>
      <c r="F23" s="397">
        <f t="shared" si="6"/>
        <v>93788536</v>
      </c>
      <c r="G23" s="397">
        <f t="shared" si="6"/>
        <v>93216784</v>
      </c>
      <c r="H23" s="397">
        <f t="shared" si="6"/>
        <v>93216784</v>
      </c>
      <c r="I23" s="397">
        <f t="shared" si="6"/>
        <v>71786389</v>
      </c>
      <c r="J23" s="397">
        <f t="shared" si="6"/>
        <v>93216784</v>
      </c>
      <c r="K23" s="397">
        <f t="shared" si="6"/>
        <v>71786389</v>
      </c>
      <c r="L23" s="397">
        <f t="shared" si="6"/>
        <v>71873057</v>
      </c>
      <c r="M23" s="397">
        <f t="shared" si="6"/>
        <v>93229086</v>
      </c>
      <c r="N23" s="396">
        <f t="shared" si="4"/>
        <v>980573776</v>
      </c>
      <c r="O23" s="122">
        <f>+'5.a sz.mell.'!N63</f>
        <v>980573776</v>
      </c>
      <c r="P23" s="478"/>
      <c r="Q23" s="110"/>
      <c r="R23" s="109"/>
      <c r="S23" s="109"/>
    </row>
    <row r="24" spans="1:19" ht="24.95" customHeight="1">
      <c r="A24" s="124" t="s">
        <v>115</v>
      </c>
      <c r="B24" s="397">
        <f t="shared" ref="B24:M24" si="7">B12-B23</f>
        <v>-15218168</v>
      </c>
      <c r="C24" s="397">
        <f t="shared" si="7"/>
        <v>-3703757</v>
      </c>
      <c r="D24" s="397">
        <f t="shared" si="7"/>
        <v>676243</v>
      </c>
      <c r="E24" s="397">
        <f t="shared" si="7"/>
        <v>75730570</v>
      </c>
      <c r="F24" s="397">
        <f t="shared" si="7"/>
        <v>-6725904</v>
      </c>
      <c r="G24" s="397">
        <f t="shared" si="7"/>
        <v>7409962</v>
      </c>
      <c r="H24" s="397">
        <f t="shared" si="7"/>
        <v>-24604152</v>
      </c>
      <c r="I24" s="397">
        <f t="shared" si="7"/>
        <v>-2623757</v>
      </c>
      <c r="J24" s="397">
        <f t="shared" si="7"/>
        <v>-17954152</v>
      </c>
      <c r="K24" s="397">
        <f t="shared" si="7"/>
        <v>-1834042</v>
      </c>
      <c r="L24" s="397">
        <f t="shared" si="7"/>
        <v>-2210425</v>
      </c>
      <c r="M24" s="397">
        <f t="shared" si="7"/>
        <v>-8942418</v>
      </c>
      <c r="N24" s="396">
        <f t="shared" si="4"/>
        <v>0</v>
      </c>
      <c r="O24" s="122"/>
      <c r="Q24" s="110"/>
      <c r="R24" s="109"/>
      <c r="S24" s="109"/>
    </row>
  </sheetData>
  <mergeCells count="2">
    <mergeCell ref="A1:M1"/>
    <mergeCell ref="A2:M2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6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28"/>
  <sheetViews>
    <sheetView zoomScaleNormal="100" workbookViewId="0">
      <selection activeCell="H5" sqref="H5"/>
    </sheetView>
  </sheetViews>
  <sheetFormatPr defaultColWidth="8.85546875" defaultRowHeight="15"/>
  <cols>
    <col min="1" max="1" width="8.85546875" style="37"/>
    <col min="2" max="2" width="8.85546875" style="39" customWidth="1"/>
    <col min="3" max="3" width="45.5703125" style="106" customWidth="1"/>
    <col min="4" max="4" width="16.28515625" style="133" customWidth="1"/>
    <col min="5" max="5" width="21.5703125" style="39" customWidth="1"/>
    <col min="6" max="6" width="16.85546875" style="39" customWidth="1"/>
    <col min="7" max="7" width="10.140625" style="39" bestFit="1" customWidth="1"/>
    <col min="8" max="8" width="8.85546875" style="39"/>
    <col min="9" max="16384" width="8.85546875" style="37"/>
  </cols>
  <sheetData>
    <row r="1" spans="1:8" ht="15.75">
      <c r="A1" s="711" t="s">
        <v>612</v>
      </c>
      <c r="B1" s="711"/>
      <c r="C1" s="711"/>
      <c r="D1" s="711"/>
      <c r="E1" s="711"/>
      <c r="F1" s="455"/>
    </row>
    <row r="2" spans="1:8" ht="15.75">
      <c r="C2" s="132"/>
    </row>
    <row r="3" spans="1:8" ht="42" customHeight="1">
      <c r="A3" s="690" t="s">
        <v>503</v>
      </c>
      <c r="B3" s="690"/>
      <c r="C3" s="690"/>
      <c r="D3" s="690"/>
      <c r="E3" s="690"/>
      <c r="F3" s="311"/>
    </row>
    <row r="4" spans="1:8" ht="24.75" customHeight="1"/>
    <row r="5" spans="1:8" ht="25.5" customHeight="1">
      <c r="B5" s="717" t="s">
        <v>118</v>
      </c>
      <c r="C5" s="717"/>
      <c r="D5" s="717"/>
      <c r="E5" s="717"/>
      <c r="F5" s="717"/>
    </row>
    <row r="6" spans="1:8" ht="17.25" customHeight="1">
      <c r="C6" s="134"/>
      <c r="D6" s="287" t="s">
        <v>322</v>
      </c>
    </row>
    <row r="7" spans="1:8" ht="17.25" customHeight="1">
      <c r="C7" s="82" t="s">
        <v>119</v>
      </c>
      <c r="D7" s="83" t="s">
        <v>383</v>
      </c>
      <c r="H7" s="37"/>
    </row>
    <row r="8" spans="1:8" ht="17.25" customHeight="1">
      <c r="C8" s="81" t="s">
        <v>120</v>
      </c>
      <c r="D8" s="369">
        <v>110000</v>
      </c>
      <c r="H8" s="37"/>
    </row>
    <row r="9" spans="1:8" ht="17.25" customHeight="1">
      <c r="C9" s="81" t="s">
        <v>584</v>
      </c>
      <c r="D9" s="369">
        <v>150000</v>
      </c>
      <c r="H9" s="37"/>
    </row>
    <row r="10" spans="1:8" ht="17.25" customHeight="1">
      <c r="C10" s="81" t="s">
        <v>585</v>
      </c>
      <c r="D10" s="369">
        <v>10000</v>
      </c>
      <c r="H10" s="37"/>
    </row>
    <row r="11" spans="1:8" ht="17.25" customHeight="1">
      <c r="C11" s="81" t="s">
        <v>121</v>
      </c>
      <c r="D11" s="369">
        <v>140000</v>
      </c>
      <c r="H11" s="37"/>
    </row>
    <row r="12" spans="1:8" ht="17.25" customHeight="1">
      <c r="C12" s="81" t="s">
        <v>122</v>
      </c>
      <c r="D12" s="369">
        <v>200000</v>
      </c>
      <c r="H12" s="37"/>
    </row>
    <row r="13" spans="1:8" ht="17.25" customHeight="1">
      <c r="C13" s="81" t="s">
        <v>315</v>
      </c>
      <c r="D13" s="369">
        <v>2400000</v>
      </c>
      <c r="H13" s="37"/>
    </row>
    <row r="14" spans="1:8" ht="17.25" customHeight="1">
      <c r="C14" s="81" t="s">
        <v>586</v>
      </c>
      <c r="D14" s="369">
        <v>1500000</v>
      </c>
      <c r="H14" s="37"/>
    </row>
    <row r="15" spans="1:8" ht="17.25" customHeight="1">
      <c r="C15" s="81" t="s">
        <v>587</v>
      </c>
      <c r="D15" s="369">
        <v>20000</v>
      </c>
      <c r="H15" s="37"/>
    </row>
    <row r="16" spans="1:8" ht="17.25" customHeight="1">
      <c r="C16" s="81" t="s">
        <v>316</v>
      </c>
      <c r="D16" s="369">
        <v>79255883</v>
      </c>
      <c r="H16" s="37"/>
    </row>
    <row r="17" spans="3:8" ht="17.25" customHeight="1">
      <c r="C17" s="81" t="s">
        <v>344</v>
      </c>
      <c r="D17" s="369">
        <v>200000</v>
      </c>
      <c r="H17" s="37"/>
    </row>
    <row r="18" spans="3:8" ht="17.25" customHeight="1">
      <c r="C18" s="81" t="s">
        <v>345</v>
      </c>
      <c r="D18" s="369">
        <v>61250</v>
      </c>
      <c r="H18" s="37"/>
    </row>
    <row r="19" spans="3:8" ht="17.25" customHeight="1">
      <c r="C19" s="81" t="s">
        <v>346</v>
      </c>
      <c r="D19" s="369">
        <v>20000</v>
      </c>
      <c r="H19" s="37"/>
    </row>
    <row r="20" spans="3:8" ht="17.25" customHeight="1">
      <c r="C20" s="275" t="s">
        <v>347</v>
      </c>
      <c r="D20" s="369">
        <v>500000</v>
      </c>
      <c r="H20" s="37"/>
    </row>
    <row r="21" spans="3:8" ht="17.25" customHeight="1">
      <c r="C21" s="135" t="s">
        <v>58</v>
      </c>
      <c r="D21" s="276">
        <f>SUM(D8:D20)</f>
        <v>84567133</v>
      </c>
      <c r="F21" s="44">
        <f>+'2.sz.mell.'!C79+'2.sz.mell.'!C80</f>
        <v>84567133</v>
      </c>
      <c r="H21" s="37"/>
    </row>
    <row r="22" spans="3:8" ht="30" customHeight="1">
      <c r="C22" s="136"/>
      <c r="D22" s="277"/>
      <c r="G22" s="44">
        <f>+D21-F21</f>
        <v>0</v>
      </c>
    </row>
    <row r="23" spans="3:8" ht="25.5" customHeight="1">
      <c r="C23" s="137" t="s">
        <v>123</v>
      </c>
      <c r="D23" s="278">
        <v>0</v>
      </c>
      <c r="H23" s="37"/>
    </row>
    <row r="24" spans="3:8" ht="24.75" customHeight="1">
      <c r="C24" s="135" t="s">
        <v>58</v>
      </c>
      <c r="D24" s="276">
        <v>0</v>
      </c>
      <c r="H24" s="37"/>
    </row>
    <row r="25" spans="3:8" ht="18" customHeight="1">
      <c r="C25" s="138"/>
      <c r="D25" s="39"/>
      <c r="H25" s="37"/>
    </row>
    <row r="26" spans="3:8" ht="18" customHeight="1">
      <c r="C26" s="139" t="s">
        <v>124</v>
      </c>
      <c r="D26" s="276">
        <f>SUM(D21,D24)</f>
        <v>84567133</v>
      </c>
      <c r="H26" s="37"/>
    </row>
    <row r="27" spans="3:8" ht="18" customHeight="1"/>
    <row r="28" spans="3:8">
      <c r="E28" s="44"/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9"/>
  <sheetViews>
    <sheetView topLeftCell="A19" zoomScaleNormal="100" zoomScaleSheetLayoutView="100" workbookViewId="0">
      <selection activeCell="H4" sqref="H4"/>
    </sheetView>
  </sheetViews>
  <sheetFormatPr defaultRowHeight="15.75"/>
  <cols>
    <col min="1" max="1" width="11.140625" style="87" customWidth="1"/>
    <col min="2" max="2" width="64.140625" style="145" customWidth="1"/>
    <col min="3" max="3" width="14.42578125" style="140" customWidth="1"/>
    <col min="4" max="4" width="11.140625" style="72" customWidth="1"/>
    <col min="5" max="7" width="9.140625" style="73"/>
    <col min="8" max="16384" width="9.140625" style="87"/>
  </cols>
  <sheetData>
    <row r="1" spans="1:7">
      <c r="A1" s="711" t="s">
        <v>613</v>
      </c>
      <c r="B1" s="711"/>
      <c r="C1" s="711"/>
      <c r="D1" s="711"/>
      <c r="F1" s="131"/>
    </row>
    <row r="2" spans="1:7">
      <c r="B2" s="70"/>
    </row>
    <row r="3" spans="1:7" s="142" customFormat="1" ht="33" customHeight="1">
      <c r="A3" s="690" t="s">
        <v>63</v>
      </c>
      <c r="B3" s="690"/>
      <c r="C3" s="690"/>
      <c r="D3" s="690"/>
      <c r="E3" s="141"/>
    </row>
    <row r="4" spans="1:7" s="142" customFormat="1" ht="42" customHeight="1">
      <c r="A4" s="690" t="s">
        <v>504</v>
      </c>
      <c r="B4" s="690"/>
      <c r="C4" s="690"/>
      <c r="D4" s="690"/>
      <c r="E4" s="141"/>
    </row>
    <row r="5" spans="1:7">
      <c r="B5" s="143"/>
      <c r="C5" s="144"/>
    </row>
    <row r="6" spans="1:7">
      <c r="C6" s="140" t="s">
        <v>322</v>
      </c>
    </row>
    <row r="7" spans="1:7" s="146" customFormat="1" ht="36" customHeight="1">
      <c r="B7" s="147" t="s">
        <v>125</v>
      </c>
      <c r="C7" s="148"/>
      <c r="D7" s="149"/>
      <c r="E7" s="149"/>
      <c r="F7" s="67"/>
      <c r="G7" s="67"/>
    </row>
    <row r="8" spans="1:7" s="86" customFormat="1" ht="19.5" customHeight="1">
      <c r="B8" s="150" t="s">
        <v>126</v>
      </c>
      <c r="C8" s="456">
        <f>+'2.sz.mell.'!C46</f>
        <v>14000000</v>
      </c>
      <c r="D8" s="89"/>
      <c r="E8" s="105"/>
      <c r="F8" s="105"/>
      <c r="G8" s="105"/>
    </row>
    <row r="9" spans="1:7" s="146" customFormat="1" ht="15" customHeight="1">
      <c r="B9" s="50" t="s">
        <v>127</v>
      </c>
      <c r="C9" s="443">
        <v>14000000</v>
      </c>
      <c r="D9" s="151"/>
      <c r="E9" s="67"/>
      <c r="F9" s="67"/>
      <c r="G9" s="67"/>
    </row>
    <row r="10" spans="1:7" s="146" customFormat="1" ht="15" customHeight="1">
      <c r="B10" s="152"/>
      <c r="C10" s="322"/>
      <c r="D10" s="151"/>
      <c r="E10" s="67"/>
      <c r="F10" s="67"/>
      <c r="G10" s="67"/>
    </row>
    <row r="11" spans="1:7" s="146" customFormat="1" ht="15" customHeight="1">
      <c r="B11" s="152" t="s">
        <v>128</v>
      </c>
      <c r="C11" s="442">
        <f>1259796+550930+1252547+1252547</f>
        <v>4315820</v>
      </c>
      <c r="D11" s="447"/>
      <c r="E11" s="67"/>
      <c r="F11" s="67"/>
      <c r="G11" s="67"/>
    </row>
    <row r="12" spans="1:7" s="146" customFormat="1" ht="15" customHeight="1">
      <c r="B12" s="50" t="s">
        <v>129</v>
      </c>
      <c r="C12" s="443">
        <f>SUM(C11)</f>
        <v>4315820</v>
      </c>
      <c r="D12" s="151"/>
      <c r="E12" s="67"/>
      <c r="F12" s="67"/>
      <c r="G12" s="67"/>
    </row>
    <row r="13" spans="1:7" s="146" customFormat="1" ht="15" customHeight="1">
      <c r="B13" s="153"/>
      <c r="C13" s="324"/>
      <c r="D13" s="151"/>
      <c r="E13" s="67"/>
      <c r="F13" s="67"/>
      <c r="G13" s="67"/>
    </row>
    <row r="14" spans="1:7" s="146" customFormat="1" ht="32.25" customHeight="1">
      <c r="B14" s="147" t="s">
        <v>130</v>
      </c>
      <c r="C14" s="148">
        <v>0</v>
      </c>
      <c r="D14" s="67"/>
      <c r="E14" s="67"/>
      <c r="F14" s="67"/>
      <c r="G14" s="67"/>
    </row>
    <row r="15" spans="1:7" s="146" customFormat="1" ht="19.5" customHeight="1">
      <c r="B15" s="152" t="s">
        <v>588</v>
      </c>
      <c r="C15" s="325"/>
      <c r="D15" s="67"/>
      <c r="E15" s="67"/>
      <c r="F15" s="67"/>
      <c r="G15" s="67"/>
    </row>
    <row r="16" spans="1:7" s="146" customFormat="1" ht="15" customHeight="1">
      <c r="B16" s="152"/>
      <c r="C16" s="322"/>
      <c r="D16" s="151"/>
      <c r="E16" s="67"/>
      <c r="F16" s="67"/>
      <c r="G16" s="67"/>
    </row>
    <row r="17" spans="2:7" s="155" customFormat="1" ht="34.5" customHeight="1">
      <c r="B17" s="147" t="s">
        <v>131</v>
      </c>
      <c r="C17" s="326"/>
      <c r="D17" s="154"/>
      <c r="E17" s="154"/>
      <c r="F17" s="149"/>
      <c r="G17" s="149"/>
    </row>
    <row r="18" spans="2:7" s="146" customFormat="1" ht="15" customHeight="1">
      <c r="B18" s="153" t="s">
        <v>248</v>
      </c>
      <c r="C18" s="442">
        <f>+'2.sz.mell.'!C37</f>
        <v>7700000</v>
      </c>
      <c r="D18" s="151"/>
      <c r="E18" s="67"/>
      <c r="F18" s="67"/>
      <c r="G18" s="67"/>
    </row>
    <row r="19" spans="2:7" s="158" customFormat="1" ht="15" customHeight="1">
      <c r="B19" s="152" t="s">
        <v>132</v>
      </c>
      <c r="C19" s="442">
        <v>0</v>
      </c>
      <c r="D19" s="156"/>
      <c r="E19" s="157"/>
      <c r="F19" s="157"/>
      <c r="G19" s="157"/>
    </row>
    <row r="20" spans="2:7" s="155" customFormat="1" ht="15" customHeight="1">
      <c r="B20" s="50" t="s">
        <v>127</v>
      </c>
      <c r="C20" s="443">
        <f>+C18</f>
        <v>7700000</v>
      </c>
      <c r="D20" s="143"/>
      <c r="E20" s="149"/>
      <c r="F20" s="149"/>
      <c r="G20" s="149"/>
    </row>
    <row r="21" spans="2:7" s="146" customFormat="1" ht="15" customHeight="1">
      <c r="B21" s="152"/>
      <c r="C21" s="323"/>
      <c r="D21" s="151"/>
      <c r="E21" s="67"/>
      <c r="F21" s="67"/>
      <c r="G21" s="67"/>
    </row>
    <row r="22" spans="2:7" s="146" customFormat="1" ht="15" customHeight="1">
      <c r="B22" s="50" t="s">
        <v>133</v>
      </c>
      <c r="C22" s="327"/>
      <c r="D22" s="151"/>
      <c r="E22" s="67"/>
      <c r="F22" s="67"/>
      <c r="G22" s="67"/>
    </row>
    <row r="23" spans="2:7" s="146" customFormat="1" ht="15" customHeight="1">
      <c r="B23" s="152" t="s">
        <v>134</v>
      </c>
      <c r="C23" s="442">
        <v>0</v>
      </c>
      <c r="D23" s="151"/>
      <c r="E23" s="67"/>
      <c r="F23" s="67"/>
      <c r="G23" s="67"/>
    </row>
    <row r="24" spans="2:7" s="146" customFormat="1" ht="15" customHeight="1">
      <c r="B24" s="152" t="s">
        <v>135</v>
      </c>
      <c r="C24" s="442">
        <v>0</v>
      </c>
      <c r="D24" s="151"/>
      <c r="E24" s="67"/>
      <c r="F24" s="67"/>
      <c r="G24" s="67"/>
    </row>
    <row r="25" spans="2:7" s="159" customFormat="1" ht="15" customHeight="1">
      <c r="B25" s="50" t="s">
        <v>127</v>
      </c>
      <c r="C25" s="443">
        <f>+'2.sz.mell.'!C41</f>
        <v>6000000</v>
      </c>
      <c r="D25" s="143"/>
      <c r="E25" s="154"/>
      <c r="F25" s="154"/>
      <c r="G25" s="154"/>
    </row>
    <row r="26" spans="2:7" s="146" customFormat="1" ht="15" customHeight="1">
      <c r="B26" s="50" t="s">
        <v>129</v>
      </c>
      <c r="C26" s="443">
        <v>0</v>
      </c>
      <c r="D26" s="151"/>
      <c r="E26" s="67"/>
      <c r="F26" s="67"/>
      <c r="G26" s="67"/>
    </row>
    <row r="27" spans="2:7" s="146" customFormat="1" ht="15" customHeight="1">
      <c r="B27" s="152"/>
      <c r="C27" s="323"/>
      <c r="D27" s="151"/>
      <c r="E27" s="67"/>
      <c r="F27" s="67"/>
      <c r="G27" s="67"/>
    </row>
    <row r="28" spans="2:7" s="146" customFormat="1" ht="36.75" customHeight="1">
      <c r="B28" s="147" t="s">
        <v>136</v>
      </c>
      <c r="C28" s="444"/>
      <c r="D28" s="67"/>
      <c r="E28" s="67"/>
      <c r="F28" s="67"/>
      <c r="G28" s="67"/>
    </row>
    <row r="29" spans="2:7" s="146" customFormat="1" ht="15" customHeight="1">
      <c r="B29" s="152" t="s">
        <v>137</v>
      </c>
      <c r="C29" s="445">
        <v>0</v>
      </c>
      <c r="D29" s="151"/>
      <c r="E29" s="67"/>
      <c r="F29" s="67"/>
      <c r="G29" s="67"/>
    </row>
    <row r="30" spans="2:7" s="146" customFormat="1" ht="15" customHeight="1">
      <c r="B30" s="152" t="s">
        <v>138</v>
      </c>
      <c r="C30" s="445">
        <v>0</v>
      </c>
      <c r="D30" s="151"/>
      <c r="E30" s="67"/>
      <c r="F30" s="67"/>
      <c r="G30" s="67"/>
    </row>
    <row r="31" spans="2:7" s="146" customFormat="1" ht="15" customHeight="1">
      <c r="B31" s="50" t="s">
        <v>129</v>
      </c>
      <c r="C31" s="148">
        <v>0</v>
      </c>
      <c r="D31" s="151"/>
      <c r="E31" s="67"/>
      <c r="F31" s="67"/>
      <c r="G31" s="67"/>
    </row>
    <row r="32" spans="2:7" s="146" customFormat="1" ht="15" customHeight="1">
      <c r="B32" s="152"/>
      <c r="C32" s="442"/>
      <c r="D32" s="151"/>
      <c r="E32" s="67"/>
      <c r="F32" s="67"/>
      <c r="G32" s="67"/>
    </row>
    <row r="33" spans="2:7" s="146" customFormat="1" ht="21" customHeight="1">
      <c r="B33" s="50" t="s">
        <v>139</v>
      </c>
      <c r="C33" s="446"/>
      <c r="D33" s="154"/>
      <c r="E33" s="154"/>
      <c r="F33" s="67"/>
      <c r="G33" s="67"/>
    </row>
    <row r="34" spans="2:7" s="146" customFormat="1" ht="15" customHeight="1">
      <c r="B34" s="152" t="s">
        <v>140</v>
      </c>
      <c r="C34" s="445">
        <v>0</v>
      </c>
      <c r="D34" s="151"/>
      <c r="E34" s="67"/>
      <c r="F34" s="67"/>
      <c r="G34" s="67"/>
    </row>
    <row r="35" spans="2:7" s="146" customFormat="1" ht="15" customHeight="1">
      <c r="B35" s="152" t="s">
        <v>132</v>
      </c>
      <c r="C35" s="445">
        <v>0</v>
      </c>
      <c r="D35" s="151"/>
      <c r="E35" s="67"/>
      <c r="F35" s="67"/>
      <c r="G35" s="67"/>
    </row>
    <row r="36" spans="2:7" s="159" customFormat="1" ht="15" customHeight="1">
      <c r="B36" s="50" t="s">
        <v>127</v>
      </c>
      <c r="C36" s="444">
        <v>0</v>
      </c>
      <c r="D36" s="143"/>
      <c r="E36" s="154"/>
      <c r="F36" s="154"/>
      <c r="G36" s="154"/>
    </row>
    <row r="37" spans="2:7" ht="15" customHeight="1">
      <c r="B37" s="147" t="s">
        <v>129</v>
      </c>
      <c r="C37" s="444">
        <v>0</v>
      </c>
    </row>
    <row r="38" spans="2:7" ht="15" customHeight="1">
      <c r="B38" s="160"/>
      <c r="C38" s="323"/>
    </row>
    <row r="39" spans="2:7" s="94" customFormat="1" ht="15" customHeight="1">
      <c r="B39" s="147" t="s">
        <v>141</v>
      </c>
      <c r="C39" s="457">
        <f>SUM(C12,C26,C31,C37)</f>
        <v>4315820</v>
      </c>
      <c r="D39" s="161"/>
      <c r="E39" s="85"/>
      <c r="F39" s="85"/>
      <c r="G39" s="85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9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3"/>
  <sheetViews>
    <sheetView zoomScaleNormal="100" workbookViewId="0">
      <selection activeCell="I20" sqref="I20"/>
    </sheetView>
  </sheetViews>
  <sheetFormatPr defaultColWidth="8.85546875" defaultRowHeight="12.75"/>
  <cols>
    <col min="1" max="3" width="8.85546875" style="37"/>
    <col min="4" max="4" width="66.5703125" style="37" bestFit="1" customWidth="1"/>
    <col min="5" max="5" width="13" style="162" customWidth="1"/>
    <col min="6" max="6" width="16.85546875" style="37" customWidth="1"/>
    <col min="7" max="16384" width="8.85546875" style="37"/>
  </cols>
  <sheetData>
    <row r="1" spans="1:8" ht="15.75">
      <c r="A1" s="711" t="s">
        <v>614</v>
      </c>
      <c r="B1" s="711"/>
      <c r="C1" s="711"/>
      <c r="D1" s="711"/>
      <c r="E1" s="711"/>
      <c r="F1" s="711"/>
      <c r="G1" s="711"/>
      <c r="H1" s="455"/>
    </row>
    <row r="3" spans="1:8" ht="48.75" customHeight="1">
      <c r="A3" s="719" t="s">
        <v>505</v>
      </c>
      <c r="B3" s="719"/>
      <c r="C3" s="719"/>
      <c r="D3" s="719"/>
      <c r="E3" s="719"/>
      <c r="F3" s="719"/>
      <c r="G3" s="719"/>
      <c r="H3" s="430"/>
    </row>
    <row r="4" spans="1:8" ht="18.75">
      <c r="D4" s="718" t="s">
        <v>38</v>
      </c>
      <c r="F4" s="417"/>
    </row>
    <row r="5" spans="1:8" ht="18.75">
      <c r="D5" s="718"/>
      <c r="F5" s="418" t="s">
        <v>322</v>
      </c>
    </row>
    <row r="6" spans="1:8" ht="18.75">
      <c r="D6" s="419" t="s">
        <v>142</v>
      </c>
      <c r="F6" s="420"/>
    </row>
    <row r="7" spans="1:8" ht="18.75">
      <c r="D7" s="421" t="s">
        <v>51</v>
      </c>
      <c r="F7" s="422">
        <v>0</v>
      </c>
    </row>
    <row r="8" spans="1:8" ht="18.75">
      <c r="D8" s="419" t="s">
        <v>143</v>
      </c>
      <c r="F8" s="423">
        <v>0</v>
      </c>
    </row>
    <row r="9" spans="1:8" ht="18.75">
      <c r="D9" s="419"/>
      <c r="F9" s="423"/>
    </row>
    <row r="10" spans="1:8" ht="18.75">
      <c r="D10" s="424" t="s">
        <v>39</v>
      </c>
      <c r="F10" s="425"/>
    </row>
    <row r="11" spans="1:8" ht="18.75">
      <c r="D11" s="419" t="s">
        <v>144</v>
      </c>
      <c r="F11" s="420"/>
    </row>
    <row r="12" spans="1:8" ht="18.75">
      <c r="D12" s="421" t="s">
        <v>238</v>
      </c>
      <c r="F12" s="420">
        <f>+'5.a sz.mell.'!H33</f>
        <v>567000</v>
      </c>
    </row>
    <row r="13" spans="1:8" ht="18.75">
      <c r="D13" s="421" t="s">
        <v>239</v>
      </c>
      <c r="F13" s="420">
        <f>+'5.a sz.mell.'!H34</f>
        <v>800000</v>
      </c>
    </row>
    <row r="14" spans="1:8" ht="18.75">
      <c r="D14" s="421" t="s">
        <v>50</v>
      </c>
      <c r="F14" s="420">
        <v>700000</v>
      </c>
    </row>
    <row r="15" spans="1:8" ht="18.75">
      <c r="D15" s="421" t="s">
        <v>348</v>
      </c>
      <c r="F15" s="420">
        <v>1700000</v>
      </c>
    </row>
    <row r="16" spans="1:8" ht="18.75">
      <c r="D16" s="419" t="s">
        <v>145</v>
      </c>
      <c r="F16" s="423">
        <f>SUM(F12:F15)</f>
        <v>3767000</v>
      </c>
    </row>
    <row r="17" spans="4:6" ht="18.75">
      <c r="D17" s="419"/>
      <c r="F17" s="423"/>
    </row>
    <row r="18" spans="4:6" ht="18.75">
      <c r="D18" s="419" t="s">
        <v>146</v>
      </c>
      <c r="F18" s="423">
        <f>SUM(F8,F16)</f>
        <v>3767000</v>
      </c>
    </row>
    <row r="19" spans="4:6" ht="18">
      <c r="D19" s="412"/>
      <c r="F19" s="426"/>
    </row>
    <row r="20" spans="4:6" ht="18.75">
      <c r="D20" s="427" t="s">
        <v>147</v>
      </c>
      <c r="F20" s="426"/>
    </row>
    <row r="21" spans="4:6" ht="18.75">
      <c r="D21" s="427" t="s">
        <v>148</v>
      </c>
      <c r="F21" s="428">
        <v>0</v>
      </c>
    </row>
    <row r="22" spans="4:6" ht="18.75">
      <c r="D22" s="429" t="s">
        <v>149</v>
      </c>
      <c r="F22" s="428">
        <f>+F12+F13</f>
        <v>1367000</v>
      </c>
    </row>
    <row r="23" spans="4:6" ht="18">
      <c r="D23" s="412"/>
      <c r="E23" s="426"/>
    </row>
    <row r="24" spans="4:6">
      <c r="D24" s="163"/>
    </row>
    <row r="25" spans="4:6">
      <c r="D25" s="84"/>
    </row>
    <row r="26" spans="4:6">
      <c r="D26" s="84"/>
    </row>
    <row r="27" spans="4:6">
      <c r="D27" s="84"/>
    </row>
    <row r="28" spans="4:6">
      <c r="D28" s="84"/>
    </row>
    <row r="29" spans="4:6">
      <c r="D29" s="84"/>
    </row>
    <row r="32" spans="4:6">
      <c r="D32" s="209"/>
      <c r="E32" s="210"/>
    </row>
    <row r="33" spans="4:5">
      <c r="D33" s="211"/>
      <c r="E33" s="212"/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0"/>
  <sheetViews>
    <sheetView view="pageBreakPreview" zoomScale="60" zoomScaleNormal="130" workbookViewId="0">
      <selection activeCell="I14" sqref="I14"/>
    </sheetView>
  </sheetViews>
  <sheetFormatPr defaultColWidth="8.85546875" defaultRowHeight="15"/>
  <cols>
    <col min="1" max="1" width="9" style="96" customWidth="1"/>
    <col min="2" max="2" width="67" style="187" customWidth="1"/>
    <col min="3" max="3" width="24.7109375" style="194" customWidth="1"/>
    <col min="4" max="4" width="15.5703125" style="37" bestFit="1" customWidth="1"/>
    <col min="5" max="5" width="12.85546875" style="37" customWidth="1"/>
    <col min="6" max="16384" width="8.85546875" style="37"/>
  </cols>
  <sheetData>
    <row r="1" spans="1:8" ht="23.25" customHeight="1">
      <c r="A1" s="631" t="s">
        <v>597</v>
      </c>
      <c r="B1" s="631"/>
      <c r="C1" s="631"/>
      <c r="D1" s="256"/>
      <c r="E1" s="256"/>
      <c r="F1" s="256"/>
      <c r="G1" s="186"/>
    </row>
    <row r="2" spans="1:8" ht="42" customHeight="1">
      <c r="A2" s="630" t="s">
        <v>506</v>
      </c>
      <c r="B2" s="630"/>
      <c r="C2" s="630"/>
      <c r="D2" s="188"/>
      <c r="E2" s="188"/>
      <c r="F2" s="188"/>
      <c r="G2" s="220"/>
      <c r="H2" s="188"/>
    </row>
    <row r="3" spans="1:8" ht="16.5" thickBot="1">
      <c r="B3" s="542" t="s">
        <v>322</v>
      </c>
      <c r="C3" s="543" t="s">
        <v>322</v>
      </c>
      <c r="D3" s="221"/>
    </row>
    <row r="4" spans="1:8" ht="33" customHeight="1">
      <c r="B4" s="308" t="s">
        <v>179</v>
      </c>
      <c r="C4" s="190" t="s">
        <v>508</v>
      </c>
    </row>
    <row r="5" spans="1:8">
      <c r="B5" s="218" t="s">
        <v>390</v>
      </c>
      <c r="C5" s="348">
        <v>70119800</v>
      </c>
      <c r="D5" s="632">
        <v>118733829</v>
      </c>
    </row>
    <row r="6" spans="1:8">
      <c r="B6" s="223" t="s">
        <v>392</v>
      </c>
      <c r="C6" s="342">
        <v>9024810</v>
      </c>
      <c r="D6" s="632"/>
    </row>
    <row r="7" spans="1:8">
      <c r="B7" s="223" t="s">
        <v>393</v>
      </c>
      <c r="C7" s="342">
        <v>6400000</v>
      </c>
      <c r="D7" s="632"/>
    </row>
    <row r="8" spans="1:8">
      <c r="B8" s="223" t="s">
        <v>394</v>
      </c>
      <c r="C8" s="342">
        <v>522123</v>
      </c>
      <c r="D8" s="632"/>
      <c r="E8" s="37" t="s">
        <v>525</v>
      </c>
    </row>
    <row r="9" spans="1:8">
      <c r="B9" s="223" t="s">
        <v>395</v>
      </c>
      <c r="C9" s="342">
        <v>5343580</v>
      </c>
      <c r="D9" s="632"/>
    </row>
    <row r="10" spans="1:8">
      <c r="B10" s="223" t="s">
        <v>396</v>
      </c>
      <c r="C10" s="342">
        <v>6615000</v>
      </c>
      <c r="D10" s="632"/>
    </row>
    <row r="11" spans="1:8">
      <c r="B11" s="223" t="s">
        <v>397</v>
      </c>
      <c r="C11" s="342">
        <v>19659616</v>
      </c>
      <c r="D11" s="632"/>
    </row>
    <row r="12" spans="1:8">
      <c r="B12" s="223" t="s">
        <v>398</v>
      </c>
      <c r="C12" s="342">
        <v>972400</v>
      </c>
      <c r="D12" s="632"/>
    </row>
    <row r="13" spans="1:8">
      <c r="B13" s="223" t="s">
        <v>391</v>
      </c>
      <c r="C13" s="342">
        <v>68553383</v>
      </c>
    </row>
    <row r="14" spans="1:8">
      <c r="B14" s="223" t="s">
        <v>400</v>
      </c>
      <c r="C14" s="342">
        <v>18536765</v>
      </c>
    </row>
    <row r="15" spans="1:8">
      <c r="B15" s="223" t="s">
        <v>401</v>
      </c>
      <c r="C15" s="342">
        <f>3400000+4705600+150000+5280000+1853000</f>
        <v>15388600</v>
      </c>
    </row>
    <row r="16" spans="1:8">
      <c r="B16" s="223" t="s">
        <v>402</v>
      </c>
      <c r="C16" s="342">
        <v>18506000</v>
      </c>
    </row>
    <row r="17" spans="2:4">
      <c r="B17" s="223" t="s">
        <v>403</v>
      </c>
      <c r="C17" s="342">
        <v>32507193</v>
      </c>
    </row>
    <row r="18" spans="2:4">
      <c r="B18" s="223" t="s">
        <v>404</v>
      </c>
      <c r="C18" s="342">
        <v>1072740</v>
      </c>
    </row>
    <row r="19" spans="2:4">
      <c r="B19" s="223" t="s">
        <v>526</v>
      </c>
      <c r="C19" s="342">
        <v>7482500</v>
      </c>
    </row>
    <row r="20" spans="2:4">
      <c r="B20" s="223" t="s">
        <v>527</v>
      </c>
      <c r="C20" s="342">
        <v>1140000</v>
      </c>
    </row>
    <row r="21" spans="2:4">
      <c r="B21" s="223" t="s">
        <v>405</v>
      </c>
      <c r="C21" s="342">
        <v>2964500</v>
      </c>
    </row>
    <row r="22" spans="2:4">
      <c r="B22" s="223" t="s">
        <v>399</v>
      </c>
      <c r="C22" s="342">
        <v>76500</v>
      </c>
      <c r="D22" s="557"/>
    </row>
    <row r="23" spans="2:4" ht="15.75" thickBot="1">
      <c r="B23" s="257" t="s">
        <v>447</v>
      </c>
      <c r="C23" s="431">
        <v>0</v>
      </c>
    </row>
    <row r="24" spans="2:4" ht="15.75" thickBot="1">
      <c r="B24" s="500" t="s">
        <v>449</v>
      </c>
      <c r="C24" s="501">
        <v>0</v>
      </c>
    </row>
    <row r="25" spans="2:4" ht="19.899999999999999" customHeight="1" thickBot="1">
      <c r="B25" s="309" t="s">
        <v>180</v>
      </c>
      <c r="C25" s="335">
        <f>SUM(C5:C24)</f>
        <v>284885510</v>
      </c>
      <c r="D25" s="162"/>
    </row>
    <row r="26" spans="2:4">
      <c r="B26" s="192" t="s">
        <v>458</v>
      </c>
      <c r="C26" s="336">
        <f>+'5 b.sz.mell.'!E24</f>
        <v>14981900</v>
      </c>
    </row>
    <row r="27" spans="2:4">
      <c r="B27" s="223" t="s">
        <v>459</v>
      </c>
      <c r="C27" s="334">
        <f>+'5 b.sz.mell.'!E12+'5 b.sz.mell.'!E11+'5 b.sz.mell.'!E10+'5 b.sz.mell.'!E13</f>
        <v>0</v>
      </c>
    </row>
    <row r="28" spans="2:4">
      <c r="B28" s="223" t="s">
        <v>460</v>
      </c>
      <c r="C28" s="334">
        <f>+'5 b.sz.mell.'!E27</f>
        <v>6245115</v>
      </c>
    </row>
    <row r="29" spans="2:4">
      <c r="B29" s="223" t="s">
        <v>466</v>
      </c>
      <c r="C29" s="334">
        <f>+'5 b.sz.mell.'!E39</f>
        <v>947353</v>
      </c>
    </row>
    <row r="30" spans="2:4">
      <c r="B30" s="222" t="s">
        <v>461</v>
      </c>
      <c r="C30" s="337">
        <f>+'5 b.sz.mell.'!E28</f>
        <v>1000000</v>
      </c>
    </row>
    <row r="31" spans="2:4">
      <c r="B31" s="222" t="s">
        <v>467</v>
      </c>
      <c r="C31" s="337">
        <f>+'5 b.sz.mell.'!E48</f>
        <v>2800000</v>
      </c>
    </row>
    <row r="32" spans="2:4">
      <c r="B32" s="222" t="s">
        <v>468</v>
      </c>
      <c r="C32" s="337">
        <f>+'5 b.sz.mell.'!E9</f>
        <v>0</v>
      </c>
    </row>
    <row r="33" spans="2:4">
      <c r="B33" s="222" t="s">
        <v>462</v>
      </c>
      <c r="C33" s="337">
        <f>+'5 b.sz.mell.'!E20</f>
        <v>0</v>
      </c>
    </row>
    <row r="34" spans="2:4">
      <c r="B34" s="222" t="s">
        <v>532</v>
      </c>
      <c r="C34" s="337">
        <f>+'5 b.sz.mell.'!E8</f>
        <v>10665000</v>
      </c>
    </row>
    <row r="35" spans="2:4" ht="15.75" thickBot="1">
      <c r="B35" s="222" t="s">
        <v>535</v>
      </c>
      <c r="C35" s="337">
        <f>+'5 b.sz.mell.'!E6</f>
        <v>17986559</v>
      </c>
    </row>
    <row r="36" spans="2:4" ht="19.899999999999999" customHeight="1" thickBot="1">
      <c r="B36" s="309" t="s">
        <v>406</v>
      </c>
      <c r="C36" s="335">
        <f>SUM(C26:C35)</f>
        <v>54625927</v>
      </c>
      <c r="D36" s="162">
        <f>+'5 b.sz.mell.'!E60-'5 b.sz.mell.'!E35</f>
        <v>54625927</v>
      </c>
    </row>
    <row r="37" spans="2:4">
      <c r="B37" s="223" t="s">
        <v>407</v>
      </c>
      <c r="C37" s="334">
        <v>7700000</v>
      </c>
      <c r="D37" s="499"/>
    </row>
    <row r="38" spans="2:4">
      <c r="B38" s="223" t="s">
        <v>408</v>
      </c>
      <c r="C38" s="334">
        <v>41500000</v>
      </c>
      <c r="D38" s="191"/>
    </row>
    <row r="39" spans="2:4">
      <c r="B39" s="223" t="s">
        <v>410</v>
      </c>
      <c r="C39" s="334">
        <v>100000</v>
      </c>
      <c r="D39" s="191"/>
    </row>
    <row r="40" spans="2:4">
      <c r="B40" s="223" t="s">
        <v>411</v>
      </c>
      <c r="C40" s="334">
        <v>500000</v>
      </c>
      <c r="D40" s="191"/>
    </row>
    <row r="41" spans="2:4">
      <c r="B41" s="223" t="s">
        <v>409</v>
      </c>
      <c r="C41" s="334">
        <v>6000000</v>
      </c>
      <c r="D41" s="191"/>
    </row>
    <row r="42" spans="2:4" ht="15.75" thickBot="1">
      <c r="B42" s="222" t="s">
        <v>412</v>
      </c>
      <c r="C42" s="337">
        <v>3470000</v>
      </c>
      <c r="D42" s="191"/>
    </row>
    <row r="43" spans="2:4" ht="19.899999999999999" customHeight="1" thickBot="1">
      <c r="B43" s="309" t="s">
        <v>181</v>
      </c>
      <c r="C43" s="335">
        <f>SUM(C37:C42)</f>
        <v>59270000</v>
      </c>
      <c r="D43" s="498">
        <f>+'5 b.sz.mell.'!I60</f>
        <v>59270000</v>
      </c>
    </row>
    <row r="44" spans="2:4">
      <c r="B44" s="223" t="s">
        <v>413</v>
      </c>
      <c r="C44" s="334">
        <v>2400000</v>
      </c>
      <c r="D44" s="191"/>
    </row>
    <row r="45" spans="2:4">
      <c r="B45" s="223" t="s">
        <v>416</v>
      </c>
      <c r="C45" s="334">
        <f>1600000+200000+700000+1100000+1800000+800000+5000+130000</f>
        <v>6335000</v>
      </c>
      <c r="D45" s="191"/>
    </row>
    <row r="46" spans="2:4">
      <c r="B46" s="223" t="s">
        <v>418</v>
      </c>
      <c r="C46" s="334">
        <v>14000000</v>
      </c>
      <c r="D46" s="191"/>
    </row>
    <row r="47" spans="2:4">
      <c r="B47" s="223" t="s">
        <v>422</v>
      </c>
      <c r="C47" s="334">
        <v>780000</v>
      </c>
      <c r="D47" s="191"/>
    </row>
    <row r="48" spans="2:4">
      <c r="B48" s="192" t="s">
        <v>417</v>
      </c>
      <c r="C48" s="336">
        <v>9300000</v>
      </c>
      <c r="D48" s="191"/>
    </row>
    <row r="49" spans="2:5">
      <c r="B49" s="192" t="s">
        <v>415</v>
      </c>
      <c r="C49" s="336">
        <v>6800000</v>
      </c>
      <c r="D49" s="191"/>
    </row>
    <row r="50" spans="2:5">
      <c r="B50" s="223" t="s">
        <v>419</v>
      </c>
      <c r="C50" s="334">
        <f>4500000+4150000</f>
        <v>8650000</v>
      </c>
      <c r="D50" s="191"/>
    </row>
    <row r="51" spans="2:5">
      <c r="B51" s="223" t="s">
        <v>420</v>
      </c>
      <c r="C51" s="334">
        <v>1300000</v>
      </c>
      <c r="D51" s="191"/>
    </row>
    <row r="52" spans="2:5">
      <c r="B52" s="223" t="s">
        <v>421</v>
      </c>
      <c r="C52" s="334">
        <v>0</v>
      </c>
      <c r="D52" s="191"/>
    </row>
    <row r="53" spans="2:5" ht="18.75" customHeight="1">
      <c r="B53" s="223" t="s">
        <v>414</v>
      </c>
      <c r="C53" s="334">
        <f>4600000+1000000+700000+20000</f>
        <v>6320000</v>
      </c>
      <c r="D53" s="191"/>
    </row>
    <row r="54" spans="2:5" ht="18.75" customHeight="1" thickBot="1">
      <c r="B54" s="516" t="s">
        <v>465</v>
      </c>
      <c r="C54" s="517">
        <v>0</v>
      </c>
      <c r="D54" s="191"/>
    </row>
    <row r="55" spans="2:5" ht="19.899999999999999" customHeight="1" thickBot="1">
      <c r="B55" s="309" t="s">
        <v>182</v>
      </c>
      <c r="C55" s="335">
        <f>SUM(C44:C54)</f>
        <v>55885000</v>
      </c>
      <c r="D55" s="499">
        <f>+'5 b.sz.mell.'!D60</f>
        <v>56025000</v>
      </c>
      <c r="E55" s="162">
        <f>+D55-D57</f>
        <v>0</v>
      </c>
    </row>
    <row r="56" spans="2:5" ht="19.899999999999999" customHeight="1" thickBot="1">
      <c r="B56" s="290" t="s">
        <v>424</v>
      </c>
      <c r="C56" s="338">
        <v>140000</v>
      </c>
      <c r="D56" s="193"/>
    </row>
    <row r="57" spans="2:5" ht="19.899999999999999" customHeight="1" thickBot="1">
      <c r="B57" s="310" t="s">
        <v>249</v>
      </c>
      <c r="C57" s="335">
        <f>SUM(C56)</f>
        <v>140000</v>
      </c>
      <c r="D57" s="499">
        <f>+C55+C57</f>
        <v>56025000</v>
      </c>
    </row>
    <row r="58" spans="2:5" ht="19.899999999999999" customHeight="1">
      <c r="B58" s="291" t="s">
        <v>533</v>
      </c>
      <c r="C58" s="339">
        <v>8945081</v>
      </c>
      <c r="D58" s="193"/>
    </row>
    <row r="59" spans="2:5" ht="19.899999999999999" customHeight="1">
      <c r="B59" s="340" t="s">
        <v>463</v>
      </c>
      <c r="C59" s="341">
        <f>+'5 b.sz.mell.'!F26</f>
        <v>77804327</v>
      </c>
      <c r="D59" s="193"/>
    </row>
    <row r="60" spans="2:5" ht="19.899999999999999" customHeight="1">
      <c r="B60" s="292" t="s">
        <v>464</v>
      </c>
      <c r="C60" s="342">
        <v>13223939</v>
      </c>
      <c r="D60" s="193"/>
    </row>
    <row r="61" spans="2:5" ht="19.899999999999999" customHeight="1" thickBot="1">
      <c r="B61" s="292" t="s">
        <v>534</v>
      </c>
      <c r="C61" s="342">
        <v>8845094</v>
      </c>
      <c r="D61" s="193"/>
    </row>
    <row r="62" spans="2:5" ht="19.899999999999999" customHeight="1">
      <c r="B62" s="511" t="s">
        <v>448</v>
      </c>
      <c r="C62" s="512">
        <f>SUM(C58:C61)</f>
        <v>108818441</v>
      </c>
      <c r="D62" s="499">
        <f>+'5 b.sz.mell.'!F60</f>
        <v>108818441</v>
      </c>
      <c r="E62" s="162">
        <f>+C62-D62</f>
        <v>0</v>
      </c>
    </row>
    <row r="63" spans="2:5">
      <c r="B63" s="292" t="s">
        <v>423</v>
      </c>
      <c r="C63" s="342">
        <f>+'5 b.sz.mell.'!G59+'5 b.sz.mell.'!G49+'5 b.sz.mell.'!G45+'5 b.sz.mell.'!G42+'5 b.sz.mell.'!G37</f>
        <v>416948898</v>
      </c>
      <c r="D63" s="499">
        <f>+'5 b.sz.mell.'!G60</f>
        <v>416948898</v>
      </c>
    </row>
    <row r="64" spans="2:5" ht="19.899999999999999" customHeight="1" thickBot="1">
      <c r="B64" s="195" t="s">
        <v>183</v>
      </c>
      <c r="C64" s="513">
        <f>SUM(C63)</f>
        <v>416948898</v>
      </c>
      <c r="D64" s="191"/>
    </row>
    <row r="65" spans="1:8" ht="27" customHeight="1" thickBot="1">
      <c r="B65" s="195" t="s">
        <v>184</v>
      </c>
      <c r="C65" s="564">
        <f>SUM(C25,C36,C43,C55,C57,C62,C64)</f>
        <v>980573776</v>
      </c>
      <c r="D65" s="499">
        <f>+'5 b.sz.mell.'!J60-'5 b.sz.mell.'!H60</f>
        <v>980573776</v>
      </c>
    </row>
    <row r="66" spans="1:8">
      <c r="B66" s="196"/>
      <c r="C66" s="470">
        <f>+D65-C65</f>
        <v>0</v>
      </c>
      <c r="D66" s="191"/>
    </row>
    <row r="67" spans="1:8">
      <c r="B67" s="197"/>
      <c r="C67" s="448" t="s">
        <v>377</v>
      </c>
      <c r="D67" s="198"/>
    </row>
    <row r="68" spans="1:8" ht="36.6" customHeight="1">
      <c r="B68" s="540" t="s">
        <v>507</v>
      </c>
      <c r="D68" s="220"/>
      <c r="E68" s="220"/>
      <c r="F68" s="220"/>
      <c r="G68" s="220"/>
      <c r="H68" s="188"/>
    </row>
    <row r="69" spans="1:8" ht="12.75" customHeight="1">
      <c r="A69" s="189"/>
      <c r="B69" s="84"/>
      <c r="D69" s="84"/>
    </row>
    <row r="70" spans="1:8" ht="21.75" customHeight="1" thickBot="1">
      <c r="B70" s="541" t="s">
        <v>322</v>
      </c>
      <c r="D70" s="221"/>
    </row>
    <row r="71" spans="1:8" ht="32.25" customHeight="1">
      <c r="B71" s="308" t="s">
        <v>185</v>
      </c>
      <c r="C71" s="190" t="s">
        <v>508</v>
      </c>
      <c r="D71" s="199"/>
    </row>
    <row r="72" spans="1:8">
      <c r="B72" s="218" t="s">
        <v>425</v>
      </c>
      <c r="C72" s="343">
        <f>+'5.a sz.mell.'!D63</f>
        <v>212285909</v>
      </c>
      <c r="D72" s="191"/>
    </row>
    <row r="73" spans="1:8">
      <c r="B73" s="218" t="s">
        <v>186</v>
      </c>
      <c r="C73" s="343">
        <f>+'5.a sz.mell.'!E63</f>
        <v>39599062</v>
      </c>
      <c r="D73" s="200"/>
    </row>
    <row r="74" spans="1:8" ht="25.5">
      <c r="B74" s="471" t="s">
        <v>469</v>
      </c>
      <c r="C74" s="343">
        <f>+'5.a sz.mell.'!F63</f>
        <v>243566668</v>
      </c>
      <c r="D74" s="201"/>
    </row>
    <row r="75" spans="1:8">
      <c r="B75" s="218" t="s">
        <v>426</v>
      </c>
      <c r="C75" s="343">
        <f>+'5.a sz.mell.'!H63</f>
        <v>4767000</v>
      </c>
      <c r="D75" s="191"/>
      <c r="E75" s="162"/>
    </row>
    <row r="76" spans="1:8">
      <c r="B76" s="218" t="s">
        <v>472</v>
      </c>
      <c r="C76" s="343">
        <v>0</v>
      </c>
      <c r="D76" s="191"/>
      <c r="E76" s="162"/>
    </row>
    <row r="77" spans="1:8">
      <c r="B77" s="218" t="s">
        <v>430</v>
      </c>
      <c r="C77" s="343">
        <f>+'5.a sz.mell.'!J63</f>
        <v>10420711</v>
      </c>
      <c r="D77" s="191"/>
    </row>
    <row r="78" spans="1:8">
      <c r="B78" s="218" t="s">
        <v>457</v>
      </c>
      <c r="C78" s="343">
        <f>+'5.a sz.mell.'!K63</f>
        <v>1643568</v>
      </c>
      <c r="D78" s="191"/>
    </row>
    <row r="79" spans="1:8">
      <c r="B79" s="218" t="s">
        <v>470</v>
      </c>
      <c r="C79" s="343">
        <f>+D79-C80</f>
        <v>2911250</v>
      </c>
      <c r="D79" s="633">
        <f>+'5.a sz.mell.'!G63</f>
        <v>84567133</v>
      </c>
    </row>
    <row r="80" spans="1:8" ht="15.75" thickBot="1">
      <c r="B80" s="219" t="s">
        <v>471</v>
      </c>
      <c r="C80" s="344">
        <f>+'5.a sz.mell.'!G23+2400000</f>
        <v>81655883</v>
      </c>
      <c r="D80" s="634"/>
    </row>
    <row r="81" spans="2:4" ht="19.899999999999999" customHeight="1" thickBot="1">
      <c r="B81" s="307" t="s">
        <v>188</v>
      </c>
      <c r="C81" s="345">
        <f>SUM(C72:C80)</f>
        <v>596850051</v>
      </c>
      <c r="D81" s="193"/>
    </row>
    <row r="82" spans="2:4">
      <c r="B82" s="218" t="s">
        <v>427</v>
      </c>
      <c r="C82" s="346">
        <v>0</v>
      </c>
      <c r="D82" s="193"/>
    </row>
    <row r="83" spans="2:4" ht="15.75" thickBot="1">
      <c r="B83" s="219" t="s">
        <v>428</v>
      </c>
      <c r="C83" s="344">
        <f>+'5.a sz.mell.'!I63-C82</f>
        <v>107151973</v>
      </c>
      <c r="D83" s="193"/>
    </row>
    <row r="84" spans="2:4" ht="19.899999999999999" customHeight="1" thickBot="1">
      <c r="B84" s="307" t="s">
        <v>189</v>
      </c>
      <c r="C84" s="345">
        <f>SUM(C82:C83)</f>
        <v>107151973</v>
      </c>
      <c r="D84" s="193"/>
    </row>
    <row r="85" spans="2:4">
      <c r="B85" s="218" t="s">
        <v>450</v>
      </c>
      <c r="C85" s="346">
        <f>+'5.a sz.mell.'!L63</f>
        <v>233711826</v>
      </c>
      <c r="D85" s="191"/>
    </row>
    <row r="86" spans="2:4">
      <c r="B86" s="219" t="s">
        <v>429</v>
      </c>
      <c r="C86" s="344">
        <f>+'5.a sz.mell.'!M63</f>
        <v>42859926</v>
      </c>
      <c r="D86" s="191"/>
    </row>
    <row r="87" spans="2:4" ht="15.75" thickBot="1">
      <c r="B87" s="219" t="s">
        <v>246</v>
      </c>
      <c r="C87" s="344">
        <v>0</v>
      </c>
      <c r="D87" s="191"/>
    </row>
    <row r="88" spans="2:4" ht="19.899999999999999" customHeight="1" thickBot="1">
      <c r="B88" s="307" t="s">
        <v>190</v>
      </c>
      <c r="C88" s="345">
        <f>SUM(C85:C87)</f>
        <v>276571752</v>
      </c>
      <c r="D88" s="191"/>
    </row>
    <row r="89" spans="2:4" ht="24.6" customHeight="1" thickBot="1">
      <c r="B89" s="195" t="s">
        <v>191</v>
      </c>
      <c r="C89" s="347">
        <f>C81+C84+C88</f>
        <v>980573776</v>
      </c>
      <c r="D89" s="515">
        <f>+'5.a sz.mell.'!N63</f>
        <v>980573776</v>
      </c>
    </row>
    <row r="90" spans="2:4">
      <c r="B90" s="87"/>
      <c r="D90" s="191"/>
    </row>
    <row r="91" spans="2:4">
      <c r="B91" s="87"/>
      <c r="C91" s="470">
        <f>+C89-C65</f>
        <v>0</v>
      </c>
      <c r="D91" s="191"/>
    </row>
    <row r="92" spans="2:4">
      <c r="B92" s="87"/>
      <c r="D92" s="191"/>
    </row>
    <row r="93" spans="2:4">
      <c r="B93" s="194"/>
    </row>
    <row r="94" spans="2:4">
      <c r="B94" s="194"/>
    </row>
    <row r="95" spans="2:4">
      <c r="B95" s="194"/>
    </row>
    <row r="96" spans="2:4">
      <c r="B96" s="194"/>
    </row>
    <row r="97" spans="2:2" ht="41.25" customHeight="1">
      <c r="B97" s="194"/>
    </row>
    <row r="98" spans="2:2">
      <c r="B98" s="194"/>
    </row>
    <row r="99" spans="2:2">
      <c r="B99" s="194"/>
    </row>
    <row r="100" spans="2:2">
      <c r="B100" s="194"/>
    </row>
    <row r="101" spans="2:2">
      <c r="B101" s="194"/>
    </row>
    <row r="102" spans="2:2">
      <c r="B102" s="194"/>
    </row>
    <row r="103" spans="2:2">
      <c r="B103" s="194"/>
    </row>
    <row r="104" spans="2:2">
      <c r="B104" s="194"/>
    </row>
    <row r="105" spans="2:2">
      <c r="B105" s="194"/>
    </row>
    <row r="106" spans="2:2">
      <c r="B106" s="194"/>
    </row>
    <row r="107" spans="2:2">
      <c r="B107" s="194"/>
    </row>
    <row r="108" spans="2:2">
      <c r="B108" s="194"/>
    </row>
    <row r="109" spans="2:2">
      <c r="B109" s="194"/>
    </row>
    <row r="110" spans="2:2">
      <c r="B110" s="194"/>
    </row>
    <row r="111" spans="2:2">
      <c r="B111" s="194"/>
    </row>
    <row r="112" spans="2:2">
      <c r="B112" s="194"/>
    </row>
    <row r="113" spans="2:3">
      <c r="B113" s="194"/>
    </row>
    <row r="114" spans="2:3">
      <c r="B114" s="194"/>
    </row>
    <row r="115" spans="2:3">
      <c r="B115" s="194"/>
    </row>
    <row r="116" spans="2:3">
      <c r="B116" s="194"/>
    </row>
    <row r="117" spans="2:3">
      <c r="B117" s="194"/>
    </row>
    <row r="118" spans="2:3">
      <c r="B118" s="194"/>
    </row>
    <row r="119" spans="2:3">
      <c r="B119" s="194"/>
    </row>
    <row r="120" spans="2:3">
      <c r="B120" s="194"/>
    </row>
    <row r="121" spans="2:3">
      <c r="B121" s="194"/>
      <c r="C121" s="449" t="s">
        <v>378</v>
      </c>
    </row>
    <row r="122" spans="2:3">
      <c r="B122" s="194"/>
    </row>
    <row r="123" spans="2:3">
      <c r="B123" s="194"/>
    </row>
    <row r="124" spans="2:3">
      <c r="B124" s="194"/>
    </row>
    <row r="125" spans="2:3">
      <c r="B125" s="194"/>
    </row>
    <row r="126" spans="2:3">
      <c r="B126" s="194"/>
    </row>
    <row r="127" spans="2:3">
      <c r="B127" s="194"/>
    </row>
    <row r="128" spans="2:3">
      <c r="B128" s="194"/>
    </row>
    <row r="129" spans="2:2">
      <c r="B129" s="194"/>
    </row>
    <row r="130" spans="2:2">
      <c r="B130" s="194"/>
    </row>
    <row r="131" spans="2:2">
      <c r="B131" s="194"/>
    </row>
    <row r="132" spans="2:2">
      <c r="B132" s="194"/>
    </row>
    <row r="133" spans="2:2">
      <c r="B133" s="194"/>
    </row>
    <row r="134" spans="2:2">
      <c r="B134" s="194"/>
    </row>
    <row r="135" spans="2:2">
      <c r="B135" s="194"/>
    </row>
    <row r="136" spans="2:2">
      <c r="B136" s="194"/>
    </row>
    <row r="137" spans="2:2">
      <c r="B137" s="194"/>
    </row>
    <row r="138" spans="2:2">
      <c r="B138" s="194"/>
    </row>
    <row r="139" spans="2:2">
      <c r="B139" s="194"/>
    </row>
    <row r="140" spans="2:2">
      <c r="B140" s="194"/>
    </row>
    <row r="141" spans="2:2">
      <c r="B141" s="194"/>
    </row>
    <row r="142" spans="2:2">
      <c r="B142" s="194"/>
    </row>
    <row r="143" spans="2:2">
      <c r="B143" s="194"/>
    </row>
    <row r="144" spans="2:2">
      <c r="B144" s="194"/>
    </row>
    <row r="145" spans="2:2">
      <c r="B145" s="194"/>
    </row>
    <row r="146" spans="2:2">
      <c r="B146" s="194"/>
    </row>
    <row r="147" spans="2:2">
      <c r="B147" s="194"/>
    </row>
    <row r="148" spans="2:2">
      <c r="B148" s="194"/>
    </row>
    <row r="149" spans="2:2">
      <c r="B149" s="194"/>
    </row>
    <row r="150" spans="2:2">
      <c r="B150" s="194"/>
    </row>
    <row r="151" spans="2:2">
      <c r="B151" s="194"/>
    </row>
    <row r="152" spans="2:2">
      <c r="B152" s="194"/>
    </row>
    <row r="153" spans="2:2">
      <c r="B153" s="194"/>
    </row>
    <row r="154" spans="2:2">
      <c r="B154" s="194"/>
    </row>
    <row r="155" spans="2:2">
      <c r="B155" s="194"/>
    </row>
    <row r="156" spans="2:2">
      <c r="B156" s="194"/>
    </row>
    <row r="157" spans="2:2">
      <c r="B157" s="194"/>
    </row>
    <row r="158" spans="2:2">
      <c r="B158" s="194"/>
    </row>
    <row r="159" spans="2:2">
      <c r="B159" s="194"/>
    </row>
    <row r="160" spans="2:2">
      <c r="B160" s="194"/>
    </row>
    <row r="161" spans="2:2">
      <c r="B161" s="194"/>
    </row>
    <row r="162" spans="2:2">
      <c r="B162" s="194"/>
    </row>
    <row r="163" spans="2:2">
      <c r="B163" s="194"/>
    </row>
    <row r="164" spans="2:2">
      <c r="B164" s="194"/>
    </row>
    <row r="165" spans="2:2">
      <c r="B165" s="194"/>
    </row>
    <row r="166" spans="2:2">
      <c r="B166" s="194"/>
    </row>
    <row r="167" spans="2:2">
      <c r="B167" s="194"/>
    </row>
    <row r="168" spans="2:2">
      <c r="B168" s="194"/>
    </row>
    <row r="169" spans="2:2">
      <c r="B169" s="194"/>
    </row>
    <row r="170" spans="2:2">
      <c r="B170" s="194"/>
    </row>
    <row r="171" spans="2:2">
      <c r="B171" s="194"/>
    </row>
    <row r="172" spans="2:2">
      <c r="B172" s="194"/>
    </row>
    <row r="173" spans="2:2">
      <c r="B173" s="194"/>
    </row>
    <row r="174" spans="2:2">
      <c r="B174" s="194"/>
    </row>
    <row r="175" spans="2:2">
      <c r="B175" s="194"/>
    </row>
    <row r="176" spans="2:2">
      <c r="B176" s="194"/>
    </row>
    <row r="177" spans="2:2">
      <c r="B177" s="194"/>
    </row>
    <row r="178" spans="2:2">
      <c r="B178" s="194"/>
    </row>
    <row r="179" spans="2:2">
      <c r="B179" s="194"/>
    </row>
    <row r="180" spans="2:2">
      <c r="B180" s="194"/>
    </row>
    <row r="181" spans="2:2">
      <c r="B181" s="194"/>
    </row>
    <row r="182" spans="2:2">
      <c r="B182" s="194"/>
    </row>
    <row r="183" spans="2:2">
      <c r="B183" s="194"/>
    </row>
    <row r="184" spans="2:2">
      <c r="B184" s="194"/>
    </row>
    <row r="185" spans="2:2">
      <c r="B185" s="194"/>
    </row>
    <row r="186" spans="2:2">
      <c r="B186" s="194"/>
    </row>
    <row r="187" spans="2:2">
      <c r="B187" s="194"/>
    </row>
    <row r="188" spans="2:2">
      <c r="B188" s="194"/>
    </row>
    <row r="189" spans="2:2">
      <c r="B189" s="194"/>
    </row>
    <row r="190" spans="2:2">
      <c r="B190" s="194"/>
    </row>
    <row r="191" spans="2:2">
      <c r="B191" s="194"/>
    </row>
    <row r="192" spans="2:2">
      <c r="B192" s="194"/>
    </row>
    <row r="193" spans="2:2">
      <c r="B193" s="194"/>
    </row>
    <row r="194" spans="2:2">
      <c r="B194" s="194"/>
    </row>
    <row r="195" spans="2:2">
      <c r="B195" s="194"/>
    </row>
    <row r="196" spans="2:2">
      <c r="B196" s="194"/>
    </row>
    <row r="197" spans="2:2">
      <c r="B197" s="194"/>
    </row>
    <row r="198" spans="2:2">
      <c r="B198" s="194"/>
    </row>
    <row r="199" spans="2:2">
      <c r="B199" s="194"/>
    </row>
    <row r="200" spans="2:2">
      <c r="B200" s="194"/>
    </row>
    <row r="201" spans="2:2">
      <c r="B201" s="194"/>
    </row>
    <row r="202" spans="2:2">
      <c r="B202" s="194"/>
    </row>
    <row r="203" spans="2:2">
      <c r="B203" s="194"/>
    </row>
    <row r="204" spans="2:2">
      <c r="B204" s="194"/>
    </row>
    <row r="205" spans="2:2">
      <c r="B205" s="194"/>
    </row>
    <row r="206" spans="2:2">
      <c r="B206" s="194"/>
    </row>
    <row r="207" spans="2:2">
      <c r="B207" s="194"/>
    </row>
    <row r="208" spans="2:2">
      <c r="B208" s="194"/>
    </row>
    <row r="209" spans="2:2">
      <c r="B209" s="194"/>
    </row>
    <row r="210" spans="2:2">
      <c r="B210" s="194"/>
    </row>
    <row r="211" spans="2:2">
      <c r="B211" s="194"/>
    </row>
    <row r="212" spans="2:2">
      <c r="B212" s="194"/>
    </row>
    <row r="213" spans="2:2">
      <c r="B213" s="194"/>
    </row>
    <row r="214" spans="2:2">
      <c r="B214" s="194"/>
    </row>
    <row r="215" spans="2:2">
      <c r="B215" s="194"/>
    </row>
    <row r="216" spans="2:2">
      <c r="B216" s="194"/>
    </row>
    <row r="217" spans="2:2">
      <c r="B217" s="194"/>
    </row>
    <row r="218" spans="2:2">
      <c r="B218" s="194"/>
    </row>
    <row r="219" spans="2:2">
      <c r="B219" s="194"/>
    </row>
    <row r="220" spans="2:2">
      <c r="B220" s="194"/>
    </row>
    <row r="221" spans="2:2">
      <c r="B221" s="194"/>
    </row>
    <row r="222" spans="2:2">
      <c r="B222" s="194"/>
    </row>
    <row r="223" spans="2:2">
      <c r="B223" s="194"/>
    </row>
    <row r="224" spans="2:2">
      <c r="B224" s="194"/>
    </row>
    <row r="225" spans="2:2">
      <c r="B225" s="194"/>
    </row>
    <row r="226" spans="2:2">
      <c r="B226" s="194"/>
    </row>
    <row r="227" spans="2:2">
      <c r="B227" s="194"/>
    </row>
    <row r="228" spans="2:2">
      <c r="B228" s="194"/>
    </row>
    <row r="229" spans="2:2">
      <c r="B229" s="194"/>
    </row>
    <row r="230" spans="2:2">
      <c r="B230" s="194"/>
    </row>
    <row r="231" spans="2:2">
      <c r="B231" s="194"/>
    </row>
    <row r="232" spans="2:2">
      <c r="B232" s="194"/>
    </row>
    <row r="233" spans="2:2">
      <c r="B233" s="194"/>
    </row>
    <row r="234" spans="2:2">
      <c r="B234" s="194"/>
    </row>
    <row r="235" spans="2:2">
      <c r="B235" s="194"/>
    </row>
    <row r="236" spans="2:2">
      <c r="B236" s="194"/>
    </row>
    <row r="237" spans="2:2">
      <c r="B237" s="194"/>
    </row>
    <row r="238" spans="2:2">
      <c r="B238" s="194"/>
    </row>
    <row r="239" spans="2:2">
      <c r="B239" s="194"/>
    </row>
    <row r="240" spans="2:2">
      <c r="B240" s="194"/>
    </row>
    <row r="241" spans="2:2">
      <c r="B241" s="194"/>
    </row>
    <row r="242" spans="2:2">
      <c r="B242" s="194"/>
    </row>
    <row r="243" spans="2:2">
      <c r="B243" s="194"/>
    </row>
    <row r="244" spans="2:2">
      <c r="B244" s="194"/>
    </row>
    <row r="245" spans="2:2">
      <c r="B245" s="194"/>
    </row>
    <row r="246" spans="2:2">
      <c r="B246" s="194"/>
    </row>
    <row r="247" spans="2:2">
      <c r="B247" s="194"/>
    </row>
    <row r="248" spans="2:2">
      <c r="B248" s="194"/>
    </row>
    <row r="249" spans="2:2">
      <c r="B249" s="194"/>
    </row>
    <row r="250" spans="2:2">
      <c r="B250" s="194"/>
    </row>
    <row r="251" spans="2:2">
      <c r="B251" s="194"/>
    </row>
    <row r="252" spans="2:2">
      <c r="B252" s="194"/>
    </row>
    <row r="253" spans="2:2">
      <c r="B253" s="194"/>
    </row>
    <row r="254" spans="2:2">
      <c r="B254" s="194"/>
    </row>
    <row r="255" spans="2:2">
      <c r="B255" s="194"/>
    </row>
    <row r="256" spans="2:2">
      <c r="B256" s="194"/>
    </row>
    <row r="257" spans="2:2">
      <c r="B257" s="194"/>
    </row>
    <row r="258" spans="2:2">
      <c r="B258" s="194"/>
    </row>
    <row r="259" spans="2:2">
      <c r="B259" s="194"/>
    </row>
    <row r="260" spans="2:2">
      <c r="B260" s="194"/>
    </row>
    <row r="261" spans="2:2">
      <c r="B261" s="194"/>
    </row>
    <row r="262" spans="2:2">
      <c r="B262" s="194"/>
    </row>
    <row r="263" spans="2:2">
      <c r="B263" s="194"/>
    </row>
    <row r="264" spans="2:2">
      <c r="B264" s="194"/>
    </row>
    <row r="265" spans="2:2">
      <c r="B265" s="194"/>
    </row>
    <row r="266" spans="2:2">
      <c r="B266" s="194"/>
    </row>
    <row r="267" spans="2:2">
      <c r="B267" s="194"/>
    </row>
    <row r="268" spans="2:2">
      <c r="B268" s="194"/>
    </row>
    <row r="269" spans="2:2">
      <c r="B269" s="194"/>
    </row>
    <row r="270" spans="2:2">
      <c r="B270" s="194"/>
    </row>
    <row r="271" spans="2:2">
      <c r="B271" s="194"/>
    </row>
    <row r="272" spans="2:2">
      <c r="B272" s="194"/>
    </row>
    <row r="273" spans="2:2">
      <c r="B273" s="194"/>
    </row>
    <row r="274" spans="2:2">
      <c r="B274" s="194"/>
    </row>
    <row r="275" spans="2:2">
      <c r="B275" s="194"/>
    </row>
    <row r="276" spans="2:2">
      <c r="B276" s="194"/>
    </row>
    <row r="277" spans="2:2">
      <c r="B277" s="194"/>
    </row>
    <row r="278" spans="2:2">
      <c r="B278" s="194"/>
    </row>
    <row r="279" spans="2:2">
      <c r="B279" s="194"/>
    </row>
    <row r="280" spans="2:2">
      <c r="B280" s="194"/>
    </row>
    <row r="281" spans="2:2">
      <c r="B281" s="194"/>
    </row>
    <row r="282" spans="2:2">
      <c r="B282" s="194"/>
    </row>
    <row r="283" spans="2:2">
      <c r="B283" s="194"/>
    </row>
    <row r="284" spans="2:2">
      <c r="B284" s="194"/>
    </row>
    <row r="285" spans="2:2">
      <c r="B285" s="194"/>
    </row>
    <row r="286" spans="2:2">
      <c r="B286" s="194"/>
    </row>
    <row r="287" spans="2:2">
      <c r="B287" s="194"/>
    </row>
    <row r="288" spans="2:2">
      <c r="B288" s="194"/>
    </row>
    <row r="289" spans="2:2">
      <c r="B289" s="194"/>
    </row>
    <row r="290" spans="2:2">
      <c r="B290" s="194"/>
    </row>
    <row r="291" spans="2:2">
      <c r="B291" s="194"/>
    </row>
    <row r="292" spans="2:2">
      <c r="B292" s="194"/>
    </row>
    <row r="293" spans="2:2">
      <c r="B293" s="194"/>
    </row>
    <row r="294" spans="2:2">
      <c r="B294" s="194"/>
    </row>
    <row r="295" spans="2:2">
      <c r="B295" s="194"/>
    </row>
    <row r="296" spans="2:2">
      <c r="B296" s="194"/>
    </row>
    <row r="297" spans="2:2">
      <c r="B297" s="194"/>
    </row>
    <row r="298" spans="2:2">
      <c r="B298" s="194"/>
    </row>
    <row r="299" spans="2:2">
      <c r="B299" s="194"/>
    </row>
    <row r="300" spans="2:2">
      <c r="B300" s="194"/>
    </row>
    <row r="301" spans="2:2">
      <c r="B301" s="194"/>
    </row>
    <row r="302" spans="2:2">
      <c r="B302" s="194"/>
    </row>
    <row r="303" spans="2:2">
      <c r="B303" s="194"/>
    </row>
    <row r="304" spans="2:2">
      <c r="B304" s="194"/>
    </row>
    <row r="305" spans="2:2">
      <c r="B305" s="194"/>
    </row>
    <row r="306" spans="2:2">
      <c r="B306" s="194"/>
    </row>
    <row r="307" spans="2:2">
      <c r="B307" s="194"/>
    </row>
    <row r="308" spans="2:2">
      <c r="B308" s="194"/>
    </row>
    <row r="309" spans="2:2">
      <c r="B309" s="194"/>
    </row>
    <row r="310" spans="2:2">
      <c r="B310" s="194"/>
    </row>
    <row r="311" spans="2:2">
      <c r="B311" s="194"/>
    </row>
    <row r="312" spans="2:2">
      <c r="B312" s="194"/>
    </row>
    <row r="313" spans="2:2">
      <c r="B313" s="194"/>
    </row>
    <row r="314" spans="2:2">
      <c r="B314" s="194"/>
    </row>
    <row r="315" spans="2:2">
      <c r="B315" s="194"/>
    </row>
    <row r="316" spans="2:2">
      <c r="B316" s="194"/>
    </row>
    <row r="317" spans="2:2">
      <c r="B317" s="194"/>
    </row>
    <row r="318" spans="2:2">
      <c r="B318" s="194"/>
    </row>
    <row r="319" spans="2:2">
      <c r="B319" s="194"/>
    </row>
    <row r="320" spans="2:2">
      <c r="B320" s="194"/>
    </row>
    <row r="321" spans="2:2">
      <c r="B321" s="194"/>
    </row>
    <row r="322" spans="2:2">
      <c r="B322" s="194"/>
    </row>
    <row r="323" spans="2:2">
      <c r="B323" s="194"/>
    </row>
    <row r="324" spans="2:2">
      <c r="B324" s="194"/>
    </row>
    <row r="325" spans="2:2">
      <c r="B325" s="194"/>
    </row>
    <row r="326" spans="2:2">
      <c r="B326" s="194"/>
    </row>
    <row r="327" spans="2:2">
      <c r="B327" s="194"/>
    </row>
    <row r="328" spans="2:2">
      <c r="B328" s="194"/>
    </row>
    <row r="329" spans="2:2">
      <c r="B329" s="194"/>
    </row>
    <row r="330" spans="2:2">
      <c r="B330" s="194"/>
    </row>
    <row r="331" spans="2:2">
      <c r="B331" s="194"/>
    </row>
    <row r="332" spans="2:2">
      <c r="B332" s="194"/>
    </row>
    <row r="333" spans="2:2">
      <c r="B333" s="194"/>
    </row>
    <row r="334" spans="2:2">
      <c r="B334" s="194"/>
    </row>
    <row r="335" spans="2:2">
      <c r="B335" s="194"/>
    </row>
    <row r="336" spans="2:2">
      <c r="B336" s="194"/>
    </row>
    <row r="337" spans="2:2">
      <c r="B337" s="194"/>
    </row>
    <row r="338" spans="2:2">
      <c r="B338" s="194"/>
    </row>
    <row r="339" spans="2:2">
      <c r="B339" s="194"/>
    </row>
    <row r="340" spans="2:2">
      <c r="B340" s="194"/>
    </row>
    <row r="341" spans="2:2">
      <c r="B341" s="194"/>
    </row>
    <row r="342" spans="2:2">
      <c r="B342" s="194"/>
    </row>
    <row r="343" spans="2:2">
      <c r="B343" s="194"/>
    </row>
    <row r="344" spans="2:2">
      <c r="B344" s="194"/>
    </row>
    <row r="345" spans="2:2">
      <c r="B345" s="194"/>
    </row>
    <row r="346" spans="2:2">
      <c r="B346" s="194"/>
    </row>
    <row r="347" spans="2:2">
      <c r="B347" s="194"/>
    </row>
    <row r="348" spans="2:2">
      <c r="B348" s="194"/>
    </row>
    <row r="349" spans="2:2">
      <c r="B349" s="194"/>
    </row>
    <row r="350" spans="2:2">
      <c r="B350" s="194"/>
    </row>
    <row r="351" spans="2:2">
      <c r="B351" s="194"/>
    </row>
    <row r="352" spans="2:2">
      <c r="B352" s="194"/>
    </row>
    <row r="353" spans="2:2">
      <c r="B353" s="194"/>
    </row>
    <row r="354" spans="2:2">
      <c r="B354" s="194"/>
    </row>
    <row r="355" spans="2:2">
      <c r="B355" s="194"/>
    </row>
    <row r="356" spans="2:2">
      <c r="B356" s="194"/>
    </row>
    <row r="357" spans="2:2">
      <c r="B357" s="194"/>
    </row>
    <row r="358" spans="2:2">
      <c r="B358" s="194"/>
    </row>
    <row r="359" spans="2:2">
      <c r="B359" s="194"/>
    </row>
    <row r="360" spans="2:2">
      <c r="B360" s="194"/>
    </row>
    <row r="361" spans="2:2">
      <c r="B361" s="194"/>
    </row>
    <row r="362" spans="2:2">
      <c r="B362" s="194"/>
    </row>
    <row r="363" spans="2:2">
      <c r="B363" s="194"/>
    </row>
    <row r="364" spans="2:2">
      <c r="B364" s="194"/>
    </row>
    <row r="365" spans="2:2">
      <c r="B365" s="194"/>
    </row>
    <row r="366" spans="2:2">
      <c r="B366" s="194"/>
    </row>
    <row r="367" spans="2:2">
      <c r="B367" s="194"/>
    </row>
    <row r="368" spans="2:2">
      <c r="B368" s="194"/>
    </row>
    <row r="369" spans="2:2">
      <c r="B369" s="194"/>
    </row>
    <row r="370" spans="2:2">
      <c r="B370" s="194"/>
    </row>
    <row r="371" spans="2:2">
      <c r="B371" s="194"/>
    </row>
    <row r="372" spans="2:2">
      <c r="B372" s="194"/>
    </row>
    <row r="373" spans="2:2">
      <c r="B373" s="194"/>
    </row>
    <row r="374" spans="2:2">
      <c r="B374" s="194"/>
    </row>
    <row r="375" spans="2:2">
      <c r="B375" s="194"/>
    </row>
    <row r="376" spans="2:2">
      <c r="B376" s="194"/>
    </row>
    <row r="377" spans="2:2">
      <c r="B377" s="194"/>
    </row>
    <row r="378" spans="2:2">
      <c r="B378" s="194"/>
    </row>
    <row r="379" spans="2:2">
      <c r="B379" s="194"/>
    </row>
    <row r="380" spans="2:2">
      <c r="B380" s="194"/>
    </row>
    <row r="381" spans="2:2">
      <c r="B381" s="194"/>
    </row>
    <row r="382" spans="2:2">
      <c r="B382" s="194"/>
    </row>
    <row r="383" spans="2:2">
      <c r="B383" s="194"/>
    </row>
    <row r="384" spans="2:2">
      <c r="B384" s="194"/>
    </row>
    <row r="385" spans="2:2">
      <c r="B385" s="194"/>
    </row>
    <row r="386" spans="2:2">
      <c r="B386" s="194"/>
    </row>
    <row r="387" spans="2:2">
      <c r="B387" s="194"/>
    </row>
    <row r="388" spans="2:2">
      <c r="B388" s="194"/>
    </row>
    <row r="389" spans="2:2">
      <c r="B389" s="194"/>
    </row>
    <row r="390" spans="2:2">
      <c r="B390" s="194"/>
    </row>
    <row r="391" spans="2:2">
      <c r="B391" s="194"/>
    </row>
    <row r="392" spans="2:2">
      <c r="B392" s="194"/>
    </row>
    <row r="393" spans="2:2">
      <c r="B393" s="194"/>
    </row>
    <row r="394" spans="2:2">
      <c r="B394" s="194"/>
    </row>
    <row r="395" spans="2:2">
      <c r="B395" s="194"/>
    </row>
    <row r="396" spans="2:2">
      <c r="B396" s="194"/>
    </row>
    <row r="397" spans="2:2">
      <c r="B397" s="194"/>
    </row>
    <row r="398" spans="2:2">
      <c r="B398" s="194"/>
    </row>
    <row r="399" spans="2:2">
      <c r="B399" s="194"/>
    </row>
    <row r="400" spans="2:2">
      <c r="B400" s="194"/>
    </row>
    <row r="401" spans="2:2">
      <c r="B401" s="194"/>
    </row>
    <row r="402" spans="2:2">
      <c r="B402" s="194"/>
    </row>
    <row r="403" spans="2:2">
      <c r="B403" s="194"/>
    </row>
    <row r="404" spans="2:2">
      <c r="B404" s="194"/>
    </row>
    <row r="405" spans="2:2">
      <c r="B405" s="194"/>
    </row>
    <row r="406" spans="2:2">
      <c r="B406" s="194"/>
    </row>
    <row r="407" spans="2:2">
      <c r="B407" s="194"/>
    </row>
    <row r="408" spans="2:2">
      <c r="B408" s="194"/>
    </row>
    <row r="409" spans="2:2">
      <c r="B409" s="194"/>
    </row>
    <row r="410" spans="2:2">
      <c r="B410" s="194"/>
    </row>
    <row r="411" spans="2:2">
      <c r="B411" s="194"/>
    </row>
    <row r="412" spans="2:2">
      <c r="B412" s="194"/>
    </row>
    <row r="413" spans="2:2">
      <c r="B413" s="194"/>
    </row>
    <row r="414" spans="2:2">
      <c r="B414" s="194"/>
    </row>
    <row r="415" spans="2:2">
      <c r="B415" s="194"/>
    </row>
    <row r="416" spans="2:2">
      <c r="B416" s="194"/>
    </row>
    <row r="417" spans="2:2">
      <c r="B417" s="194"/>
    </row>
    <row r="418" spans="2:2">
      <c r="B418" s="194"/>
    </row>
    <row r="419" spans="2:2">
      <c r="B419" s="194"/>
    </row>
    <row r="420" spans="2:2">
      <c r="B420" s="194"/>
    </row>
    <row r="421" spans="2:2">
      <c r="B421" s="194"/>
    </row>
    <row r="422" spans="2:2">
      <c r="B422" s="194"/>
    </row>
    <row r="423" spans="2:2">
      <c r="B423" s="194"/>
    </row>
    <row r="424" spans="2:2">
      <c r="B424" s="194"/>
    </row>
    <row r="425" spans="2:2">
      <c r="B425" s="194"/>
    </row>
    <row r="426" spans="2:2">
      <c r="B426" s="194"/>
    </row>
    <row r="427" spans="2:2">
      <c r="B427" s="194"/>
    </row>
    <row r="428" spans="2:2">
      <c r="B428" s="194"/>
    </row>
    <row r="429" spans="2:2">
      <c r="B429" s="194"/>
    </row>
    <row r="430" spans="2:2">
      <c r="B430" s="194"/>
    </row>
    <row r="431" spans="2:2">
      <c r="B431" s="194"/>
    </row>
    <row r="432" spans="2:2">
      <c r="B432" s="194"/>
    </row>
    <row r="433" spans="2:2">
      <c r="B433" s="194"/>
    </row>
    <row r="434" spans="2:2">
      <c r="B434" s="194"/>
    </row>
    <row r="435" spans="2:2">
      <c r="B435" s="194"/>
    </row>
    <row r="436" spans="2:2">
      <c r="B436" s="194"/>
    </row>
    <row r="437" spans="2:2">
      <c r="B437" s="194"/>
    </row>
    <row r="438" spans="2:2">
      <c r="B438" s="194"/>
    </row>
    <row r="439" spans="2:2">
      <c r="B439" s="194"/>
    </row>
    <row r="440" spans="2:2">
      <c r="B440" s="194"/>
    </row>
    <row r="441" spans="2:2">
      <c r="B441" s="194"/>
    </row>
    <row r="442" spans="2:2">
      <c r="B442" s="194"/>
    </row>
    <row r="443" spans="2:2">
      <c r="B443" s="194"/>
    </row>
    <row r="444" spans="2:2">
      <c r="B444" s="194"/>
    </row>
    <row r="445" spans="2:2">
      <c r="B445" s="194"/>
    </row>
    <row r="446" spans="2:2">
      <c r="B446" s="194"/>
    </row>
    <row r="447" spans="2:2">
      <c r="B447" s="194"/>
    </row>
    <row r="448" spans="2:2">
      <c r="B448" s="194"/>
    </row>
    <row r="449" spans="2:2">
      <c r="B449" s="194"/>
    </row>
    <row r="450" spans="2:2">
      <c r="B450" s="194"/>
    </row>
    <row r="451" spans="2:2">
      <c r="B451" s="194"/>
    </row>
    <row r="452" spans="2:2">
      <c r="B452" s="194"/>
    </row>
    <row r="453" spans="2:2">
      <c r="B453" s="194"/>
    </row>
    <row r="454" spans="2:2">
      <c r="B454" s="194"/>
    </row>
    <row r="455" spans="2:2">
      <c r="B455" s="194"/>
    </row>
    <row r="456" spans="2:2">
      <c r="B456" s="194"/>
    </row>
    <row r="457" spans="2:2">
      <c r="B457" s="194"/>
    </row>
    <row r="458" spans="2:2">
      <c r="B458" s="194"/>
    </row>
    <row r="459" spans="2:2">
      <c r="B459" s="194"/>
    </row>
    <row r="460" spans="2:2">
      <c r="B460" s="194"/>
    </row>
    <row r="461" spans="2:2">
      <c r="B461" s="194"/>
    </row>
    <row r="462" spans="2:2">
      <c r="B462" s="194"/>
    </row>
    <row r="463" spans="2:2">
      <c r="B463" s="194"/>
    </row>
    <row r="464" spans="2:2">
      <c r="B464" s="194"/>
    </row>
    <row r="465" spans="2:2">
      <c r="B465" s="194"/>
    </row>
    <row r="466" spans="2:2">
      <c r="B466" s="194"/>
    </row>
    <row r="467" spans="2:2">
      <c r="B467" s="194"/>
    </row>
    <row r="468" spans="2:2">
      <c r="B468" s="194"/>
    </row>
    <row r="469" spans="2:2">
      <c r="B469" s="194"/>
    </row>
    <row r="470" spans="2:2">
      <c r="B470" s="194"/>
    </row>
    <row r="471" spans="2:2">
      <c r="B471" s="194"/>
    </row>
    <row r="472" spans="2:2">
      <c r="B472" s="194"/>
    </row>
    <row r="473" spans="2:2">
      <c r="B473" s="194"/>
    </row>
    <row r="474" spans="2:2">
      <c r="B474" s="194"/>
    </row>
    <row r="475" spans="2:2">
      <c r="B475" s="194"/>
    </row>
    <row r="476" spans="2:2">
      <c r="B476" s="194"/>
    </row>
    <row r="477" spans="2:2">
      <c r="B477" s="194"/>
    </row>
    <row r="478" spans="2:2">
      <c r="B478" s="194"/>
    </row>
    <row r="479" spans="2:2">
      <c r="B479" s="194"/>
    </row>
    <row r="480" spans="2:2">
      <c r="B480" s="194"/>
    </row>
    <row r="481" spans="2:2">
      <c r="B481" s="194"/>
    </row>
    <row r="482" spans="2:2">
      <c r="B482" s="194"/>
    </row>
    <row r="483" spans="2:2">
      <c r="B483" s="194"/>
    </row>
    <row r="484" spans="2:2">
      <c r="B484" s="194"/>
    </row>
    <row r="485" spans="2:2">
      <c r="B485" s="194"/>
    </row>
    <row r="486" spans="2:2">
      <c r="B486" s="194"/>
    </row>
    <row r="487" spans="2:2">
      <c r="B487" s="194"/>
    </row>
    <row r="488" spans="2:2">
      <c r="B488" s="194"/>
    </row>
    <row r="489" spans="2:2">
      <c r="B489" s="194"/>
    </row>
    <row r="490" spans="2:2">
      <c r="B490" s="194"/>
    </row>
    <row r="491" spans="2:2">
      <c r="B491" s="194"/>
    </row>
    <row r="492" spans="2:2">
      <c r="B492" s="194"/>
    </row>
    <row r="493" spans="2:2">
      <c r="B493" s="194"/>
    </row>
    <row r="494" spans="2:2">
      <c r="B494" s="194"/>
    </row>
    <row r="495" spans="2:2">
      <c r="B495" s="194"/>
    </row>
    <row r="496" spans="2:2">
      <c r="B496" s="194"/>
    </row>
    <row r="497" spans="2:2">
      <c r="B497" s="194"/>
    </row>
    <row r="498" spans="2:2">
      <c r="B498" s="194"/>
    </row>
    <row r="499" spans="2:2">
      <c r="B499" s="194"/>
    </row>
    <row r="500" spans="2:2">
      <c r="B500" s="194"/>
    </row>
    <row r="501" spans="2:2">
      <c r="B501" s="194"/>
    </row>
    <row r="502" spans="2:2">
      <c r="B502" s="194"/>
    </row>
    <row r="503" spans="2:2">
      <c r="B503" s="194"/>
    </row>
    <row r="504" spans="2:2">
      <c r="B504" s="194"/>
    </row>
    <row r="505" spans="2:2">
      <c r="B505" s="194"/>
    </row>
    <row r="506" spans="2:2">
      <c r="B506" s="194"/>
    </row>
    <row r="507" spans="2:2">
      <c r="B507" s="194"/>
    </row>
    <row r="508" spans="2:2">
      <c r="B508" s="194"/>
    </row>
    <row r="509" spans="2:2">
      <c r="B509" s="194"/>
    </row>
    <row r="510" spans="2:2">
      <c r="B510" s="194"/>
    </row>
    <row r="511" spans="2:2">
      <c r="B511" s="194"/>
    </row>
    <row r="512" spans="2:2">
      <c r="B512" s="194"/>
    </row>
    <row r="513" spans="2:2">
      <c r="B513" s="194"/>
    </row>
    <row r="514" spans="2:2">
      <c r="B514" s="194"/>
    </row>
    <row r="515" spans="2:2">
      <c r="B515" s="194"/>
    </row>
    <row r="516" spans="2:2">
      <c r="B516" s="194"/>
    </row>
    <row r="517" spans="2:2">
      <c r="B517" s="194"/>
    </row>
    <row r="518" spans="2:2">
      <c r="B518" s="194"/>
    </row>
    <row r="519" spans="2:2">
      <c r="B519" s="194"/>
    </row>
    <row r="520" spans="2:2">
      <c r="B520" s="194"/>
    </row>
  </sheetData>
  <mergeCells count="4">
    <mergeCell ref="A2:C2"/>
    <mergeCell ref="A1:C1"/>
    <mergeCell ref="D5:D12"/>
    <mergeCell ref="D79:D80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72" fitToHeight="2" orientation="portrait" r:id="rId1"/>
  <rowBreaks count="1" manualBreakCount="1">
    <brk id="67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zoomScaleNormal="100" workbookViewId="0">
      <selection activeCell="G7" sqref="G7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</cols>
  <sheetData>
    <row r="1" spans="1:11" ht="15.75">
      <c r="A1" s="711" t="s">
        <v>615</v>
      </c>
      <c r="B1" s="711"/>
      <c r="C1" s="711"/>
      <c r="D1" s="711"/>
      <c r="E1" s="711"/>
      <c r="F1" s="711"/>
      <c r="G1" s="711"/>
      <c r="H1" s="711"/>
      <c r="I1" s="208"/>
      <c r="J1" s="208"/>
      <c r="K1" s="208"/>
    </row>
    <row r="2" spans="1:11" ht="15.75">
      <c r="A2" s="131"/>
      <c r="B2" s="131"/>
      <c r="C2" s="131"/>
      <c r="D2" s="131"/>
      <c r="E2" s="131"/>
      <c r="F2" s="131"/>
      <c r="G2" s="131"/>
      <c r="H2" s="131"/>
      <c r="I2" s="208"/>
      <c r="J2" s="208"/>
      <c r="K2" s="208"/>
    </row>
    <row r="3" spans="1:11" ht="30" customHeight="1">
      <c r="A3" s="720" t="s">
        <v>216</v>
      </c>
      <c r="B3" s="720"/>
      <c r="C3" s="720"/>
      <c r="D3" s="720"/>
      <c r="E3" s="720"/>
      <c r="F3" s="720"/>
      <c r="G3" s="720"/>
      <c r="H3" s="720"/>
      <c r="I3" s="227"/>
      <c r="J3" s="227"/>
      <c r="K3" s="227"/>
    </row>
    <row r="4" spans="1:11" ht="30" customHeight="1">
      <c r="A4" s="227"/>
      <c r="B4" s="227"/>
      <c r="C4" s="458"/>
      <c r="D4" s="227"/>
      <c r="E4" s="514"/>
      <c r="F4" s="227"/>
      <c r="G4" s="514"/>
      <c r="H4" s="227"/>
      <c r="I4" s="227"/>
      <c r="J4" s="227"/>
      <c r="K4" s="227"/>
    </row>
    <row r="5" spans="1:11" ht="30" customHeight="1" thickBot="1">
      <c r="E5" s="130" t="s">
        <v>322</v>
      </c>
    </row>
    <row r="6" spans="1:11" ht="30" customHeight="1" thickBot="1">
      <c r="A6" s="283" t="s">
        <v>65</v>
      </c>
      <c r="B6" s="554">
        <v>2019</v>
      </c>
      <c r="C6" s="554">
        <v>2020</v>
      </c>
      <c r="D6" s="554">
        <v>2021</v>
      </c>
      <c r="E6" s="554">
        <v>2022</v>
      </c>
    </row>
    <row r="7" spans="1:11" ht="30" customHeight="1" thickBot="1">
      <c r="A7" s="479"/>
      <c r="B7" s="533" t="s">
        <v>383</v>
      </c>
      <c r="C7" s="533" t="s">
        <v>431</v>
      </c>
      <c r="D7" s="533" t="s">
        <v>431</v>
      </c>
      <c r="E7" s="533" t="s">
        <v>431</v>
      </c>
    </row>
    <row r="8" spans="1:11" ht="15" customHeight="1">
      <c r="A8" s="213" t="s">
        <v>194</v>
      </c>
      <c r="B8" s="534">
        <f>+'2.sz.mell.'!C25</f>
        <v>284885510</v>
      </c>
      <c r="C8" s="534">
        <v>310000000</v>
      </c>
      <c r="D8" s="534">
        <v>315000000</v>
      </c>
      <c r="E8" s="532">
        <v>320000000</v>
      </c>
    </row>
    <row r="9" spans="1:11" ht="30" customHeight="1">
      <c r="A9" s="214" t="s">
        <v>195</v>
      </c>
      <c r="B9" s="370">
        <f>+'2.sz.mell.'!C36</f>
        <v>54625927</v>
      </c>
      <c r="C9" s="370">
        <v>34000000</v>
      </c>
      <c r="D9" s="370">
        <v>38000000</v>
      </c>
      <c r="E9" s="373">
        <v>42000000</v>
      </c>
    </row>
    <row r="10" spans="1:11" ht="15" customHeight="1">
      <c r="A10" s="215" t="s">
        <v>106</v>
      </c>
      <c r="B10" s="370">
        <f>+'2.sz.mell.'!C43</f>
        <v>59270000</v>
      </c>
      <c r="C10" s="370">
        <v>53000000</v>
      </c>
      <c r="D10" s="370">
        <v>55000000</v>
      </c>
      <c r="E10" s="373">
        <v>57000000</v>
      </c>
    </row>
    <row r="11" spans="1:11" ht="15" customHeight="1">
      <c r="A11" s="215" t="s">
        <v>107</v>
      </c>
      <c r="B11" s="370">
        <f>+'2.sz.mell.'!C55</f>
        <v>55885000</v>
      </c>
      <c r="C11" s="370">
        <v>48000000</v>
      </c>
      <c r="D11" s="370">
        <v>46000000</v>
      </c>
      <c r="E11" s="373">
        <v>45000000</v>
      </c>
    </row>
    <row r="12" spans="1:11" ht="15" customHeight="1">
      <c r="A12" s="215" t="s">
        <v>196</v>
      </c>
      <c r="B12" s="370">
        <f>+'2.sz.mell.'!C57</f>
        <v>140000</v>
      </c>
      <c r="C12" s="370">
        <v>0</v>
      </c>
      <c r="D12" s="370">
        <v>0</v>
      </c>
      <c r="E12" s="373">
        <v>0</v>
      </c>
    </row>
    <row r="13" spans="1:11" ht="15" customHeight="1">
      <c r="A13" s="215" t="s">
        <v>7</v>
      </c>
      <c r="B13" s="370">
        <v>0</v>
      </c>
      <c r="C13" s="370">
        <v>0</v>
      </c>
      <c r="D13" s="370">
        <v>0</v>
      </c>
      <c r="E13" s="373">
        <v>0</v>
      </c>
    </row>
    <row r="14" spans="1:11" ht="15" customHeight="1">
      <c r="A14" s="215" t="s">
        <v>197</v>
      </c>
      <c r="B14" s="370">
        <f>+'2.sz.mell.'!C62</f>
        <v>108818441</v>
      </c>
      <c r="C14" s="370">
        <v>500000</v>
      </c>
      <c r="D14" s="370">
        <v>200000</v>
      </c>
      <c r="E14" s="373">
        <v>0</v>
      </c>
    </row>
    <row r="15" spans="1:11" ht="15" customHeight="1" thickBot="1">
      <c r="A15" s="216" t="s">
        <v>198</v>
      </c>
      <c r="B15" s="371">
        <f>+'2.sz.mell.'!C64</f>
        <v>416948898</v>
      </c>
      <c r="C15" s="371">
        <v>120000000</v>
      </c>
      <c r="D15" s="371">
        <v>80000000</v>
      </c>
      <c r="E15" s="374">
        <v>75000000</v>
      </c>
    </row>
    <row r="16" spans="1:11" ht="15" customHeight="1" thickBot="1">
      <c r="A16" s="217" t="s">
        <v>184</v>
      </c>
      <c r="B16" s="372">
        <f>SUM(B8:B15)</f>
        <v>980573776</v>
      </c>
      <c r="C16" s="372">
        <f t="shared" ref="C16:E16" si="0">SUM(C8:C15)</f>
        <v>565500000</v>
      </c>
      <c r="D16" s="372">
        <f t="shared" si="0"/>
        <v>534200000</v>
      </c>
      <c r="E16" s="372">
        <f t="shared" si="0"/>
        <v>539000000</v>
      </c>
    </row>
    <row r="17" spans="1:8" ht="30" customHeight="1" thickBot="1">
      <c r="B17" s="328"/>
      <c r="C17" s="328"/>
      <c r="D17" s="328"/>
      <c r="E17" s="328"/>
    </row>
    <row r="18" spans="1:8" ht="15" customHeight="1">
      <c r="A18" s="213" t="s">
        <v>17</v>
      </c>
      <c r="B18" s="375">
        <f>+'2.sz.mell.'!C72</f>
        <v>212285909</v>
      </c>
      <c r="C18" s="380">
        <v>176000000</v>
      </c>
      <c r="D18" s="381">
        <v>179000000</v>
      </c>
      <c r="E18" s="382">
        <v>181000000</v>
      </c>
    </row>
    <row r="19" spans="1:8" ht="15" customHeight="1">
      <c r="A19" s="215" t="s">
        <v>199</v>
      </c>
      <c r="B19" s="376">
        <f>+'2.sz.mell.'!C73</f>
        <v>39599062</v>
      </c>
      <c r="C19" s="383">
        <v>35000000</v>
      </c>
      <c r="D19" s="384">
        <v>37000000</v>
      </c>
      <c r="E19" s="385">
        <v>39000000</v>
      </c>
    </row>
    <row r="20" spans="1:8" ht="15" customHeight="1">
      <c r="A20" s="215" t="s">
        <v>19</v>
      </c>
      <c r="B20" s="376">
        <f>+'2.sz.mell.'!C74</f>
        <v>243566668</v>
      </c>
      <c r="C20" s="383">
        <f>16000000+137000000-C25</f>
        <v>152476284</v>
      </c>
      <c r="D20" s="384">
        <f>13000000+140000000-D25</f>
        <v>152449986</v>
      </c>
      <c r="E20" s="385">
        <f>150000000-E25</f>
        <v>149471743</v>
      </c>
    </row>
    <row r="21" spans="1:8" ht="15" customHeight="1">
      <c r="A21" s="215" t="s">
        <v>492</v>
      </c>
      <c r="B21" s="376">
        <f>+'2.sz.mell.'!C76</f>
        <v>0</v>
      </c>
      <c r="C21" s="383">
        <v>0</v>
      </c>
      <c r="D21" s="384">
        <v>0</v>
      </c>
      <c r="E21" s="385">
        <v>0</v>
      </c>
    </row>
    <row r="22" spans="1:8" ht="15" customHeight="1">
      <c r="A22" s="215" t="s">
        <v>187</v>
      </c>
      <c r="B22" s="376">
        <f>+'2.sz.mell.'!C75</f>
        <v>4767000</v>
      </c>
      <c r="C22" s="383">
        <v>4000000</v>
      </c>
      <c r="D22" s="384">
        <v>5000000</v>
      </c>
      <c r="E22" s="385">
        <v>6000000</v>
      </c>
    </row>
    <row r="23" spans="1:8" ht="15" customHeight="1">
      <c r="A23" s="215" t="s">
        <v>112</v>
      </c>
      <c r="B23" s="376">
        <f>+'2.sz.mell.'!C79+'2.sz.mell.'!C80</f>
        <v>84567133</v>
      </c>
      <c r="C23" s="383">
        <v>76000000</v>
      </c>
      <c r="D23" s="384">
        <v>78000000</v>
      </c>
      <c r="E23" s="385">
        <v>82000000</v>
      </c>
    </row>
    <row r="24" spans="1:8" ht="15" customHeight="1">
      <c r="A24" s="215" t="s">
        <v>336</v>
      </c>
      <c r="B24" s="376">
        <f>+'2.sz.mell.'!C77</f>
        <v>10420711</v>
      </c>
      <c r="C24" s="383">
        <v>0</v>
      </c>
      <c r="D24" s="384">
        <v>0</v>
      </c>
      <c r="E24" s="385">
        <v>0</v>
      </c>
    </row>
    <row r="25" spans="1:8" ht="15" customHeight="1">
      <c r="A25" s="215" t="s">
        <v>491</v>
      </c>
      <c r="B25" s="376">
        <f>+'2.sz.mell.'!C78</f>
        <v>1643568</v>
      </c>
      <c r="C25" s="535">
        <v>523716</v>
      </c>
      <c r="D25" s="384">
        <v>550014</v>
      </c>
      <c r="E25" s="385">
        <v>528257</v>
      </c>
    </row>
    <row r="26" spans="1:8" ht="15" customHeight="1">
      <c r="A26" s="215" t="s">
        <v>113</v>
      </c>
      <c r="B26" s="376">
        <f>+'2.sz.mell.'!C82+'2.sz.mell.'!C83</f>
        <v>107151973</v>
      </c>
      <c r="C26" s="383">
        <v>5000000</v>
      </c>
      <c r="D26" s="384">
        <v>5000000</v>
      </c>
      <c r="E26" s="385">
        <v>5000000</v>
      </c>
    </row>
    <row r="27" spans="1:8" ht="15" customHeight="1" thickBot="1">
      <c r="A27" s="216" t="s">
        <v>60</v>
      </c>
      <c r="B27" s="377">
        <f>+'2.sz.mell.'!C88</f>
        <v>276571752</v>
      </c>
      <c r="C27" s="386">
        <v>116500000</v>
      </c>
      <c r="D27" s="387">
        <v>77200000</v>
      </c>
      <c r="E27" s="388">
        <v>76000000</v>
      </c>
    </row>
    <row r="28" spans="1:8" ht="15" customHeight="1" thickBot="1">
      <c r="A28" s="217" t="s">
        <v>191</v>
      </c>
      <c r="B28" s="378">
        <f>SUM(B18:B27)</f>
        <v>980573776</v>
      </c>
      <c r="C28" s="389">
        <f t="shared" ref="C28:E28" si="1">SUM(C18:C27)</f>
        <v>565500000</v>
      </c>
      <c r="D28" s="389">
        <f t="shared" si="1"/>
        <v>534200000</v>
      </c>
      <c r="E28" s="389">
        <f t="shared" si="1"/>
        <v>539000000</v>
      </c>
    </row>
    <row r="29" spans="1:8" ht="30" customHeight="1">
      <c r="C29" s="379"/>
      <c r="D29" s="379"/>
      <c r="E29" s="379"/>
      <c r="F29" s="379"/>
      <c r="G29" s="379"/>
      <c r="H29" s="379"/>
    </row>
  </sheetData>
  <mergeCells count="2">
    <mergeCell ref="A1:H1"/>
    <mergeCell ref="A3:H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7"/>
  <sheetViews>
    <sheetView tabSelected="1" zoomScaleNormal="100" workbookViewId="0">
      <selection activeCell="H11" sqref="H11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0">
      <c r="B1" s="721" t="s">
        <v>616</v>
      </c>
      <c r="C1" s="722"/>
      <c r="D1" s="722"/>
      <c r="E1" s="722"/>
      <c r="F1" s="722"/>
      <c r="G1" s="722"/>
      <c r="H1" s="722"/>
    </row>
    <row r="3" spans="2:10">
      <c r="B3" s="713" t="s">
        <v>193</v>
      </c>
      <c r="C3" s="713"/>
      <c r="D3" s="713"/>
      <c r="E3" s="713"/>
      <c r="F3" s="713"/>
      <c r="G3" s="713"/>
      <c r="H3" s="713"/>
      <c r="I3" s="235"/>
    </row>
    <row r="4" spans="2:10" ht="30" customHeight="1">
      <c r="B4" s="723" t="s">
        <v>353</v>
      </c>
      <c r="C4" s="724"/>
      <c r="D4" s="724"/>
      <c r="E4" s="724"/>
      <c r="F4" s="724"/>
      <c r="G4" s="724"/>
      <c r="H4" s="724"/>
      <c r="I4" s="240"/>
      <c r="J4" s="240"/>
    </row>
    <row r="5" spans="2:10" ht="30" customHeight="1">
      <c r="B5" s="288"/>
      <c r="C5" s="289"/>
      <c r="D5" s="518"/>
      <c r="E5" s="289"/>
      <c r="F5" s="289"/>
      <c r="G5" s="289"/>
      <c r="H5" s="289"/>
      <c r="I5" s="289"/>
      <c r="J5" s="289"/>
    </row>
    <row r="6" spans="2:10">
      <c r="B6" s="235"/>
      <c r="C6" s="235"/>
      <c r="D6" s="235"/>
      <c r="E6" s="235"/>
      <c r="F6" s="235"/>
      <c r="G6" s="306" t="s">
        <v>322</v>
      </c>
      <c r="I6" s="235"/>
    </row>
    <row r="7" spans="2:10">
      <c r="B7" s="236"/>
      <c r="C7" s="614">
        <v>2019</v>
      </c>
      <c r="D7" s="390">
        <v>2020</v>
      </c>
      <c r="E7" s="390">
        <v>2021</v>
      </c>
      <c r="F7" s="390">
        <v>2022</v>
      </c>
      <c r="G7" s="390">
        <v>2023</v>
      </c>
    </row>
    <row r="8" spans="2:10">
      <c r="B8" s="536"/>
      <c r="C8" s="533" t="s">
        <v>383</v>
      </c>
      <c r="D8" s="533" t="s">
        <v>383</v>
      </c>
      <c r="E8" s="533" t="s">
        <v>383</v>
      </c>
      <c r="F8" s="533" t="s">
        <v>383</v>
      </c>
      <c r="G8" s="533" t="s">
        <v>383</v>
      </c>
    </row>
    <row r="9" spans="2:10">
      <c r="B9" s="237" t="s">
        <v>57</v>
      </c>
      <c r="C9" s="329"/>
      <c r="D9" s="393"/>
      <c r="E9" s="393"/>
      <c r="F9" s="393"/>
      <c r="G9" s="393"/>
    </row>
    <row r="10" spans="2:10">
      <c r="B10" s="236" t="s">
        <v>200</v>
      </c>
      <c r="C10" s="391">
        <f>+'2.sz.mell.'!C38+'2.sz.mell.'!C37</f>
        <v>49200000</v>
      </c>
      <c r="D10" s="391">
        <v>45000000</v>
      </c>
      <c r="E10" s="391">
        <v>45000000</v>
      </c>
      <c r="F10" s="391">
        <v>40000000</v>
      </c>
      <c r="G10" s="391">
        <v>40000000</v>
      </c>
    </row>
    <row r="11" spans="2:10" ht="45">
      <c r="B11" s="238" t="s">
        <v>201</v>
      </c>
      <c r="C11" s="392">
        <v>0</v>
      </c>
      <c r="D11" s="392">
        <v>0</v>
      </c>
      <c r="E11" s="392">
        <v>0</v>
      </c>
      <c r="F11" s="392">
        <v>0</v>
      </c>
      <c r="G11" s="392">
        <v>0</v>
      </c>
    </row>
    <row r="12" spans="2:10" ht="16.5" customHeight="1">
      <c r="B12" s="238" t="s">
        <v>202</v>
      </c>
      <c r="C12" s="391">
        <f>+'5 b.sz.mell.'!D16+'5 b.sz.mell.'!D17</f>
        <v>13500000</v>
      </c>
      <c r="D12" s="391">
        <v>11000000</v>
      </c>
      <c r="E12" s="391">
        <v>11000000</v>
      </c>
      <c r="F12" s="391">
        <v>11000000</v>
      </c>
      <c r="G12" s="391">
        <v>11000000</v>
      </c>
    </row>
    <row r="13" spans="2:10" ht="45" customHeight="1">
      <c r="B13" s="238" t="s">
        <v>203</v>
      </c>
      <c r="C13" s="392">
        <v>0</v>
      </c>
      <c r="D13" s="392">
        <v>0</v>
      </c>
      <c r="E13" s="392">
        <v>0</v>
      </c>
      <c r="F13" s="392">
        <v>0</v>
      </c>
      <c r="G13" s="392">
        <v>0</v>
      </c>
    </row>
    <row r="14" spans="2:10">
      <c r="B14" s="238" t="s">
        <v>204</v>
      </c>
      <c r="C14" s="391">
        <f>+'2.sz.mell.'!C39</f>
        <v>100000</v>
      </c>
      <c r="D14" s="391">
        <f>+'2.sz.mell.'!D39</f>
        <v>0</v>
      </c>
      <c r="E14" s="391">
        <f>+'2.sz.mell.'!E39</f>
        <v>0</v>
      </c>
      <c r="F14" s="391">
        <f>+'2.sz.mell.'!F39</f>
        <v>0</v>
      </c>
      <c r="G14" s="391">
        <f>+'2.sz.mell.'!G39</f>
        <v>0</v>
      </c>
    </row>
    <row r="15" spans="2:10" ht="15" customHeight="1">
      <c r="B15" s="238" t="s">
        <v>205</v>
      </c>
      <c r="C15" s="391">
        <v>0</v>
      </c>
      <c r="D15" s="391">
        <v>0</v>
      </c>
      <c r="E15" s="391">
        <v>0</v>
      </c>
      <c r="F15" s="391">
        <v>0</v>
      </c>
      <c r="G15" s="391">
        <v>0</v>
      </c>
    </row>
    <row r="16" spans="2:10">
      <c r="B16" s="239" t="s">
        <v>206</v>
      </c>
      <c r="C16" s="391">
        <f t="shared" ref="C16:G16" si="0">SUM(C10:C15)</f>
        <v>62800000</v>
      </c>
      <c r="D16" s="391">
        <f t="shared" si="0"/>
        <v>56000000</v>
      </c>
      <c r="E16" s="391">
        <f t="shared" si="0"/>
        <v>56000000</v>
      </c>
      <c r="F16" s="391">
        <f t="shared" si="0"/>
        <v>51000000</v>
      </c>
      <c r="G16" s="391">
        <f t="shared" si="0"/>
        <v>51000000</v>
      </c>
    </row>
    <row r="17" spans="2:7">
      <c r="B17" s="238"/>
      <c r="C17" s="391"/>
      <c r="D17" s="391"/>
      <c r="E17" s="391"/>
      <c r="F17" s="391"/>
      <c r="G17" s="391"/>
    </row>
    <row r="18" spans="2:7">
      <c r="B18" s="236"/>
      <c r="C18" s="391"/>
      <c r="D18" s="391"/>
      <c r="E18" s="391"/>
      <c r="F18" s="391"/>
      <c r="G18" s="391"/>
    </row>
    <row r="19" spans="2:7">
      <c r="B19" s="237" t="s">
        <v>207</v>
      </c>
      <c r="C19" s="391"/>
      <c r="D19" s="391"/>
      <c r="E19" s="391"/>
      <c r="F19" s="391"/>
      <c r="G19" s="391"/>
    </row>
    <row r="20" spans="2:7">
      <c r="B20" s="238" t="s">
        <v>208</v>
      </c>
      <c r="C20" s="391">
        <v>0</v>
      </c>
      <c r="D20" s="391">
        <v>0</v>
      </c>
      <c r="E20" s="391">
        <v>0</v>
      </c>
      <c r="F20" s="391">
        <v>0</v>
      </c>
      <c r="G20" s="391">
        <v>0</v>
      </c>
    </row>
    <row r="21" spans="2:7">
      <c r="B21" s="238" t="s">
        <v>209</v>
      </c>
      <c r="C21" s="391">
        <v>0</v>
      </c>
      <c r="D21" s="391">
        <v>0</v>
      </c>
      <c r="E21" s="391">
        <v>0</v>
      </c>
      <c r="F21" s="391">
        <v>0</v>
      </c>
      <c r="G21" s="391">
        <v>0</v>
      </c>
    </row>
    <row r="22" spans="2:7">
      <c r="B22" s="238" t="s">
        <v>210</v>
      </c>
      <c r="C22" s="391">
        <v>0</v>
      </c>
      <c r="D22" s="391">
        <v>0</v>
      </c>
      <c r="E22" s="391">
        <v>0</v>
      </c>
      <c r="F22" s="391">
        <v>0</v>
      </c>
      <c r="G22" s="391">
        <v>0</v>
      </c>
    </row>
    <row r="23" spans="2:7">
      <c r="B23" s="238" t="s">
        <v>211</v>
      </c>
      <c r="C23" s="391">
        <f>+'14.sz.mell.'!B13</f>
        <v>1581078</v>
      </c>
      <c r="D23" s="391">
        <f>+'14.sz.mell.'!C13</f>
        <v>749867</v>
      </c>
      <c r="E23" s="391">
        <f>+'14.sz.mell.'!D13</f>
        <v>749866.00000000012</v>
      </c>
      <c r="F23" s="391">
        <f>+'14.sz.mell.'!E13</f>
        <v>62489</v>
      </c>
      <c r="G23" s="391">
        <v>0</v>
      </c>
    </row>
    <row r="24" spans="2:7" ht="30.75" customHeight="1">
      <c r="B24" s="238" t="s">
        <v>212</v>
      </c>
      <c r="C24" s="392">
        <v>0</v>
      </c>
      <c r="D24" s="392">
        <v>0</v>
      </c>
      <c r="E24" s="392">
        <v>0</v>
      </c>
      <c r="F24" s="392">
        <v>0</v>
      </c>
      <c r="G24" s="392">
        <v>0</v>
      </c>
    </row>
    <row r="25" spans="2:7" ht="30">
      <c r="B25" s="238" t="s">
        <v>213</v>
      </c>
      <c r="C25" s="392">
        <v>0</v>
      </c>
      <c r="D25" s="392">
        <v>0</v>
      </c>
      <c r="E25" s="392">
        <v>0</v>
      </c>
      <c r="F25" s="392">
        <v>0</v>
      </c>
      <c r="G25" s="392">
        <v>0</v>
      </c>
    </row>
    <row r="26" spans="2:7" ht="18.75" customHeight="1">
      <c r="B26" s="238" t="s">
        <v>214</v>
      </c>
      <c r="C26" s="391">
        <f>+'13.sz.mell'!B10</f>
        <v>1908000</v>
      </c>
      <c r="D26" s="391">
        <f>+'13.sz.mell'!C10</f>
        <v>1900000</v>
      </c>
      <c r="E26" s="391">
        <f>+'13.sz.mell'!D10</f>
        <v>1850000</v>
      </c>
      <c r="F26" s="391">
        <f>+'13.sz.mell'!E10</f>
        <v>1800000</v>
      </c>
      <c r="G26" s="391">
        <f>+'13.sz.mell'!F10</f>
        <v>1750000</v>
      </c>
    </row>
    <row r="27" spans="2:7">
      <c r="B27" s="239" t="s">
        <v>206</v>
      </c>
      <c r="C27" s="391">
        <f t="shared" ref="C27:G27" si="1">SUM(C20:C26)</f>
        <v>3489078</v>
      </c>
      <c r="D27" s="391">
        <f t="shared" si="1"/>
        <v>2649867</v>
      </c>
      <c r="E27" s="391">
        <f t="shared" si="1"/>
        <v>2599866</v>
      </c>
      <c r="F27" s="391">
        <f t="shared" si="1"/>
        <v>1862489</v>
      </c>
      <c r="G27" s="391">
        <f t="shared" si="1"/>
        <v>1750000</v>
      </c>
    </row>
  </sheetData>
  <mergeCells count="3">
    <mergeCell ref="B1:H1"/>
    <mergeCell ref="B4:H4"/>
    <mergeCell ref="B3:H3"/>
  </mergeCells>
  <phoneticPr fontId="0" type="noConversion"/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7"/>
  <sheetViews>
    <sheetView view="pageBreakPreview" zoomScale="140" zoomScaleNormal="140" zoomScaleSheetLayoutView="140" workbookViewId="0">
      <selection activeCell="F3" sqref="F3"/>
    </sheetView>
  </sheetViews>
  <sheetFormatPr defaultRowHeight="15.75"/>
  <cols>
    <col min="1" max="1" width="1" style="2" customWidth="1"/>
    <col min="2" max="2" width="42.5703125" style="2" customWidth="1"/>
    <col min="3" max="4" width="13.5703125" style="2" customWidth="1"/>
    <col min="5" max="5" width="13" style="2" customWidth="1"/>
    <col min="6" max="16384" width="9.140625" style="2"/>
  </cols>
  <sheetData>
    <row r="1" spans="1:16" ht="22.5" customHeight="1">
      <c r="A1" s="621" t="s">
        <v>598</v>
      </c>
      <c r="B1" s="621"/>
      <c r="C1" s="621"/>
      <c r="D1" s="621"/>
      <c r="E1" s="1"/>
      <c r="F1" s="1"/>
    </row>
    <row r="2" spans="1:16"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2.25" customHeight="1">
      <c r="A3" s="638" t="s">
        <v>509</v>
      </c>
      <c r="B3" s="638"/>
      <c r="C3" s="638"/>
      <c r="D3" s="638"/>
      <c r="E3" s="285"/>
      <c r="F3" s="224"/>
    </row>
    <row r="4" spans="1:16">
      <c r="B4" s="636"/>
      <c r="C4" s="636"/>
      <c r="D4" s="636"/>
    </row>
    <row r="5" spans="1:16">
      <c r="C5" s="637"/>
      <c r="D5" s="637"/>
    </row>
    <row r="6" spans="1:16" s="4" customFormat="1" ht="21" customHeight="1">
      <c r="B6" s="635" t="s">
        <v>0</v>
      </c>
      <c r="C6" s="635"/>
      <c r="D6" s="635"/>
      <c r="E6" s="635"/>
      <c r="F6" s="5"/>
    </row>
    <row r="7" spans="1:16" s="4" customFormat="1" ht="42" customHeight="1" thickBot="1">
      <c r="B7" s="281" t="s">
        <v>1</v>
      </c>
      <c r="C7" s="282" t="s">
        <v>323</v>
      </c>
      <c r="D7" s="282" t="s">
        <v>354</v>
      </c>
      <c r="E7" s="282" t="s">
        <v>510</v>
      </c>
    </row>
    <row r="8" spans="1:16" s="5" customFormat="1" ht="15" customHeight="1">
      <c r="B8" s="6" t="s">
        <v>2</v>
      </c>
      <c r="C8" s="293">
        <v>37599000</v>
      </c>
      <c r="D8" s="293">
        <v>51891000</v>
      </c>
      <c r="E8" s="293">
        <f>+'2.sz.mell.'!C55</f>
        <v>55885000</v>
      </c>
    </row>
    <row r="9" spans="1:16" s="5" customFormat="1" ht="15" customHeight="1">
      <c r="B9" s="7" t="s">
        <v>326</v>
      </c>
      <c r="C9" s="294">
        <v>42850000</v>
      </c>
      <c r="D9" s="294">
        <v>59270000</v>
      </c>
      <c r="E9" s="294">
        <f>+'2.sz.mell.'!C43</f>
        <v>59270000</v>
      </c>
    </row>
    <row r="10" spans="1:16" s="5" customFormat="1" ht="15" customHeight="1">
      <c r="B10" s="8" t="s">
        <v>321</v>
      </c>
      <c r="C10" s="295">
        <v>277309685</v>
      </c>
      <c r="D10" s="450">
        <f>268051083+318000</f>
        <v>268369083</v>
      </c>
      <c r="E10" s="450">
        <f>+'2.sz.mell.'!C25+'2.sz.mell.'!C57</f>
        <v>285025510</v>
      </c>
    </row>
    <row r="11" spans="1:16" s="5" customFormat="1" ht="15" customHeight="1">
      <c r="B11" s="8" t="s">
        <v>327</v>
      </c>
      <c r="C11" s="295">
        <v>33400115</v>
      </c>
      <c r="D11" s="450">
        <f>24579725</f>
        <v>24579725</v>
      </c>
      <c r="E11" s="450">
        <f>+'2.sz.mell.'!C36</f>
        <v>54625927</v>
      </c>
    </row>
    <row r="12" spans="1:16" s="5" customFormat="1" ht="15" customHeight="1">
      <c r="B12" s="8" t="s">
        <v>3</v>
      </c>
      <c r="C12" s="295">
        <v>12600000</v>
      </c>
      <c r="D12" s="295">
        <v>13848000</v>
      </c>
      <c r="E12" s="295">
        <f>+'2.sz.mell.'!C26</f>
        <v>14981900</v>
      </c>
    </row>
    <row r="13" spans="1:16" s="5" customFormat="1" ht="15" customHeight="1">
      <c r="B13" s="9" t="s">
        <v>4</v>
      </c>
      <c r="C13" s="296">
        <v>47523000</v>
      </c>
      <c r="D13" s="296">
        <v>81549342</v>
      </c>
      <c r="E13" s="296">
        <f>+'2.sz.mell.'!C63-'3.sz.mell.'!E23</f>
        <v>215097476</v>
      </c>
    </row>
    <row r="14" spans="1:16" s="5" customFormat="1" ht="15" customHeight="1">
      <c r="B14" s="16" t="s">
        <v>349</v>
      </c>
      <c r="C14" s="296">
        <v>0</v>
      </c>
      <c r="D14" s="296">
        <v>0</v>
      </c>
      <c r="E14" s="296">
        <v>0</v>
      </c>
    </row>
    <row r="15" spans="1:16" s="5" customFormat="1" ht="15" customHeight="1" thickBot="1">
      <c r="B15" s="9" t="s">
        <v>5</v>
      </c>
      <c r="C15" s="296">
        <v>0</v>
      </c>
      <c r="D15" s="296">
        <v>0</v>
      </c>
      <c r="E15" s="296">
        <v>0</v>
      </c>
    </row>
    <row r="16" spans="1:16" s="10" customFormat="1" ht="15" customHeight="1" thickBot="1">
      <c r="B16" s="11" t="s">
        <v>6</v>
      </c>
      <c r="C16" s="297">
        <f>C8+C9+C10+C11+C13+C15</f>
        <v>438681800</v>
      </c>
      <c r="D16" s="297">
        <f>D8+D9+D10+D11+D13+D15</f>
        <v>485659150</v>
      </c>
      <c r="E16" s="297">
        <f>E8+E9+E10+E11+E13+E15</f>
        <v>669903913</v>
      </c>
    </row>
    <row r="17" spans="2:5" s="5" customFormat="1" ht="15" customHeight="1">
      <c r="B17" s="12" t="s">
        <v>7</v>
      </c>
      <c r="C17" s="293">
        <v>1500000</v>
      </c>
      <c r="D17" s="293">
        <v>0</v>
      </c>
      <c r="E17" s="293">
        <v>0</v>
      </c>
    </row>
    <row r="18" spans="2:5" s="5" customFormat="1" ht="15" customHeight="1">
      <c r="B18" s="8" t="s">
        <v>8</v>
      </c>
      <c r="C18" s="294">
        <v>0</v>
      </c>
      <c r="D18" s="294">
        <v>0</v>
      </c>
      <c r="E18" s="294">
        <v>0</v>
      </c>
    </row>
    <row r="19" spans="2:5" s="5" customFormat="1" ht="15" customHeight="1">
      <c r="B19" s="8" t="s">
        <v>9</v>
      </c>
      <c r="C19" s="295">
        <v>60200000</v>
      </c>
      <c r="D19" s="295"/>
      <c r="E19" s="295"/>
    </row>
    <row r="20" spans="2:5" s="5" customFormat="1" ht="15" customHeight="1">
      <c r="B20" s="8" t="s">
        <v>10</v>
      </c>
      <c r="C20" s="295">
        <v>0</v>
      </c>
      <c r="D20" s="295">
        <f>246525100+32758134</f>
        <v>279283234</v>
      </c>
      <c r="E20" s="295">
        <f>+'2.sz.mell.'!C62</f>
        <v>108818441</v>
      </c>
    </row>
    <row r="21" spans="2:5" s="5" customFormat="1" ht="15" customHeight="1">
      <c r="B21" s="8" t="s">
        <v>11</v>
      </c>
      <c r="C21" s="295">
        <v>200000</v>
      </c>
      <c r="D21" s="295">
        <v>0</v>
      </c>
      <c r="E21" s="295">
        <v>0</v>
      </c>
    </row>
    <row r="22" spans="2:5" s="5" customFormat="1" ht="15" customHeight="1">
      <c r="B22" s="8" t="s">
        <v>12</v>
      </c>
      <c r="C22" s="295">
        <v>0</v>
      </c>
      <c r="D22" s="295">
        <v>0</v>
      </c>
      <c r="E22" s="295">
        <v>0</v>
      </c>
    </row>
    <row r="23" spans="2:5" s="5" customFormat="1" ht="15" customHeight="1" thickBot="1">
      <c r="B23" s="9" t="s">
        <v>13</v>
      </c>
      <c r="C23" s="296">
        <v>23480000</v>
      </c>
      <c r="D23" s="296">
        <v>83953371</v>
      </c>
      <c r="E23" s="296">
        <v>201851422</v>
      </c>
    </row>
    <row r="24" spans="2:5" s="10" customFormat="1" ht="15" customHeight="1" thickBot="1">
      <c r="B24" s="11" t="s">
        <v>14</v>
      </c>
      <c r="C24" s="297">
        <f>SUM(C17:C23)</f>
        <v>85380000</v>
      </c>
      <c r="D24" s="297">
        <f>SUM(D17:D23)</f>
        <v>363236605</v>
      </c>
      <c r="E24" s="297">
        <f>SUM(E17:E23)</f>
        <v>310669863</v>
      </c>
    </row>
    <row r="25" spans="2:5" s="10" customFormat="1" ht="15" customHeight="1" thickBot="1">
      <c r="B25" s="13" t="s">
        <v>15</v>
      </c>
      <c r="C25" s="298">
        <f>SUM(C16,C24)</f>
        <v>524061800</v>
      </c>
      <c r="D25" s="298">
        <f>+D24+D16</f>
        <v>848895755</v>
      </c>
      <c r="E25" s="298">
        <f>+E24+E16</f>
        <v>980573776</v>
      </c>
    </row>
    <row r="26" spans="2:5" s="10" customFormat="1" ht="15" customHeight="1">
      <c r="B26" s="279"/>
      <c r="C26" s="280"/>
      <c r="D26" s="280"/>
    </row>
    <row r="27" spans="2:5" s="4" customFormat="1" ht="15" customHeight="1"/>
    <row r="28" spans="2:5" s="4" customFormat="1" ht="15" customHeight="1">
      <c r="C28" s="637"/>
      <c r="D28" s="637"/>
    </row>
    <row r="29" spans="2:5" s="4" customFormat="1" ht="21" customHeight="1">
      <c r="B29" s="635" t="s">
        <v>16</v>
      </c>
      <c r="C29" s="635"/>
      <c r="D29" s="635"/>
      <c r="E29" s="635"/>
    </row>
    <row r="30" spans="2:5" s="4" customFormat="1" ht="39" thickBot="1">
      <c r="B30" s="281" t="s">
        <v>1</v>
      </c>
      <c r="C30" s="282" t="s">
        <v>323</v>
      </c>
      <c r="D30" s="282" t="s">
        <v>354</v>
      </c>
      <c r="E30" s="282" t="s">
        <v>511</v>
      </c>
    </row>
    <row r="31" spans="2:5" s="4" customFormat="1" ht="15" customHeight="1">
      <c r="B31" s="14" t="s">
        <v>17</v>
      </c>
      <c r="C31" s="299">
        <v>168006000</v>
      </c>
      <c r="D31" s="299">
        <v>172604200</v>
      </c>
      <c r="E31" s="299">
        <f>+'5.a sz.mell.'!D63</f>
        <v>212285909</v>
      </c>
    </row>
    <row r="32" spans="2:5" s="4" customFormat="1" ht="15" customHeight="1">
      <c r="B32" s="15" t="s">
        <v>18</v>
      </c>
      <c r="C32" s="300">
        <v>35676000</v>
      </c>
      <c r="D32" s="300">
        <v>32695500</v>
      </c>
      <c r="E32" s="300">
        <f>+'5.a sz.mell.'!E63</f>
        <v>39599062</v>
      </c>
    </row>
    <row r="33" spans="2:5" s="4" customFormat="1" ht="15" customHeight="1">
      <c r="B33" s="15" t="s">
        <v>19</v>
      </c>
      <c r="C33" s="300">
        <v>135888000</v>
      </c>
      <c r="D33" s="300">
        <v>135629000</v>
      </c>
      <c r="E33" s="300">
        <f>+'5.a sz.mell.'!F63</f>
        <v>243566668</v>
      </c>
    </row>
    <row r="34" spans="2:5" s="4" customFormat="1" ht="15" customHeight="1">
      <c r="B34" s="15" t="s">
        <v>20</v>
      </c>
      <c r="C34" s="300">
        <v>74910000</v>
      </c>
      <c r="D34" s="300">
        <f>72104709+2880000</f>
        <v>74984709</v>
      </c>
      <c r="E34" s="300">
        <f>+'2.sz.mell.'!C79+'2.sz.mell.'!C80</f>
        <v>84567133</v>
      </c>
    </row>
    <row r="35" spans="2:5" s="4" customFormat="1" ht="15" customHeight="1">
      <c r="B35" s="16" t="s">
        <v>324</v>
      </c>
      <c r="C35" s="300">
        <v>3000000</v>
      </c>
      <c r="D35" s="300">
        <v>3781000</v>
      </c>
      <c r="E35" s="300">
        <f>+'5.a sz.mell.'!H63</f>
        <v>4767000</v>
      </c>
    </row>
    <row r="36" spans="2:5" s="4" customFormat="1" ht="15" customHeight="1">
      <c r="B36" s="16" t="s">
        <v>473</v>
      </c>
      <c r="C36" s="301">
        <v>0</v>
      </c>
      <c r="D36" s="301">
        <v>0</v>
      </c>
      <c r="E36" s="301">
        <f>+'2.sz.mell.'!C76</f>
        <v>0</v>
      </c>
    </row>
    <row r="37" spans="2:5" s="4" customFormat="1" ht="15" customHeight="1">
      <c r="B37" s="16" t="s">
        <v>325</v>
      </c>
      <c r="C37" s="301">
        <v>9097933</v>
      </c>
      <c r="D37" s="301">
        <v>9649634</v>
      </c>
      <c r="E37" s="301">
        <f>+'5.a sz.mell.'!J63</f>
        <v>10420711</v>
      </c>
    </row>
    <row r="38" spans="2:5" s="4" customFormat="1" ht="15" customHeight="1">
      <c r="B38" s="16" t="s">
        <v>474</v>
      </c>
      <c r="C38" s="301">
        <v>0</v>
      </c>
      <c r="D38" s="301">
        <v>0</v>
      </c>
      <c r="E38" s="301">
        <f>+'2.sz.mell.'!C78</f>
        <v>1643568</v>
      </c>
    </row>
    <row r="39" spans="2:5" s="4" customFormat="1" ht="15" customHeight="1">
      <c r="B39" s="16" t="s">
        <v>21</v>
      </c>
      <c r="C39" s="301">
        <v>2000000</v>
      </c>
      <c r="D39" s="301">
        <v>1415952</v>
      </c>
      <c r="E39" s="301">
        <f>+'2.sz.mell.'!C82</f>
        <v>0</v>
      </c>
    </row>
    <row r="40" spans="2:5" s="4" customFormat="1" ht="15" customHeight="1" thickBot="1">
      <c r="B40" s="16" t="s">
        <v>22</v>
      </c>
      <c r="C40" s="302">
        <v>1000867</v>
      </c>
      <c r="D40" s="302">
        <v>90687347</v>
      </c>
      <c r="E40" s="302">
        <f>+'2.sz.mell.'!C83</f>
        <v>107151973</v>
      </c>
    </row>
    <row r="41" spans="2:5" s="4" customFormat="1" ht="15" customHeight="1" thickBot="1">
      <c r="B41" s="17" t="s">
        <v>23</v>
      </c>
      <c r="C41" s="303">
        <f>SUM(C31:C40)</f>
        <v>429578800</v>
      </c>
      <c r="D41" s="303">
        <f>SUM(D31:D40)</f>
        <v>521447342</v>
      </c>
      <c r="E41" s="303">
        <f>SUM(E31:E40)</f>
        <v>704002024</v>
      </c>
    </row>
    <row r="42" spans="2:5" s="4" customFormat="1" ht="15" customHeight="1">
      <c r="B42" s="14" t="s">
        <v>24</v>
      </c>
      <c r="C42" s="299">
        <v>86864000</v>
      </c>
      <c r="D42" s="299">
        <v>50435066</v>
      </c>
      <c r="E42" s="299">
        <f>+'5.a sz.mell.'!M63</f>
        <v>42859926</v>
      </c>
    </row>
    <row r="43" spans="2:5" s="4" customFormat="1" ht="15" customHeight="1">
      <c r="B43" s="15" t="s">
        <v>304</v>
      </c>
      <c r="C43" s="300">
        <v>7619000</v>
      </c>
      <c r="D43" s="300">
        <v>277013347</v>
      </c>
      <c r="E43" s="300">
        <f>+'5.a sz.mell.'!L63</f>
        <v>233711826</v>
      </c>
    </row>
    <row r="44" spans="2:5" s="4" customFormat="1" ht="15" customHeight="1" thickBot="1">
      <c r="B44" s="16" t="s">
        <v>303</v>
      </c>
      <c r="C44" s="301">
        <v>0</v>
      </c>
      <c r="D44" s="301">
        <v>0</v>
      </c>
      <c r="E44" s="301">
        <v>0</v>
      </c>
    </row>
    <row r="45" spans="2:5" s="4" customFormat="1" ht="15" customHeight="1" thickBot="1">
      <c r="B45" s="17" t="s">
        <v>25</v>
      </c>
      <c r="C45" s="303">
        <f>SUM(C42:C44)</f>
        <v>94483000</v>
      </c>
      <c r="D45" s="303">
        <f>SUM(D42:D44)</f>
        <v>327448413</v>
      </c>
      <c r="E45" s="303">
        <f>SUM(E42:E44)</f>
        <v>276571752</v>
      </c>
    </row>
    <row r="46" spans="2:5" s="19" customFormat="1" ht="18.75" customHeight="1" thickBot="1">
      <c r="B46" s="18" t="s">
        <v>26</v>
      </c>
      <c r="C46" s="304">
        <f>SUM(C41,C45)</f>
        <v>524061800</v>
      </c>
      <c r="D46" s="304">
        <f>SUM(D41,D45)</f>
        <v>848895755</v>
      </c>
      <c r="E46" s="304">
        <f>SUM(E41,E45)</f>
        <v>980573776</v>
      </c>
    </row>
    <row r="47" spans="2:5">
      <c r="E47" s="519"/>
    </row>
  </sheetData>
  <mergeCells count="7">
    <mergeCell ref="B29:E29"/>
    <mergeCell ref="B6:E6"/>
    <mergeCell ref="A1:D1"/>
    <mergeCell ref="B4:D4"/>
    <mergeCell ref="C5:D5"/>
    <mergeCell ref="C28:D28"/>
    <mergeCell ref="A3:D3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28"/>
  <sheetViews>
    <sheetView view="pageBreakPreview" zoomScaleNormal="100" zoomScaleSheetLayoutView="100" workbookViewId="0">
      <selection activeCell="H16" sqref="H16"/>
    </sheetView>
  </sheetViews>
  <sheetFormatPr defaultRowHeight="15"/>
  <cols>
    <col min="1" max="1" width="4.140625" style="34" bestFit="1" customWidth="1"/>
    <col min="2" max="2" width="40" style="34" customWidth="1"/>
    <col min="3" max="12" width="17.7109375" style="27" customWidth="1"/>
    <col min="13" max="13" width="12.42578125" style="27" bestFit="1" customWidth="1"/>
    <col min="14" max="14" width="14" style="27" bestFit="1" customWidth="1"/>
    <col min="15" max="15" width="10.85546875" style="27" bestFit="1" customWidth="1"/>
    <col min="16" max="16" width="14" style="27" bestFit="1" customWidth="1"/>
    <col min="17" max="17" width="10.85546875" style="27" bestFit="1" customWidth="1"/>
    <col min="18" max="18" width="13.140625" style="27" bestFit="1" customWidth="1"/>
    <col min="19" max="19" width="16.42578125" style="27" customWidth="1"/>
    <col min="20" max="20" width="14.85546875" style="27" customWidth="1"/>
    <col min="21" max="21" width="13.140625" style="27" customWidth="1"/>
    <col min="22" max="22" width="12.28515625" style="27" customWidth="1"/>
    <col min="23" max="23" width="8.42578125" style="27" bestFit="1" customWidth="1"/>
    <col min="24" max="25" width="8.42578125" style="27" customWidth="1"/>
    <col min="26" max="26" width="8.85546875" style="27" bestFit="1" customWidth="1"/>
    <col min="27" max="28" width="8.42578125" style="27" customWidth="1"/>
    <col min="29" max="29" width="8.85546875" style="27" bestFit="1" customWidth="1"/>
    <col min="30" max="31" width="8.42578125" style="27" customWidth="1"/>
    <col min="32" max="32" width="8.42578125" style="27" bestFit="1" customWidth="1"/>
    <col min="33" max="34" width="8.42578125" style="27" customWidth="1"/>
    <col min="35" max="35" width="8.42578125" style="27" bestFit="1" customWidth="1"/>
    <col min="36" max="37" width="8.42578125" style="27" customWidth="1"/>
    <col min="38" max="38" width="8.85546875" style="27" bestFit="1" customWidth="1"/>
    <col min="39" max="16384" width="9.140625" style="21"/>
  </cols>
  <sheetData>
    <row r="1" spans="1:45" ht="15" customHeight="1">
      <c r="A1" s="621" t="s">
        <v>599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44"/>
      <c r="Q1" s="35"/>
      <c r="R1" s="35"/>
      <c r="S1" s="35"/>
      <c r="T1" s="35"/>
      <c r="U1" s="35"/>
      <c r="V1" s="35"/>
      <c r="W1" s="35"/>
      <c r="X1" s="35"/>
      <c r="Y1" s="35"/>
      <c r="Z1" s="35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5" ht="30.75" customHeight="1">
      <c r="A2" s="645" t="s">
        <v>512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134"/>
      <c r="R2" s="134"/>
      <c r="S2" s="134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5" ht="15.75" thickBot="1">
      <c r="A3" s="24"/>
      <c r="B3" s="25"/>
      <c r="C3" s="26"/>
      <c r="D3" s="26"/>
      <c r="E3" s="26"/>
      <c r="F3" s="26"/>
      <c r="G3" s="26"/>
      <c r="H3" s="26"/>
      <c r="I3" s="26"/>
      <c r="J3" s="286" t="s">
        <v>322</v>
      </c>
      <c r="K3" s="26"/>
      <c r="L3" s="26"/>
      <c r="M3" s="26"/>
      <c r="O3" s="26"/>
      <c r="P3" s="26"/>
      <c r="R3" s="26"/>
      <c r="S3" s="26"/>
      <c r="T3" s="26"/>
      <c r="U3" s="26"/>
      <c r="V3" s="26"/>
      <c r="W3" s="26"/>
      <c r="X3" s="26"/>
      <c r="AM3" s="27"/>
      <c r="AN3" s="27"/>
      <c r="AO3" s="27"/>
      <c r="AP3" s="27"/>
      <c r="AQ3" s="27"/>
    </row>
    <row r="4" spans="1:45" ht="24.6" customHeight="1" thickBot="1">
      <c r="A4" s="647" t="s">
        <v>27</v>
      </c>
      <c r="B4" s="648"/>
      <c r="C4" s="648"/>
      <c r="D4" s="648"/>
      <c r="E4" s="648"/>
      <c r="F4" s="648"/>
      <c r="G4" s="648"/>
      <c r="H4" s="648"/>
      <c r="I4" s="648"/>
      <c r="J4" s="648"/>
      <c r="O4" s="305"/>
      <c r="U4" s="28"/>
      <c r="V4" s="28"/>
      <c r="W4" s="28"/>
      <c r="X4" s="28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5" ht="103.15" customHeight="1" thickBot="1">
      <c r="A5" s="646" t="s">
        <v>29</v>
      </c>
      <c r="B5" s="646"/>
      <c r="C5" s="565" t="s">
        <v>30</v>
      </c>
      <c r="D5" s="565" t="s">
        <v>31</v>
      </c>
      <c r="E5" s="565" t="s">
        <v>32</v>
      </c>
      <c r="F5" s="565" t="s">
        <v>475</v>
      </c>
      <c r="G5" s="566" t="s">
        <v>242</v>
      </c>
      <c r="H5" s="565" t="s">
        <v>223</v>
      </c>
      <c r="I5" s="565" t="s">
        <v>386</v>
      </c>
      <c r="J5" s="567" t="s">
        <v>477</v>
      </c>
      <c r="Q5" s="29"/>
      <c r="R5" s="29"/>
      <c r="S5" s="29"/>
      <c r="T5" s="29"/>
      <c r="U5" s="29"/>
      <c r="V5" s="29"/>
      <c r="W5" s="29"/>
      <c r="X5" s="29"/>
      <c r="Y5" s="29"/>
      <c r="Z5" s="642"/>
      <c r="AA5" s="642"/>
      <c r="AB5" s="642"/>
      <c r="AC5" s="30"/>
      <c r="AD5" s="30"/>
      <c r="AE5" s="30"/>
      <c r="AF5" s="21"/>
      <c r="AG5" s="21"/>
      <c r="AH5" s="21"/>
      <c r="AI5" s="21"/>
      <c r="AJ5" s="21"/>
      <c r="AK5" s="21"/>
      <c r="AL5" s="21"/>
    </row>
    <row r="6" spans="1:45" ht="36" customHeight="1" thickBot="1">
      <c r="A6" s="228" t="s">
        <v>36</v>
      </c>
      <c r="B6" s="229"/>
      <c r="C6" s="569" t="s">
        <v>37</v>
      </c>
      <c r="D6" s="569" t="s">
        <v>37</v>
      </c>
      <c r="E6" s="569" t="s">
        <v>37</v>
      </c>
      <c r="F6" s="569" t="s">
        <v>37</v>
      </c>
      <c r="G6" s="569" t="s">
        <v>37</v>
      </c>
      <c r="H6" s="569" t="s">
        <v>37</v>
      </c>
      <c r="I6" s="569" t="s">
        <v>37</v>
      </c>
      <c r="J6" s="569" t="s">
        <v>37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1"/>
      <c r="AE6" s="21"/>
      <c r="AF6" s="21"/>
      <c r="AG6" s="21"/>
      <c r="AH6" s="21"/>
      <c r="AI6" s="21"/>
      <c r="AJ6" s="21"/>
      <c r="AK6" s="21"/>
      <c r="AL6" s="21"/>
    </row>
    <row r="7" spans="1:45" s="483" customFormat="1" ht="30" customHeight="1" thickBot="1">
      <c r="A7" s="467" t="s">
        <v>38</v>
      </c>
      <c r="B7" s="482" t="s">
        <v>193</v>
      </c>
      <c r="C7" s="466">
        <f>+'5 b.sz.mell.'!D37</f>
        <v>32165000</v>
      </c>
      <c r="D7" s="466">
        <f>+'5 b.sz.mell.'!I37</f>
        <v>59200000</v>
      </c>
      <c r="E7" s="466">
        <f>+'5 b.sz.mell.'!E37</f>
        <v>335764084</v>
      </c>
      <c r="F7" s="468">
        <v>0</v>
      </c>
      <c r="G7" s="485">
        <f>+'5 b.sz.mell.'!H37</f>
        <v>0</v>
      </c>
      <c r="H7" s="466">
        <f>+'5 b.sz.mell.'!G37</f>
        <v>415199185</v>
      </c>
      <c r="I7" s="480">
        <f>+C7+D7+E7+F7+G7+H7</f>
        <v>842328269</v>
      </c>
      <c r="J7" s="491">
        <f>+I7-G7</f>
        <v>842328269</v>
      </c>
      <c r="K7" s="27"/>
      <c r="L7" s="27"/>
      <c r="M7" s="27"/>
      <c r="N7" s="27"/>
      <c r="O7" s="2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1"/>
      <c r="AB7" s="31"/>
      <c r="AC7" s="31"/>
    </row>
    <row r="8" spans="1:45" s="483" customFormat="1" ht="30" customHeight="1" thickBot="1">
      <c r="A8" s="467" t="s">
        <v>39</v>
      </c>
      <c r="B8" s="482" t="s">
        <v>40</v>
      </c>
      <c r="C8" s="466">
        <f>+'5 b.sz.mell.'!D42</f>
        <v>1200000</v>
      </c>
      <c r="D8" s="466">
        <f>+'5 b.sz.mell.'!I42</f>
        <v>70000</v>
      </c>
      <c r="E8" s="466">
        <f>+'5 b.sz.mell.'!E42</f>
        <v>947353</v>
      </c>
      <c r="F8" s="468">
        <v>0</v>
      </c>
      <c r="G8" s="485">
        <f>+'5 b.sz.mell.'!H42</f>
        <v>97123414</v>
      </c>
      <c r="H8" s="466">
        <f>+'5 b.sz.mell.'!G42</f>
        <v>133733</v>
      </c>
      <c r="I8" s="480">
        <f>+C8+D8+E8+F8+G8+H8</f>
        <v>99474500</v>
      </c>
      <c r="J8" s="491">
        <f>+I8-G8</f>
        <v>2351086</v>
      </c>
      <c r="K8" s="27"/>
      <c r="L8" s="27"/>
      <c r="M8" s="27"/>
      <c r="N8" s="27"/>
      <c r="O8" s="27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31"/>
      <c r="AB8" s="31"/>
      <c r="AC8" s="31"/>
    </row>
    <row r="9" spans="1:45" s="483" customFormat="1" ht="30" customHeight="1" thickBot="1">
      <c r="A9" s="467" t="s">
        <v>41</v>
      </c>
      <c r="B9" s="482" t="s">
        <v>219</v>
      </c>
      <c r="C9" s="466">
        <f>+'5 b.sz.mell.'!D45</f>
        <v>1250000</v>
      </c>
      <c r="D9" s="466">
        <f>+'5 b.sz.mell.'!I45</f>
        <v>0</v>
      </c>
      <c r="E9" s="466">
        <f>+'5 b.sz.mell.'!E45</f>
        <v>0</v>
      </c>
      <c r="F9" s="468">
        <v>0</v>
      </c>
      <c r="G9" s="485">
        <f>+'5 b.sz.mell.'!H45</f>
        <v>15124465</v>
      </c>
      <c r="H9" s="466">
        <f>+'5 b.sz.mell.'!G45</f>
        <v>364135</v>
      </c>
      <c r="I9" s="480">
        <f>+C9+D9+E9+F9+G9+H9</f>
        <v>16738600</v>
      </c>
      <c r="J9" s="491">
        <f>+I9-G9</f>
        <v>1614135</v>
      </c>
      <c r="K9" s="27"/>
      <c r="L9" s="27"/>
      <c r="M9" s="27"/>
      <c r="N9" s="27"/>
      <c r="O9" s="27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1"/>
      <c r="AB9" s="31"/>
      <c r="AC9" s="31"/>
    </row>
    <row r="10" spans="1:45" s="483" customFormat="1" ht="30" customHeight="1" thickBot="1">
      <c r="A10" s="467" t="s">
        <v>43</v>
      </c>
      <c r="B10" s="482" t="s">
        <v>220</v>
      </c>
      <c r="C10" s="466">
        <f>+'5 b.sz.mell.'!D49</f>
        <v>140000</v>
      </c>
      <c r="D10" s="466">
        <f>+'5 b.sz.mell.'!I49</f>
        <v>0</v>
      </c>
      <c r="E10" s="466">
        <f>+'5 b.sz.mell.'!E49</f>
        <v>2800000</v>
      </c>
      <c r="F10" s="468">
        <v>0</v>
      </c>
      <c r="G10" s="485">
        <f>+'5 b.sz.mell.'!H49</f>
        <v>3439292</v>
      </c>
      <c r="H10" s="466">
        <f>+'5 b.sz.mell.'!G49</f>
        <v>248208</v>
      </c>
      <c r="I10" s="480">
        <f>+C10+D10+E10+F10+G10+H10</f>
        <v>6627500</v>
      </c>
      <c r="J10" s="491">
        <f>+I10-G10</f>
        <v>3188208</v>
      </c>
      <c r="K10" s="27"/>
      <c r="L10" s="27"/>
      <c r="M10" s="27"/>
      <c r="N10" s="27"/>
      <c r="O10" s="27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1"/>
      <c r="AB10" s="31"/>
      <c r="AC10" s="31"/>
    </row>
    <row r="11" spans="1:45" s="483" customFormat="1" ht="30" customHeight="1" thickBot="1">
      <c r="A11" s="467" t="s">
        <v>215</v>
      </c>
      <c r="B11" s="484" t="s">
        <v>224</v>
      </c>
      <c r="C11" s="466">
        <f>+'5 b.sz.mell.'!D59</f>
        <v>21270000</v>
      </c>
      <c r="D11" s="466">
        <f>+'5 b.sz.mell.'!I59</f>
        <v>0</v>
      </c>
      <c r="E11" s="466">
        <f>+'5 b.sz.mell.'!E59</f>
        <v>0</v>
      </c>
      <c r="F11" s="468">
        <v>0</v>
      </c>
      <c r="G11" s="485">
        <f>+'5 b.sz.mell.'!H59</f>
        <v>88274163</v>
      </c>
      <c r="H11" s="466">
        <f>+'5 b.sz.mell.'!G59</f>
        <v>1003637</v>
      </c>
      <c r="I11" s="480">
        <f>+C11+D11+E11+F11+G11+H11</f>
        <v>110547800</v>
      </c>
      <c r="J11" s="491">
        <f>+I11-G11</f>
        <v>22273637</v>
      </c>
      <c r="K11" s="27"/>
      <c r="L11" s="27"/>
      <c r="M11" s="27"/>
      <c r="N11" s="27"/>
      <c r="O11" s="27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1"/>
      <c r="AB11" s="31"/>
      <c r="AC11" s="31"/>
    </row>
    <row r="12" spans="1:45" s="483" customFormat="1" ht="36.75" customHeight="1" thickBot="1">
      <c r="A12" s="643" t="s">
        <v>44</v>
      </c>
      <c r="B12" s="643"/>
      <c r="C12" s="465">
        <f t="shared" ref="C12:G12" si="0">SUM(C7:C11)</f>
        <v>56025000</v>
      </c>
      <c r="D12" s="465">
        <f t="shared" si="0"/>
        <v>59270000</v>
      </c>
      <c r="E12" s="465">
        <f t="shared" si="0"/>
        <v>339511437</v>
      </c>
      <c r="F12" s="465">
        <f t="shared" si="0"/>
        <v>0</v>
      </c>
      <c r="G12" s="465">
        <f t="shared" si="0"/>
        <v>203961334</v>
      </c>
      <c r="H12" s="465">
        <f>SUM(H7:H11)</f>
        <v>416948898</v>
      </c>
      <c r="I12" s="480">
        <f>SUM(I7:I11)</f>
        <v>1075716669</v>
      </c>
      <c r="J12" s="491">
        <f>SUM(J7:J11)</f>
        <v>871755335</v>
      </c>
      <c r="K12" s="27"/>
      <c r="L12" s="27"/>
      <c r="M12" s="27"/>
      <c r="N12" s="27"/>
      <c r="O12" s="27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45">
      <c r="AM13" s="27"/>
      <c r="AN13" s="27"/>
      <c r="AO13" s="27"/>
      <c r="AP13" s="27"/>
      <c r="AQ13" s="27"/>
    </row>
    <row r="14" spans="1:45" hidden="1">
      <c r="D14" s="27">
        <f>+'5 b.sz.mell.'!D60</f>
        <v>56025000</v>
      </c>
      <c r="F14" s="27">
        <f>+'5 b.sz.mell.'!I60</f>
        <v>59270000</v>
      </c>
      <c r="H14" s="27">
        <f>+'5 b.sz.mell.'!E60</f>
        <v>339511437</v>
      </c>
      <c r="L14" s="27">
        <f>+'5 b.sz.mell.'!H60</f>
        <v>203961334</v>
      </c>
      <c r="N14" s="27">
        <f>+'5 b.sz.mell.'!G60</f>
        <v>416948898</v>
      </c>
      <c r="P14" s="27">
        <f>+'5 b.sz.mell.'!J60-'5 b.sz.mell.'!F60</f>
        <v>1075716669</v>
      </c>
      <c r="R14" s="27">
        <f>+'5 b.sz.mell.'!J60-'5 b.sz.mell.'!F60-'5 b.sz.mell.'!H60</f>
        <v>871755335</v>
      </c>
      <c r="AM14" s="27"/>
      <c r="AN14" s="27"/>
      <c r="AO14" s="27"/>
      <c r="AP14" s="27"/>
      <c r="AQ14" s="27"/>
    </row>
    <row r="15" spans="1:45">
      <c r="C15" s="27">
        <f>+'5 b.sz.mell.'!D60</f>
        <v>56025000</v>
      </c>
      <c r="D15" s="27">
        <f>+'5 b.sz.mell.'!I60</f>
        <v>59270000</v>
      </c>
      <c r="E15" s="27">
        <f>+'5 b.sz.mell.'!E60</f>
        <v>339511437</v>
      </c>
      <c r="F15" s="27">
        <v>0</v>
      </c>
      <c r="G15" s="27">
        <f>+'5 b.sz.mell.'!H60</f>
        <v>203961334</v>
      </c>
      <c r="H15" s="27">
        <f>+'5 b.sz.mell.'!G60</f>
        <v>416948898</v>
      </c>
      <c r="I15" s="27">
        <f>+'5 b.sz.mell.'!J60-'5 b.sz.mell.'!F60</f>
        <v>1075716669</v>
      </c>
      <c r="J15" s="27">
        <f>+'5 b.sz.mell.'!J62-'5 b.sz.mell.'!F60</f>
        <v>871755335</v>
      </c>
      <c r="AM15" s="27"/>
      <c r="AN15" s="27"/>
      <c r="AO15" s="27"/>
      <c r="AP15" s="27"/>
      <c r="AQ15" s="27"/>
    </row>
    <row r="16" spans="1:45">
      <c r="AM16" s="27"/>
      <c r="AN16" s="27"/>
      <c r="AO16" s="27"/>
      <c r="AP16" s="27"/>
      <c r="AQ16" s="27"/>
    </row>
    <row r="17" spans="1:45" ht="15.75" customHeight="1" thickBot="1">
      <c r="A17" s="649" t="s">
        <v>28</v>
      </c>
      <c r="B17" s="650"/>
      <c r="C17" s="650"/>
      <c r="D17" s="650"/>
      <c r="E17" s="650"/>
      <c r="F17" s="650"/>
      <c r="G17" s="650"/>
      <c r="H17" s="650"/>
      <c r="I17" s="650"/>
      <c r="J17" s="650"/>
      <c r="K17" s="650"/>
      <c r="L17" s="650"/>
      <c r="M17" s="651"/>
      <c r="N17" s="651"/>
      <c r="O17" s="651"/>
      <c r="P17" s="651"/>
      <c r="Q17" s="651"/>
      <c r="R17" s="651"/>
      <c r="S17" s="651"/>
      <c r="T17" s="651"/>
      <c r="AM17" s="27"/>
      <c r="AN17" s="27"/>
      <c r="AO17" s="27"/>
      <c r="AP17" s="27"/>
      <c r="AQ17" s="27"/>
    </row>
    <row r="18" spans="1:45" ht="99.95" customHeight="1" thickBot="1">
      <c r="A18" s="640" t="s">
        <v>29</v>
      </c>
      <c r="B18" s="641"/>
      <c r="C18" s="544" t="s">
        <v>285</v>
      </c>
      <c r="D18" s="544" t="s">
        <v>221</v>
      </c>
      <c r="E18" s="544" t="s">
        <v>222</v>
      </c>
      <c r="F18" s="544" t="s">
        <v>33</v>
      </c>
      <c r="G18" s="545" t="s">
        <v>243</v>
      </c>
      <c r="H18" s="544" t="s">
        <v>34</v>
      </c>
      <c r="I18" s="544" t="s">
        <v>476</v>
      </c>
      <c r="J18" s="544" t="s">
        <v>325</v>
      </c>
      <c r="K18" s="544" t="s">
        <v>35</v>
      </c>
      <c r="L18" s="568" t="s">
        <v>245</v>
      </c>
      <c r="M18" s="32"/>
      <c r="N18" s="32"/>
      <c r="O18" s="32"/>
      <c r="P18" s="32"/>
      <c r="Q18" s="32"/>
      <c r="R18" s="32"/>
      <c r="S18" s="32"/>
      <c r="T18" s="32"/>
      <c r="AL18" s="21"/>
    </row>
    <row r="19" spans="1:45" ht="26.25" thickBot="1">
      <c r="A19" s="228" t="s">
        <v>36</v>
      </c>
      <c r="B19" s="229"/>
      <c r="C19" s="481" t="s">
        <v>244</v>
      </c>
      <c r="D19" s="481" t="s">
        <v>244</v>
      </c>
      <c r="E19" s="481" t="s">
        <v>244</v>
      </c>
      <c r="F19" s="481" t="s">
        <v>244</v>
      </c>
      <c r="G19" s="481" t="s">
        <v>244</v>
      </c>
      <c r="H19" s="481" t="s">
        <v>244</v>
      </c>
      <c r="I19" s="481" t="s">
        <v>244</v>
      </c>
      <c r="J19" s="481" t="s">
        <v>244</v>
      </c>
      <c r="K19" s="481" t="s">
        <v>244</v>
      </c>
      <c r="L19" s="481" t="s">
        <v>244</v>
      </c>
      <c r="AL19" s="21"/>
    </row>
    <row r="20" spans="1:45" ht="30" customHeight="1" thickBot="1">
      <c r="A20" s="230" t="s">
        <v>38</v>
      </c>
      <c r="B20" s="231" t="s">
        <v>193</v>
      </c>
      <c r="C20" s="466">
        <f>+'5.a sz.mell.'!D41</f>
        <v>89229309</v>
      </c>
      <c r="D20" s="486">
        <f>+'5.a sz.mell.'!E41</f>
        <v>16036262</v>
      </c>
      <c r="E20" s="486">
        <f>+'5.a sz.mell.'!F41</f>
        <v>159216668</v>
      </c>
      <c r="F20" s="486">
        <f>+'5.a sz.mell.'!G41</f>
        <v>84547133</v>
      </c>
      <c r="G20" s="487">
        <f>+'5 b.sz.mell.'!H60</f>
        <v>203961334</v>
      </c>
      <c r="H20" s="486">
        <f>+'5.a sz.mell.'!H63</f>
        <v>4767000</v>
      </c>
      <c r="I20" s="490">
        <f>+'5.a sz.mell.'!K41</f>
        <v>1643568</v>
      </c>
      <c r="J20" s="486">
        <f>+'5.a sz.mell.'!J63</f>
        <v>10420711</v>
      </c>
      <c r="K20" s="488">
        <f t="shared" ref="K20:K24" si="1">+J20+H20+G20+F20+E20+D20+C20+I20</f>
        <v>569821985</v>
      </c>
      <c r="L20" s="489">
        <f t="shared" ref="L20:L25" si="2">+K20-G20</f>
        <v>365860651</v>
      </c>
      <c r="AL20" s="21"/>
    </row>
    <row r="21" spans="1:45" ht="30" customHeight="1" thickBot="1">
      <c r="A21" s="230" t="s">
        <v>39</v>
      </c>
      <c r="B21" s="231" t="s">
        <v>40</v>
      </c>
      <c r="C21" s="466">
        <f>+'5.a sz.mell.'!D45</f>
        <v>71480000</v>
      </c>
      <c r="D21" s="486">
        <f>+'5.a sz.mell.'!E45</f>
        <v>13820000</v>
      </c>
      <c r="E21" s="486">
        <f>+'5.a sz.mell.'!F45</f>
        <v>12850000</v>
      </c>
      <c r="F21" s="486">
        <f>+'5.a sz.mell.'!G45</f>
        <v>0</v>
      </c>
      <c r="G21" s="487"/>
      <c r="H21" s="486">
        <v>0</v>
      </c>
      <c r="I21" s="486">
        <f>+'5.a sz.mell.'!K45</f>
        <v>0</v>
      </c>
      <c r="J21" s="486">
        <v>0</v>
      </c>
      <c r="K21" s="488">
        <f t="shared" si="1"/>
        <v>98150000</v>
      </c>
      <c r="L21" s="489">
        <f t="shared" si="2"/>
        <v>98150000</v>
      </c>
      <c r="AL21" s="21"/>
    </row>
    <row r="22" spans="1:45" ht="30" customHeight="1" thickBot="1">
      <c r="A22" s="230" t="s">
        <v>41</v>
      </c>
      <c r="B22" s="231" t="s">
        <v>42</v>
      </c>
      <c r="C22" s="466">
        <f>+'5.a sz.mell.'!D50</f>
        <v>7326600</v>
      </c>
      <c r="D22" s="486">
        <f>+'5.a sz.mell.'!E50</f>
        <v>1255000</v>
      </c>
      <c r="E22" s="486">
        <f>+'5.a sz.mell.'!F50</f>
        <v>8010000</v>
      </c>
      <c r="F22" s="486">
        <f>+'5.a sz.mell.'!G50</f>
        <v>20000</v>
      </c>
      <c r="G22" s="487"/>
      <c r="H22" s="486">
        <v>0</v>
      </c>
      <c r="I22" s="486">
        <f>+'5.a sz.mell.'!K50</f>
        <v>0</v>
      </c>
      <c r="J22" s="486">
        <v>0</v>
      </c>
      <c r="K22" s="488">
        <f t="shared" si="1"/>
        <v>16611600</v>
      </c>
      <c r="L22" s="489">
        <f t="shared" si="2"/>
        <v>16611600</v>
      </c>
      <c r="AL22" s="21"/>
    </row>
    <row r="23" spans="1:45" ht="30" customHeight="1" thickBot="1">
      <c r="A23" s="230" t="s">
        <v>43</v>
      </c>
      <c r="B23" s="231" t="s">
        <v>220</v>
      </c>
      <c r="C23" s="466">
        <f>+'5.a sz.mell.'!D53</f>
        <v>3350000</v>
      </c>
      <c r="D23" s="486">
        <f>+'5.a sz.mell.'!E53</f>
        <v>650000</v>
      </c>
      <c r="E23" s="486">
        <f>+'5.a sz.mell.'!F53</f>
        <v>2310000</v>
      </c>
      <c r="F23" s="486">
        <v>0</v>
      </c>
      <c r="G23" s="487"/>
      <c r="H23" s="486">
        <v>0</v>
      </c>
      <c r="I23" s="486">
        <f>+'5.a sz.mell.'!K53</f>
        <v>0</v>
      </c>
      <c r="J23" s="486">
        <v>0</v>
      </c>
      <c r="K23" s="488">
        <f t="shared" si="1"/>
        <v>6310000</v>
      </c>
      <c r="L23" s="489">
        <f t="shared" si="2"/>
        <v>6310000</v>
      </c>
      <c r="AL23" s="21"/>
    </row>
    <row r="24" spans="1:45" ht="30" customHeight="1" thickBot="1">
      <c r="A24" s="230" t="s">
        <v>215</v>
      </c>
      <c r="B24" s="232" t="s">
        <v>224</v>
      </c>
      <c r="C24" s="466">
        <f>+'5.a sz.mell.'!D62</f>
        <v>40900000</v>
      </c>
      <c r="D24" s="486">
        <f>+'5.a sz.mell.'!E62</f>
        <v>7837800</v>
      </c>
      <c r="E24" s="486">
        <f>+'5.a sz.mell.'!F62</f>
        <v>61180000</v>
      </c>
      <c r="F24" s="486">
        <v>0</v>
      </c>
      <c r="G24" s="487"/>
      <c r="H24" s="486">
        <v>0</v>
      </c>
      <c r="I24" s="486">
        <f>+'5.a sz.mell.'!K62</f>
        <v>0</v>
      </c>
      <c r="J24" s="486">
        <v>0</v>
      </c>
      <c r="K24" s="488">
        <f t="shared" si="1"/>
        <v>109917800</v>
      </c>
      <c r="L24" s="489">
        <f t="shared" si="2"/>
        <v>109917800</v>
      </c>
      <c r="AL24" s="21"/>
    </row>
    <row r="25" spans="1:45" ht="15.75" thickBot="1">
      <c r="A25" s="639" t="s">
        <v>44</v>
      </c>
      <c r="B25" s="639"/>
      <c r="C25" s="465">
        <f>SUM(C20:C24)</f>
        <v>212285909</v>
      </c>
      <c r="D25" s="490">
        <f>SUM(D20:D24)</f>
        <v>39599062</v>
      </c>
      <c r="E25" s="490">
        <f t="shared" ref="E25" si="3">SUM(E20:E24)</f>
        <v>243566668</v>
      </c>
      <c r="F25" s="490">
        <f t="shared" ref="F25" si="4">SUM(F20:F24)</f>
        <v>84567133</v>
      </c>
      <c r="G25" s="490">
        <f t="shared" ref="G25" si="5">SUM(G20:G24)</f>
        <v>203961334</v>
      </c>
      <c r="H25" s="490">
        <f t="shared" ref="H25:J25" si="6">SUM(H20:H24)</f>
        <v>4767000</v>
      </c>
      <c r="I25" s="490">
        <f t="shared" si="6"/>
        <v>1643568</v>
      </c>
      <c r="J25" s="490">
        <f t="shared" si="6"/>
        <v>10420711</v>
      </c>
      <c r="K25" s="488">
        <f>+J25+H25+G25+F25+E25+D25+C25+I25</f>
        <v>800811385</v>
      </c>
      <c r="L25" s="489">
        <f t="shared" si="2"/>
        <v>596850051</v>
      </c>
      <c r="AL25" s="21"/>
    </row>
    <row r="26" spans="1:45">
      <c r="AM26" s="27"/>
      <c r="AN26" s="27"/>
      <c r="AO26" s="27"/>
      <c r="AP26" s="27"/>
      <c r="AQ26" s="27"/>
      <c r="AR26" s="27"/>
      <c r="AS26" s="27"/>
    </row>
    <row r="27" spans="1:45">
      <c r="C27" s="27">
        <f>+'5.a sz.mell.'!D63</f>
        <v>212285909</v>
      </c>
      <c r="D27" s="27">
        <f>+'5.a sz.mell.'!E63</f>
        <v>39599062</v>
      </c>
      <c r="E27" s="27">
        <f>+'5.a sz.mell.'!F63</f>
        <v>243566668</v>
      </c>
      <c r="F27" s="27">
        <f>+'5.a sz.mell.'!G63</f>
        <v>84567133</v>
      </c>
      <c r="G27" s="27">
        <f>+'5 b.sz.mell.'!H60</f>
        <v>203961334</v>
      </c>
      <c r="H27" s="27">
        <f>+'5.a sz.mell.'!H63</f>
        <v>4767000</v>
      </c>
      <c r="I27" s="27">
        <f>+'5.a sz.mell.'!K63</f>
        <v>1643568</v>
      </c>
      <c r="J27" s="27">
        <f>+'5.a sz.mell.'!J63</f>
        <v>10420711</v>
      </c>
      <c r="K27" s="27">
        <f>+'5.a sz.mell.'!N63-'5.a sz.mell.'!I63-'5.a sz.mell.'!L63</f>
        <v>639709977</v>
      </c>
      <c r="L27" s="27">
        <f>+'5.a sz.mell.'!N63-'5.a sz.mell.'!M63-'5.a sz.mell.'!L63-'5.a sz.mell.'!I63</f>
        <v>596850051</v>
      </c>
      <c r="AH27" s="21"/>
      <c r="AI27" s="21"/>
      <c r="AJ27" s="21"/>
      <c r="AK27" s="21"/>
      <c r="AL27" s="21"/>
    </row>
    <row r="28" spans="1:45">
      <c r="K28" s="570" t="s">
        <v>536</v>
      </c>
      <c r="L28" s="570" t="s">
        <v>536</v>
      </c>
      <c r="AM28" s="27"/>
      <c r="AN28" s="27"/>
      <c r="AO28" s="27"/>
      <c r="AP28" s="27"/>
      <c r="AQ28" s="27"/>
    </row>
  </sheetData>
  <mergeCells count="9">
    <mergeCell ref="A25:B25"/>
    <mergeCell ref="A18:B18"/>
    <mergeCell ref="Z5:AB5"/>
    <mergeCell ref="A12:B12"/>
    <mergeCell ref="A1:P1"/>
    <mergeCell ref="A2:P2"/>
    <mergeCell ref="A5:B5"/>
    <mergeCell ref="A4:J4"/>
    <mergeCell ref="A17:T17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7"/>
  <sheetViews>
    <sheetView zoomScaleNormal="100" workbookViewId="0">
      <pane xSplit="2" ySplit="5" topLeftCell="D28" activePane="bottomRight" state="frozen"/>
      <selection activeCell="C6" sqref="C6:D6"/>
      <selection pane="topRight" activeCell="C6" sqref="C6:D6"/>
      <selection pane="bottomLeft" activeCell="C6" sqref="C6:D6"/>
      <selection pane="bottomRight" activeCell="A2" sqref="A2:N2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5.28515625" style="39" customWidth="1"/>
    <col min="4" max="4" width="16" style="39" customWidth="1"/>
    <col min="5" max="5" width="14.42578125" style="39" customWidth="1"/>
    <col min="6" max="6" width="15.28515625" style="39" customWidth="1"/>
    <col min="7" max="7" width="14.85546875" style="39" customWidth="1"/>
    <col min="8" max="8" width="16.85546875" style="39" customWidth="1"/>
    <col min="9" max="9" width="14.85546875" style="39" customWidth="1"/>
    <col min="10" max="11" width="18.28515625" style="39" customWidth="1"/>
    <col min="12" max="12" width="15.42578125" style="506" customWidth="1"/>
    <col min="13" max="13" width="16" style="506" customWidth="1"/>
    <col min="14" max="14" width="18" style="39" customWidth="1"/>
    <col min="15" max="15" width="9.85546875" style="39" customWidth="1"/>
    <col min="16" max="16" width="11.42578125" style="39" customWidth="1"/>
    <col min="17" max="17" width="7.42578125" style="39" bestFit="1" customWidth="1"/>
    <col min="18" max="20" width="10.5703125" style="39" bestFit="1" customWidth="1"/>
    <col min="21" max="21" width="5.140625" style="45" bestFit="1" customWidth="1"/>
    <col min="22" max="22" width="7.140625" style="39" bestFit="1" customWidth="1"/>
    <col min="23" max="16384" width="8.85546875" style="37"/>
  </cols>
  <sheetData>
    <row r="1" spans="1:31" ht="15.75">
      <c r="A1" s="621" t="s">
        <v>600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35"/>
      <c r="P1" s="35"/>
      <c r="Q1" s="35"/>
      <c r="R1" s="35"/>
      <c r="S1" s="35"/>
      <c r="T1" s="35"/>
      <c r="U1" s="35"/>
      <c r="V1" s="36"/>
      <c r="W1" s="35" t="s">
        <v>45</v>
      </c>
      <c r="X1" s="36"/>
    </row>
    <row r="2" spans="1:31" ht="33.75" customHeight="1">
      <c r="A2" s="665" t="s">
        <v>499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38"/>
    </row>
    <row r="3" spans="1:31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504"/>
      <c r="M3" s="504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  <c r="Z3" s="42"/>
      <c r="AA3" s="42"/>
      <c r="AB3" s="43"/>
      <c r="AC3" s="39"/>
    </row>
    <row r="4" spans="1:31" ht="21" customHeight="1" thickBot="1">
      <c r="A4" s="666" t="s">
        <v>46</v>
      </c>
      <c r="B4" s="668" t="s">
        <v>320</v>
      </c>
      <c r="C4" s="670" t="s">
        <v>47</v>
      </c>
      <c r="D4" s="672"/>
      <c r="E4" s="672"/>
      <c r="F4" s="672"/>
      <c r="G4" s="672"/>
      <c r="H4" s="672"/>
      <c r="I4" s="672"/>
      <c r="J4" s="672"/>
      <c r="K4" s="672"/>
      <c r="L4" s="672"/>
      <c r="M4" s="507"/>
      <c r="N4" s="653" t="s">
        <v>524</v>
      </c>
      <c r="O4" s="663" t="s">
        <v>384</v>
      </c>
      <c r="P4" s="663" t="s">
        <v>384</v>
      </c>
      <c r="Q4" s="37"/>
      <c r="R4" s="37"/>
      <c r="S4" s="37"/>
      <c r="T4" s="37"/>
      <c r="U4" s="37"/>
      <c r="V4" s="37"/>
    </row>
    <row r="5" spans="1:31" ht="114" customHeight="1" thickBot="1">
      <c r="A5" s="667"/>
      <c r="B5" s="669"/>
      <c r="C5" s="671"/>
      <c r="D5" s="258" t="s">
        <v>496</v>
      </c>
      <c r="E5" s="258" t="s">
        <v>493</v>
      </c>
      <c r="F5" s="258" t="s">
        <v>494</v>
      </c>
      <c r="G5" s="258" t="s">
        <v>456</v>
      </c>
      <c r="H5" s="258" t="s">
        <v>454</v>
      </c>
      <c r="I5" s="495" t="s">
        <v>495</v>
      </c>
      <c r="J5" s="258" t="s">
        <v>453</v>
      </c>
      <c r="K5" s="258" t="s">
        <v>455</v>
      </c>
      <c r="L5" s="505" t="s">
        <v>497</v>
      </c>
      <c r="M5" s="505" t="s">
        <v>498</v>
      </c>
      <c r="N5" s="654"/>
      <c r="O5" s="664"/>
      <c r="P5" s="664"/>
      <c r="Q5" s="37"/>
      <c r="R5" s="37"/>
      <c r="S5" s="37"/>
      <c r="T5" s="37"/>
      <c r="U5" s="37"/>
      <c r="V5" s="37"/>
    </row>
    <row r="6" spans="1:31" ht="16.5" thickBot="1">
      <c r="A6" s="655" t="s">
        <v>38</v>
      </c>
      <c r="B6" s="259" t="s">
        <v>225</v>
      </c>
      <c r="C6" s="233" t="s">
        <v>269</v>
      </c>
      <c r="D6" s="399">
        <v>15502289</v>
      </c>
      <c r="E6" s="399">
        <v>3042958</v>
      </c>
      <c r="F6" s="399">
        <v>3680000</v>
      </c>
      <c r="G6" s="399">
        <v>0</v>
      </c>
      <c r="H6" s="400">
        <v>0</v>
      </c>
      <c r="I6" s="399">
        <v>0</v>
      </c>
      <c r="J6" s="400">
        <v>0</v>
      </c>
      <c r="K6" s="399">
        <v>0</v>
      </c>
      <c r="L6" s="451">
        <v>0</v>
      </c>
      <c r="M6" s="451">
        <v>0</v>
      </c>
      <c r="N6" s="401">
        <f t="shared" ref="N6:N11" si="0">SUM(D6:M6)</f>
        <v>22225247</v>
      </c>
      <c r="O6" s="440">
        <v>1</v>
      </c>
      <c r="P6" s="440">
        <v>1</v>
      </c>
      <c r="Q6" s="37"/>
      <c r="R6" s="37"/>
      <c r="S6" s="37"/>
      <c r="T6" s="37"/>
      <c r="U6" s="37"/>
      <c r="V6" s="37"/>
    </row>
    <row r="7" spans="1:31" ht="16.5" thickBot="1">
      <c r="A7" s="655"/>
      <c r="B7" s="259" t="s">
        <v>250</v>
      </c>
      <c r="C7" s="233" t="s">
        <v>331</v>
      </c>
      <c r="D7" s="399">
        <v>0</v>
      </c>
      <c r="E7" s="399">
        <v>0</v>
      </c>
      <c r="F7" s="399">
        <v>530000</v>
      </c>
      <c r="G7" s="399">
        <v>0</v>
      </c>
      <c r="H7" s="400">
        <v>0</v>
      </c>
      <c r="I7" s="406">
        <v>0</v>
      </c>
      <c r="J7" s="400">
        <v>0</v>
      </c>
      <c r="K7" s="399">
        <v>0</v>
      </c>
      <c r="L7" s="451">
        <v>0</v>
      </c>
      <c r="M7" s="451">
        <v>0</v>
      </c>
      <c r="N7" s="401">
        <f t="shared" si="0"/>
        <v>530000</v>
      </c>
      <c r="O7" s="440">
        <v>0</v>
      </c>
      <c r="P7" s="440">
        <v>0</v>
      </c>
      <c r="Q7" s="37"/>
      <c r="R7" s="37"/>
      <c r="S7" s="37"/>
      <c r="T7" s="37"/>
      <c r="U7" s="37"/>
      <c r="V7" s="37"/>
    </row>
    <row r="8" spans="1:31" ht="16.5" thickBot="1">
      <c r="A8" s="655"/>
      <c r="B8" s="259" t="s">
        <v>251</v>
      </c>
      <c r="C8" s="233" t="s">
        <v>270</v>
      </c>
      <c r="D8" s="399">
        <v>0</v>
      </c>
      <c r="E8" s="399">
        <v>0</v>
      </c>
      <c r="F8" s="399">
        <f>11910000+500000+10665000</f>
        <v>23075000</v>
      </c>
      <c r="G8" s="399">
        <v>0</v>
      </c>
      <c r="H8" s="400">
        <v>0</v>
      </c>
      <c r="I8" s="399">
        <v>0</v>
      </c>
      <c r="J8" s="400">
        <v>0</v>
      </c>
      <c r="K8" s="399">
        <v>0</v>
      </c>
      <c r="L8" s="451">
        <f>11390757+2400000</f>
        <v>13790757</v>
      </c>
      <c r="M8" s="451">
        <f>3994771+162947+4500000</f>
        <v>8657718</v>
      </c>
      <c r="N8" s="401">
        <f t="shared" si="0"/>
        <v>45523475</v>
      </c>
      <c r="O8" s="440">
        <v>0</v>
      </c>
      <c r="P8" s="440">
        <v>0</v>
      </c>
      <c r="Q8" s="37"/>
      <c r="R8" s="37"/>
      <c r="S8" s="37"/>
      <c r="T8" s="37"/>
      <c r="U8" s="37"/>
      <c r="V8" s="37"/>
    </row>
    <row r="9" spans="1:31" ht="16.5" thickBot="1">
      <c r="A9" s="655"/>
      <c r="B9" s="259" t="s">
        <v>432</v>
      </c>
      <c r="C9" s="404" t="s">
        <v>433</v>
      </c>
      <c r="D9" s="399">
        <v>0</v>
      </c>
      <c r="E9" s="399">
        <v>0</v>
      </c>
      <c r="F9" s="399">
        <v>0</v>
      </c>
      <c r="G9" s="399">
        <v>0</v>
      </c>
      <c r="H9" s="400">
        <v>0</v>
      </c>
      <c r="I9" s="399">
        <v>0</v>
      </c>
      <c r="J9" s="400">
        <v>0</v>
      </c>
      <c r="K9" s="399">
        <v>0</v>
      </c>
      <c r="L9" s="399">
        <v>0</v>
      </c>
      <c r="M9" s="399">
        <v>0</v>
      </c>
      <c r="N9" s="401">
        <f t="shared" si="0"/>
        <v>0</v>
      </c>
      <c r="O9" s="440">
        <v>0</v>
      </c>
      <c r="P9" s="440">
        <v>0</v>
      </c>
      <c r="Q9" s="37"/>
      <c r="R9" s="37"/>
      <c r="S9" s="37"/>
      <c r="T9" s="37"/>
      <c r="U9" s="37"/>
      <c r="V9" s="37"/>
    </row>
    <row r="10" spans="1:31" ht="16.5" thickBot="1">
      <c r="A10" s="655"/>
      <c r="B10" s="259" t="s">
        <v>253</v>
      </c>
      <c r="C10" s="403" t="s">
        <v>272</v>
      </c>
      <c r="D10" s="399">
        <v>6603930</v>
      </c>
      <c r="E10" s="399">
        <v>643882</v>
      </c>
      <c r="F10" s="399">
        <v>0</v>
      </c>
      <c r="G10" s="399">
        <v>0</v>
      </c>
      <c r="H10" s="400">
        <v>0</v>
      </c>
      <c r="I10" s="399">
        <v>0</v>
      </c>
      <c r="J10" s="400">
        <v>0</v>
      </c>
      <c r="K10" s="399">
        <v>0</v>
      </c>
      <c r="L10" s="451">
        <v>0</v>
      </c>
      <c r="M10" s="451">
        <v>0</v>
      </c>
      <c r="N10" s="401">
        <f t="shared" si="0"/>
        <v>7247812</v>
      </c>
      <c r="O10" s="440">
        <v>27</v>
      </c>
      <c r="P10" s="440">
        <v>27</v>
      </c>
      <c r="Q10" s="37"/>
      <c r="R10" s="37"/>
      <c r="S10" s="37"/>
      <c r="T10" s="37"/>
      <c r="U10" s="37"/>
      <c r="V10" s="37"/>
    </row>
    <row r="11" spans="1:31" ht="16.5" thickBot="1">
      <c r="A11" s="655"/>
      <c r="B11" s="259" t="s">
        <v>380</v>
      </c>
      <c r="C11" s="403" t="s">
        <v>381</v>
      </c>
      <c r="D11" s="399">
        <v>0</v>
      </c>
      <c r="E11" s="399">
        <v>0</v>
      </c>
      <c r="F11" s="399">
        <v>0</v>
      </c>
      <c r="G11" s="399">
        <v>0</v>
      </c>
      <c r="H11" s="400">
        <v>0</v>
      </c>
      <c r="I11" s="399">
        <v>0</v>
      </c>
      <c r="J11" s="400">
        <v>0</v>
      </c>
      <c r="K11" s="399">
        <v>0</v>
      </c>
      <c r="L11" s="399">
        <v>0</v>
      </c>
      <c r="M11" s="399">
        <v>0</v>
      </c>
      <c r="N11" s="401">
        <f t="shared" si="0"/>
        <v>0</v>
      </c>
      <c r="O11" s="440">
        <v>0</v>
      </c>
      <c r="P11" s="440">
        <v>0</v>
      </c>
      <c r="Q11" s="37"/>
      <c r="R11" s="37"/>
      <c r="S11" s="37"/>
      <c r="T11" s="37"/>
      <c r="U11" s="37"/>
      <c r="V11" s="37"/>
    </row>
    <row r="12" spans="1:31" ht="16.5" thickBot="1">
      <c r="A12" s="655"/>
      <c r="B12" s="259" t="s">
        <v>254</v>
      </c>
      <c r="C12" s="403" t="s">
        <v>273</v>
      </c>
      <c r="D12" s="399">
        <v>3179670</v>
      </c>
      <c r="E12" s="399">
        <v>310018</v>
      </c>
      <c r="F12" s="399">
        <v>0</v>
      </c>
      <c r="G12" s="399">
        <v>0</v>
      </c>
      <c r="H12" s="400">
        <v>0</v>
      </c>
      <c r="I12" s="399">
        <v>0</v>
      </c>
      <c r="J12" s="400">
        <v>0</v>
      </c>
      <c r="K12" s="399">
        <v>0</v>
      </c>
      <c r="L12" s="451">
        <v>0</v>
      </c>
      <c r="M12" s="451">
        <v>0</v>
      </c>
      <c r="N12" s="401">
        <f t="shared" ref="N12:N30" si="1">SUM(D12:M12)</f>
        <v>3489688</v>
      </c>
      <c r="O12" s="440">
        <f>5+8</f>
        <v>13</v>
      </c>
      <c r="P12" s="440">
        <f>5+8</f>
        <v>13</v>
      </c>
      <c r="Q12" s="37"/>
      <c r="R12" s="37"/>
      <c r="S12" s="37"/>
      <c r="T12" s="37"/>
      <c r="U12" s="37"/>
      <c r="V12" s="37"/>
    </row>
    <row r="13" spans="1:31" ht="16.5" thickBot="1">
      <c r="A13" s="655"/>
      <c r="B13" s="262" t="s">
        <v>255</v>
      </c>
      <c r="C13" s="403" t="s">
        <v>332</v>
      </c>
      <c r="D13" s="399">
        <v>0</v>
      </c>
      <c r="E13" s="399">
        <v>0</v>
      </c>
      <c r="F13" s="399">
        <v>5350000</v>
      </c>
      <c r="G13" s="399">
        <v>0</v>
      </c>
      <c r="H13" s="400">
        <v>0</v>
      </c>
      <c r="I13" s="399">
        <v>0</v>
      </c>
      <c r="J13" s="400">
        <v>0</v>
      </c>
      <c r="K13" s="399">
        <v>0</v>
      </c>
      <c r="L13" s="451">
        <v>23346577</v>
      </c>
      <c r="M13" s="451">
        <f>30550358+492000+1609850+200000+200000</f>
        <v>33052208</v>
      </c>
      <c r="N13" s="401">
        <f t="shared" si="1"/>
        <v>61748785</v>
      </c>
      <c r="O13" s="440">
        <v>0</v>
      </c>
      <c r="P13" s="440">
        <v>0</v>
      </c>
      <c r="Q13" s="37"/>
      <c r="R13" s="37"/>
      <c r="S13" s="37"/>
      <c r="T13" s="37"/>
      <c r="U13" s="37"/>
      <c r="V13" s="37"/>
    </row>
    <row r="14" spans="1:31" ht="16.5" thickBot="1">
      <c r="A14" s="655"/>
      <c r="B14" s="259" t="s">
        <v>256</v>
      </c>
      <c r="C14" s="403" t="s">
        <v>333</v>
      </c>
      <c r="D14" s="399">
        <v>0</v>
      </c>
      <c r="E14" s="399">
        <v>0</v>
      </c>
      <c r="F14" s="399">
        <v>0</v>
      </c>
      <c r="G14" s="399">
        <v>140000</v>
      </c>
      <c r="H14" s="400">
        <v>0</v>
      </c>
      <c r="I14" s="399">
        <v>0</v>
      </c>
      <c r="J14" s="400">
        <v>0</v>
      </c>
      <c r="K14" s="399">
        <v>0</v>
      </c>
      <c r="L14" s="451">
        <v>0</v>
      </c>
      <c r="M14" s="451">
        <v>0</v>
      </c>
      <c r="N14" s="401">
        <f t="shared" si="1"/>
        <v>140000</v>
      </c>
      <c r="O14" s="440">
        <v>0</v>
      </c>
      <c r="P14" s="440">
        <v>0</v>
      </c>
      <c r="Q14" s="37"/>
      <c r="R14" s="37"/>
      <c r="S14" s="37"/>
      <c r="T14" s="37"/>
      <c r="U14" s="37"/>
      <c r="V14" s="37"/>
    </row>
    <row r="15" spans="1:31" ht="16.5" thickBot="1">
      <c r="A15" s="655"/>
      <c r="B15" s="259" t="s">
        <v>257</v>
      </c>
      <c r="C15" s="403" t="s">
        <v>274</v>
      </c>
      <c r="D15" s="399">
        <v>0</v>
      </c>
      <c r="E15" s="399">
        <v>0</v>
      </c>
      <c r="F15" s="399">
        <v>2490000</v>
      </c>
      <c r="G15" s="399">
        <v>0</v>
      </c>
      <c r="H15" s="400">
        <v>0</v>
      </c>
      <c r="I15" s="399">
        <f>34610642-2490000</f>
        <v>32120642</v>
      </c>
      <c r="J15" s="400">
        <v>0</v>
      </c>
      <c r="K15" s="399">
        <v>0</v>
      </c>
      <c r="L15" s="39">
        <v>0</v>
      </c>
      <c r="M15" s="451">
        <v>0</v>
      </c>
      <c r="N15" s="401">
        <f t="shared" si="1"/>
        <v>34610642</v>
      </c>
      <c r="O15" s="440">
        <v>0</v>
      </c>
      <c r="P15" s="440">
        <v>0</v>
      </c>
      <c r="Q15" s="37"/>
      <c r="R15" s="37"/>
      <c r="S15" s="37"/>
      <c r="T15" s="37"/>
      <c r="U15" s="37"/>
      <c r="V15" s="37"/>
    </row>
    <row r="16" spans="1:31" ht="16.5" thickBot="1">
      <c r="A16" s="655"/>
      <c r="B16" s="259" t="s">
        <v>258</v>
      </c>
      <c r="C16" s="403" t="s">
        <v>275</v>
      </c>
      <c r="D16" s="399">
        <v>0</v>
      </c>
      <c r="E16" s="399">
        <v>0</v>
      </c>
      <c r="F16" s="399">
        <v>750000</v>
      </c>
      <c r="G16" s="399">
        <v>0</v>
      </c>
      <c r="H16" s="400">
        <v>0</v>
      </c>
      <c r="I16" s="399">
        <f>68457822-750000</f>
        <v>67707822</v>
      </c>
      <c r="J16" s="400">
        <v>0</v>
      </c>
      <c r="K16" s="399">
        <v>0</v>
      </c>
      <c r="L16" s="451">
        <v>0</v>
      </c>
      <c r="M16" s="451">
        <v>0</v>
      </c>
      <c r="N16" s="401">
        <f t="shared" si="1"/>
        <v>68457822</v>
      </c>
      <c r="O16" s="440">
        <v>0</v>
      </c>
      <c r="P16" s="440">
        <v>0</v>
      </c>
      <c r="Q16" s="37"/>
      <c r="R16" s="37"/>
      <c r="S16" s="37"/>
      <c r="T16" s="37"/>
      <c r="U16" s="37"/>
      <c r="V16" s="37"/>
    </row>
    <row r="17" spans="1:22" ht="16.5" thickBot="1">
      <c r="A17" s="655"/>
      <c r="B17" s="259" t="s">
        <v>259</v>
      </c>
      <c r="C17" s="403" t="s">
        <v>48</v>
      </c>
      <c r="D17" s="399">
        <v>0</v>
      </c>
      <c r="E17" s="399">
        <v>0</v>
      </c>
      <c r="F17" s="399">
        <v>6400000</v>
      </c>
      <c r="G17" s="399">
        <v>0</v>
      </c>
      <c r="H17" s="400">
        <v>0</v>
      </c>
      <c r="I17" s="399">
        <v>0</v>
      </c>
      <c r="J17" s="400">
        <v>0</v>
      </c>
      <c r="K17" s="399">
        <v>0</v>
      </c>
      <c r="L17" s="451">
        <v>0</v>
      </c>
      <c r="M17" s="451">
        <v>0</v>
      </c>
      <c r="N17" s="401">
        <f t="shared" si="1"/>
        <v>6400000</v>
      </c>
      <c r="O17" s="440">
        <v>0</v>
      </c>
      <c r="P17" s="440">
        <v>0</v>
      </c>
      <c r="Q17" s="37"/>
      <c r="R17" s="37"/>
      <c r="S17" s="37"/>
      <c r="T17" s="37"/>
      <c r="U17" s="37"/>
      <c r="V17" s="37"/>
    </row>
    <row r="18" spans="1:22" ht="16.5" thickBot="1">
      <c r="A18" s="655"/>
      <c r="B18" s="259" t="s">
        <v>227</v>
      </c>
      <c r="C18" s="403" t="s">
        <v>226</v>
      </c>
      <c r="D18" s="399">
        <v>2380500</v>
      </c>
      <c r="E18" s="399">
        <v>464198</v>
      </c>
      <c r="F18" s="399">
        <v>2000000</v>
      </c>
      <c r="G18" s="399">
        <v>0</v>
      </c>
      <c r="H18" s="400">
        <v>0</v>
      </c>
      <c r="I18" s="399">
        <v>0</v>
      </c>
      <c r="J18" s="400">
        <v>0</v>
      </c>
      <c r="K18" s="399">
        <v>0</v>
      </c>
      <c r="L18" s="451">
        <v>0</v>
      </c>
      <c r="M18" s="451">
        <v>0</v>
      </c>
      <c r="N18" s="401">
        <f t="shared" si="1"/>
        <v>4844698</v>
      </c>
      <c r="O18" s="440">
        <v>1</v>
      </c>
      <c r="P18" s="440">
        <v>1</v>
      </c>
      <c r="Q18" s="37"/>
      <c r="R18" s="37"/>
      <c r="S18" s="37"/>
      <c r="T18" s="37"/>
      <c r="U18" s="37"/>
      <c r="V18" s="37"/>
    </row>
    <row r="19" spans="1:22" ht="16.5" thickBot="1">
      <c r="A19" s="655"/>
      <c r="B19" s="259" t="s">
        <v>228</v>
      </c>
      <c r="C19" s="403" t="s">
        <v>276</v>
      </c>
      <c r="D19" s="399">
        <v>21692500</v>
      </c>
      <c r="E19" s="399">
        <v>4100087</v>
      </c>
      <c r="F19" s="399">
        <f>14530000+4584000+500000+386000+500000</f>
        <v>20500000</v>
      </c>
      <c r="G19" s="399">
        <f>2400000+61250+500000+20000+200000+200000</f>
        <v>3381250</v>
      </c>
      <c r="H19" s="400">
        <v>0</v>
      </c>
      <c r="I19" s="399">
        <v>2267425</v>
      </c>
      <c r="J19" s="400">
        <v>0</v>
      </c>
      <c r="K19" s="399">
        <v>0</v>
      </c>
      <c r="L19" s="451">
        <v>9827883</v>
      </c>
      <c r="M19" s="451">
        <v>0</v>
      </c>
      <c r="N19" s="401">
        <f t="shared" si="1"/>
        <v>61769145</v>
      </c>
      <c r="O19" s="440">
        <v>9</v>
      </c>
      <c r="P19" s="440">
        <v>10</v>
      </c>
      <c r="Q19" s="37" t="s">
        <v>590</v>
      </c>
      <c r="R19" s="37"/>
      <c r="S19" s="37"/>
      <c r="T19" s="37"/>
      <c r="U19" s="37"/>
      <c r="V19" s="37"/>
    </row>
    <row r="20" spans="1:22" ht="16.5" thickBot="1">
      <c r="A20" s="655"/>
      <c r="B20" s="259" t="s">
        <v>260</v>
      </c>
      <c r="C20" s="403" t="s">
        <v>277</v>
      </c>
      <c r="D20" s="399">
        <v>0</v>
      </c>
      <c r="E20" s="399">
        <v>0</v>
      </c>
      <c r="F20" s="399">
        <v>2120000</v>
      </c>
      <c r="G20" s="399">
        <v>0</v>
      </c>
      <c r="H20" s="400">
        <v>0</v>
      </c>
      <c r="I20" s="399">
        <v>0</v>
      </c>
      <c r="J20" s="400">
        <v>0</v>
      </c>
      <c r="K20" s="399">
        <v>0</v>
      </c>
      <c r="L20" s="451">
        <f>148074197+1750000</f>
        <v>149824197</v>
      </c>
      <c r="M20" s="451">
        <v>0</v>
      </c>
      <c r="N20" s="401">
        <f t="shared" si="1"/>
        <v>151944197</v>
      </c>
      <c r="O20" s="440">
        <v>0</v>
      </c>
      <c r="P20" s="440">
        <v>0</v>
      </c>
      <c r="Q20" s="37"/>
      <c r="R20" s="37"/>
      <c r="S20" s="37"/>
      <c r="T20" s="37"/>
      <c r="U20" s="37"/>
      <c r="V20" s="37"/>
    </row>
    <row r="21" spans="1:22" ht="16.5" thickBot="1">
      <c r="A21" s="655"/>
      <c r="B21" s="259" t="s">
        <v>230</v>
      </c>
      <c r="C21" s="404" t="s">
        <v>49</v>
      </c>
      <c r="D21" s="399">
        <v>11591976</v>
      </c>
      <c r="E21" s="399">
        <v>2260435</v>
      </c>
      <c r="F21" s="399">
        <v>1700000</v>
      </c>
      <c r="G21" s="399">
        <v>0</v>
      </c>
      <c r="H21" s="400">
        <v>0</v>
      </c>
      <c r="I21" s="399">
        <v>0</v>
      </c>
      <c r="J21" s="400">
        <v>0</v>
      </c>
      <c r="K21" s="399">
        <v>0</v>
      </c>
      <c r="L21" s="451">
        <v>130000</v>
      </c>
      <c r="M21" s="451">
        <v>0</v>
      </c>
      <c r="N21" s="401">
        <f t="shared" si="1"/>
        <v>15682411</v>
      </c>
      <c r="O21" s="440">
        <v>3</v>
      </c>
      <c r="P21" s="440">
        <v>3</v>
      </c>
      <c r="Q21" s="37"/>
      <c r="R21" s="37"/>
      <c r="S21" s="37"/>
      <c r="T21" s="37"/>
      <c r="U21" s="37"/>
      <c r="V21" s="37"/>
    </row>
    <row r="22" spans="1:22" ht="16.5" thickBot="1">
      <c r="A22" s="655"/>
      <c r="B22" s="261" t="s">
        <v>263</v>
      </c>
      <c r="C22" s="404" t="s">
        <v>280</v>
      </c>
      <c r="D22" s="399">
        <v>120000</v>
      </c>
      <c r="E22" s="399">
        <v>23400</v>
      </c>
      <c r="F22" s="399">
        <v>2330000</v>
      </c>
      <c r="G22" s="399">
        <v>1500000</v>
      </c>
      <c r="H22" s="400">
        <v>0</v>
      </c>
      <c r="I22" s="399">
        <v>0</v>
      </c>
      <c r="J22" s="400">
        <v>0</v>
      </c>
      <c r="K22" s="399">
        <v>0</v>
      </c>
      <c r="L22" s="451">
        <v>23529412</v>
      </c>
      <c r="M22" s="451">
        <v>0</v>
      </c>
      <c r="N22" s="401">
        <f t="shared" si="1"/>
        <v>27502812</v>
      </c>
      <c r="O22" s="440">
        <v>0</v>
      </c>
      <c r="P22" s="440">
        <v>0</v>
      </c>
      <c r="Q22" s="37"/>
      <c r="R22" s="37"/>
      <c r="S22" s="37"/>
      <c r="T22" s="37"/>
      <c r="U22" s="37"/>
      <c r="V22" s="37"/>
    </row>
    <row r="23" spans="1:22" ht="16.5" thickBot="1">
      <c r="A23" s="655"/>
      <c r="B23" s="259" t="s">
        <v>334</v>
      </c>
      <c r="C23" s="404" t="s">
        <v>281</v>
      </c>
      <c r="D23" s="399">
        <v>0</v>
      </c>
      <c r="E23" s="399">
        <v>0</v>
      </c>
      <c r="F23" s="399">
        <v>0</v>
      </c>
      <c r="G23" s="399">
        <v>79255883</v>
      </c>
      <c r="H23" s="400">
        <v>0</v>
      </c>
      <c r="I23" s="399">
        <v>0</v>
      </c>
      <c r="J23" s="400">
        <v>0</v>
      </c>
      <c r="K23" s="399">
        <v>0</v>
      </c>
      <c r="L23" s="451">
        <v>0</v>
      </c>
      <c r="M23" s="451">
        <v>0</v>
      </c>
      <c r="N23" s="401">
        <f t="shared" si="1"/>
        <v>79255883</v>
      </c>
      <c r="O23" s="440">
        <v>0</v>
      </c>
      <c r="P23" s="440">
        <v>0</v>
      </c>
      <c r="Q23" s="37"/>
      <c r="R23" s="37"/>
      <c r="S23" s="37"/>
      <c r="T23" s="37"/>
      <c r="U23" s="37"/>
      <c r="V23" s="37"/>
    </row>
    <row r="24" spans="1:22" ht="42" customHeight="1" thickBot="1">
      <c r="A24" s="655"/>
      <c r="B24" s="405" t="s">
        <v>334</v>
      </c>
      <c r="C24" s="494" t="s">
        <v>513</v>
      </c>
      <c r="D24" s="399">
        <v>0</v>
      </c>
      <c r="E24" s="399">
        <v>0</v>
      </c>
      <c r="F24" s="399">
        <v>0</v>
      </c>
      <c r="G24" s="399">
        <f>150000+110000+10000</f>
        <v>270000</v>
      </c>
      <c r="H24" s="399">
        <v>0</v>
      </c>
      <c r="I24" s="399">
        <v>0</v>
      </c>
      <c r="J24" s="399">
        <v>0</v>
      </c>
      <c r="K24" s="399">
        <v>0</v>
      </c>
      <c r="L24" s="399">
        <v>0</v>
      </c>
      <c r="M24" s="399">
        <v>0</v>
      </c>
      <c r="N24" s="401">
        <f t="shared" si="1"/>
        <v>270000</v>
      </c>
      <c r="O24" s="440"/>
      <c r="P24" s="440"/>
      <c r="Q24" s="37"/>
      <c r="R24" s="37"/>
      <c r="S24" s="37"/>
      <c r="T24" s="37"/>
      <c r="U24" s="37"/>
      <c r="V24" s="37"/>
    </row>
    <row r="25" spans="1:22" ht="16.5" thickBot="1">
      <c r="A25" s="655"/>
      <c r="B25" s="259" t="s">
        <v>266</v>
      </c>
      <c r="C25" s="404" t="s">
        <v>232</v>
      </c>
      <c r="D25" s="399">
        <v>5545044</v>
      </c>
      <c r="E25" s="399">
        <v>1081284</v>
      </c>
      <c r="F25" s="399">
        <f>144000+2410000+40000+106000</f>
        <v>2700000</v>
      </c>
      <c r="G25" s="399">
        <v>0</v>
      </c>
      <c r="H25" s="400">
        <v>0</v>
      </c>
      <c r="I25" s="399">
        <v>0</v>
      </c>
      <c r="J25" s="400">
        <v>0</v>
      </c>
      <c r="K25" s="399">
        <v>0</v>
      </c>
      <c r="L25" s="451">
        <f>200000+50000</f>
        <v>250000</v>
      </c>
      <c r="M25" s="451">
        <v>150000</v>
      </c>
      <c r="N25" s="401">
        <f t="shared" si="1"/>
        <v>9726328</v>
      </c>
      <c r="O25" s="440">
        <v>2</v>
      </c>
      <c r="P25" s="440">
        <v>2</v>
      </c>
      <c r="Q25" s="37"/>
      <c r="R25" s="37"/>
      <c r="S25" s="37"/>
      <c r="T25" s="37"/>
      <c r="U25" s="37"/>
      <c r="V25" s="37"/>
    </row>
    <row r="26" spans="1:22" ht="16.5" thickBot="1">
      <c r="A26" s="655"/>
      <c r="B26" s="259" t="s">
        <v>267</v>
      </c>
      <c r="C26" s="404" t="s">
        <v>283</v>
      </c>
      <c r="D26" s="399">
        <v>0</v>
      </c>
      <c r="E26" s="399">
        <v>0</v>
      </c>
      <c r="F26" s="399">
        <v>600000</v>
      </c>
      <c r="G26" s="399">
        <v>0</v>
      </c>
      <c r="H26" s="400">
        <v>0</v>
      </c>
      <c r="I26" s="399">
        <v>5056084</v>
      </c>
      <c r="J26" s="400">
        <v>0</v>
      </c>
      <c r="K26" s="399">
        <v>0</v>
      </c>
      <c r="L26" s="451">
        <v>500000</v>
      </c>
      <c r="M26" s="451">
        <v>1000000</v>
      </c>
      <c r="N26" s="401">
        <f t="shared" si="1"/>
        <v>7156084</v>
      </c>
      <c r="O26" s="440">
        <v>0</v>
      </c>
      <c r="P26" s="440">
        <v>0</v>
      </c>
      <c r="Q26" s="37"/>
      <c r="R26" s="37"/>
      <c r="S26" s="37"/>
      <c r="T26" s="37"/>
      <c r="U26" s="37"/>
      <c r="V26" s="37"/>
    </row>
    <row r="27" spans="1:22" ht="16.5" thickBot="1">
      <c r="A27" s="655"/>
      <c r="B27" s="259" t="s">
        <v>268</v>
      </c>
      <c r="C27" s="404" t="s">
        <v>284</v>
      </c>
      <c r="D27" s="399">
        <v>0</v>
      </c>
      <c r="E27" s="399">
        <v>0</v>
      </c>
      <c r="F27" s="399">
        <v>0</v>
      </c>
      <c r="G27" s="399">
        <v>0</v>
      </c>
      <c r="H27" s="400">
        <f>700000+1600000+100000</f>
        <v>2400000</v>
      </c>
      <c r="I27" s="399">
        <v>0</v>
      </c>
      <c r="J27" s="400">
        <v>0</v>
      </c>
      <c r="K27" s="399">
        <v>0</v>
      </c>
      <c r="L27" s="451">
        <v>0</v>
      </c>
      <c r="M27" s="451">
        <v>0</v>
      </c>
      <c r="N27" s="401">
        <f t="shared" si="1"/>
        <v>2400000</v>
      </c>
      <c r="O27" s="440">
        <v>0</v>
      </c>
      <c r="P27" s="440">
        <v>0</v>
      </c>
      <c r="Q27" s="37"/>
      <c r="R27" s="37"/>
      <c r="S27" s="37"/>
      <c r="T27" s="37"/>
      <c r="U27" s="37"/>
      <c r="V27" s="37"/>
    </row>
    <row r="28" spans="1:22" ht="16.5" thickBot="1">
      <c r="A28" s="655"/>
      <c r="B28" s="259" t="s">
        <v>290</v>
      </c>
      <c r="C28" s="493" t="s">
        <v>292</v>
      </c>
      <c r="D28" s="399">
        <v>0</v>
      </c>
      <c r="E28" s="399">
        <v>0</v>
      </c>
      <c r="F28" s="399">
        <v>0</v>
      </c>
      <c r="G28" s="399">
        <v>0</v>
      </c>
      <c r="H28" s="400">
        <v>0</v>
      </c>
      <c r="I28" s="399">
        <v>0</v>
      </c>
      <c r="J28" s="400">
        <v>0</v>
      </c>
      <c r="K28" s="399">
        <v>0</v>
      </c>
      <c r="L28" s="451">
        <f>2734000+1700000+180000+500000</f>
        <v>5114000</v>
      </c>
      <c r="M28" s="451">
        <v>0</v>
      </c>
      <c r="N28" s="401">
        <f t="shared" si="1"/>
        <v>5114000</v>
      </c>
      <c r="O28" s="440">
        <v>0</v>
      </c>
      <c r="P28" s="440">
        <v>0</v>
      </c>
      <c r="R28" s="37"/>
      <c r="S28" s="37"/>
      <c r="T28" s="37"/>
      <c r="U28" s="37"/>
      <c r="V28" s="37"/>
    </row>
    <row r="29" spans="1:22" ht="16.5" thickBot="1">
      <c r="A29" s="655"/>
      <c r="B29" s="259" t="s">
        <v>335</v>
      </c>
      <c r="C29" s="404" t="s">
        <v>336</v>
      </c>
      <c r="D29" s="399">
        <v>0</v>
      </c>
      <c r="E29" s="399">
        <v>0</v>
      </c>
      <c r="F29" s="399">
        <v>0</v>
      </c>
      <c r="G29" s="399">
        <v>0</v>
      </c>
      <c r="H29" s="400">
        <v>0</v>
      </c>
      <c r="I29" s="399">
        <v>0</v>
      </c>
      <c r="J29" s="400">
        <v>10420711</v>
      </c>
      <c r="K29" s="399">
        <v>0</v>
      </c>
      <c r="L29" s="399">
        <v>0</v>
      </c>
      <c r="M29" s="399">
        <v>0</v>
      </c>
      <c r="N29" s="401">
        <f t="shared" si="1"/>
        <v>10420711</v>
      </c>
      <c r="O29" s="440">
        <v>0</v>
      </c>
      <c r="P29" s="440">
        <v>0</v>
      </c>
      <c r="Q29" s="37"/>
      <c r="R29" s="37"/>
      <c r="S29" s="37"/>
      <c r="T29" s="37"/>
      <c r="U29" s="37"/>
      <c r="V29" s="37"/>
    </row>
    <row r="30" spans="1:22" ht="35.25" customHeight="1" thickBot="1">
      <c r="A30" s="655"/>
      <c r="B30" s="259" t="s">
        <v>514</v>
      </c>
      <c r="C30" s="404" t="s">
        <v>515</v>
      </c>
      <c r="D30" s="399">
        <v>0</v>
      </c>
      <c r="E30" s="399">
        <v>0</v>
      </c>
      <c r="F30" s="399">
        <v>0</v>
      </c>
      <c r="G30" s="399">
        <v>0</v>
      </c>
      <c r="H30" s="399">
        <v>0</v>
      </c>
      <c r="I30" s="399">
        <v>0</v>
      </c>
      <c r="J30" s="399">
        <v>0</v>
      </c>
      <c r="K30" s="399">
        <f>893700+749868</f>
        <v>1643568</v>
      </c>
      <c r="L30" s="399">
        <v>0</v>
      </c>
      <c r="M30" s="399">
        <v>0</v>
      </c>
      <c r="N30" s="401">
        <f t="shared" si="1"/>
        <v>1643568</v>
      </c>
      <c r="O30" s="440">
        <v>0</v>
      </c>
      <c r="P30" s="440">
        <v>0</v>
      </c>
      <c r="Q30" s="37"/>
      <c r="R30" s="37"/>
      <c r="S30" s="37"/>
      <c r="T30" s="37"/>
      <c r="U30" s="37"/>
      <c r="V30" s="37"/>
    </row>
    <row r="31" spans="1:22" ht="16.5" thickBot="1">
      <c r="A31" s="655"/>
      <c r="B31" s="234" t="s">
        <v>52</v>
      </c>
      <c r="C31" s="234"/>
      <c r="D31" s="401">
        <f>SUM(D6:D30)</f>
        <v>66615909</v>
      </c>
      <c r="E31" s="401">
        <f>SUM(E6:E30)</f>
        <v>11926262</v>
      </c>
      <c r="F31" s="401">
        <f t="shared" ref="F31:M31" si="2">SUM(F6:F30)</f>
        <v>74225000</v>
      </c>
      <c r="G31" s="401">
        <f t="shared" si="2"/>
        <v>84547133</v>
      </c>
      <c r="H31" s="401">
        <f t="shared" si="2"/>
        <v>2400000</v>
      </c>
      <c r="I31" s="401">
        <f t="shared" si="2"/>
        <v>107151973</v>
      </c>
      <c r="J31" s="401">
        <f t="shared" si="2"/>
        <v>10420711</v>
      </c>
      <c r="K31" s="401">
        <f t="shared" si="2"/>
        <v>1643568</v>
      </c>
      <c r="L31" s="401">
        <f t="shared" si="2"/>
        <v>226312826</v>
      </c>
      <c r="M31" s="401">
        <f t="shared" si="2"/>
        <v>42859926</v>
      </c>
      <c r="N31" s="401">
        <f>SUM(N6:N30)</f>
        <v>628103308</v>
      </c>
      <c r="O31" s="452">
        <f>SUM(O6:O30)</f>
        <v>56</v>
      </c>
      <c r="P31" s="452">
        <f>SUM(P6:P30)</f>
        <v>57</v>
      </c>
      <c r="Q31" s="37"/>
      <c r="R31" s="162"/>
      <c r="S31" s="162"/>
      <c r="T31" s="37"/>
      <c r="U31" s="37"/>
      <c r="V31" s="37"/>
    </row>
    <row r="32" spans="1:22" ht="16.5" thickBot="1">
      <c r="A32" s="655"/>
      <c r="B32" s="259" t="s">
        <v>262</v>
      </c>
      <c r="C32" s="404" t="s">
        <v>279</v>
      </c>
      <c r="D32" s="399">
        <v>770400</v>
      </c>
      <c r="E32" s="399">
        <v>0</v>
      </c>
      <c r="F32" s="399">
        <v>395000</v>
      </c>
      <c r="G32" s="399">
        <v>0</v>
      </c>
      <c r="H32" s="400">
        <v>0</v>
      </c>
      <c r="I32" s="399">
        <v>0</v>
      </c>
      <c r="J32" s="400">
        <v>0</v>
      </c>
      <c r="K32" s="399">
        <v>0</v>
      </c>
      <c r="L32" s="399">
        <v>0</v>
      </c>
      <c r="M32" s="399">
        <v>0</v>
      </c>
      <c r="N32" s="401">
        <f t="shared" ref="N32:N38" si="3">SUM(D32:M32)</f>
        <v>1165400</v>
      </c>
      <c r="O32" s="440">
        <v>1</v>
      </c>
      <c r="P32" s="440">
        <v>1</v>
      </c>
      <c r="Q32" s="37"/>
      <c r="R32" s="162"/>
      <c r="S32" s="37"/>
      <c r="T32" s="37"/>
      <c r="U32" s="37"/>
      <c r="V32" s="37"/>
    </row>
    <row r="33" spans="1:22" ht="16.5" thickBot="1">
      <c r="A33" s="655"/>
      <c r="B33" s="259" t="s">
        <v>268</v>
      </c>
      <c r="C33" s="404" t="s">
        <v>238</v>
      </c>
      <c r="D33" s="399">
        <v>0</v>
      </c>
      <c r="E33" s="399">
        <v>0</v>
      </c>
      <c r="F33" s="399">
        <v>0</v>
      </c>
      <c r="G33" s="399">
        <v>0</v>
      </c>
      <c r="H33" s="400">
        <v>567000</v>
      </c>
      <c r="I33" s="399">
        <v>0</v>
      </c>
      <c r="J33" s="400">
        <v>0</v>
      </c>
      <c r="K33" s="399">
        <v>0</v>
      </c>
      <c r="L33" s="399">
        <v>0</v>
      </c>
      <c r="M33" s="399">
        <v>0</v>
      </c>
      <c r="N33" s="401">
        <f t="shared" si="3"/>
        <v>567000</v>
      </c>
      <c r="O33" s="440">
        <v>0</v>
      </c>
      <c r="P33" s="440">
        <v>0</v>
      </c>
      <c r="Q33" s="37"/>
      <c r="R33" s="162"/>
      <c r="S33" s="37"/>
      <c r="T33" s="37"/>
      <c r="U33" s="37"/>
      <c r="V33" s="37"/>
    </row>
    <row r="34" spans="1:22" ht="32.25" customHeight="1" thickBot="1">
      <c r="A34" s="655"/>
      <c r="B34" s="259" t="s">
        <v>268</v>
      </c>
      <c r="C34" s="494" t="s">
        <v>302</v>
      </c>
      <c r="D34" s="399">
        <v>0</v>
      </c>
      <c r="E34" s="399">
        <v>0</v>
      </c>
      <c r="F34" s="399">
        <v>0</v>
      </c>
      <c r="G34" s="399">
        <v>0</v>
      </c>
      <c r="H34" s="400">
        <v>800000</v>
      </c>
      <c r="I34" s="399">
        <v>0</v>
      </c>
      <c r="J34" s="400">
        <v>0</v>
      </c>
      <c r="K34" s="399">
        <v>0</v>
      </c>
      <c r="L34" s="399">
        <v>0</v>
      </c>
      <c r="M34" s="399">
        <v>0</v>
      </c>
      <c r="N34" s="401">
        <f t="shared" si="3"/>
        <v>800000</v>
      </c>
      <c r="O34" s="440">
        <v>0</v>
      </c>
      <c r="P34" s="440">
        <v>0</v>
      </c>
      <c r="Q34" s="37"/>
      <c r="R34" s="37"/>
      <c r="S34" s="37"/>
      <c r="T34" s="37"/>
      <c r="U34" s="37"/>
      <c r="V34" s="37"/>
    </row>
    <row r="35" spans="1:22" ht="16.5" thickBot="1">
      <c r="A35" s="655"/>
      <c r="B35" s="459" t="s">
        <v>373</v>
      </c>
      <c r="C35" s="404" t="s">
        <v>374</v>
      </c>
      <c r="D35" s="399">
        <v>0</v>
      </c>
      <c r="E35" s="399">
        <v>0</v>
      </c>
      <c r="F35" s="399">
        <v>0</v>
      </c>
      <c r="G35" s="399">
        <v>0</v>
      </c>
      <c r="H35" s="400">
        <v>1000000</v>
      </c>
      <c r="I35" s="399">
        <v>0</v>
      </c>
      <c r="J35" s="400">
        <v>0</v>
      </c>
      <c r="K35" s="399">
        <v>0</v>
      </c>
      <c r="L35" s="399">
        <v>0</v>
      </c>
      <c r="M35" s="399">
        <v>0</v>
      </c>
      <c r="N35" s="401">
        <f t="shared" si="3"/>
        <v>1000000</v>
      </c>
      <c r="O35" s="440">
        <v>0</v>
      </c>
      <c r="P35" s="440">
        <v>0</v>
      </c>
      <c r="Q35" s="37"/>
      <c r="R35" s="37"/>
      <c r="S35" s="37"/>
      <c r="T35" s="37"/>
      <c r="U35" s="37"/>
      <c r="V35" s="37"/>
    </row>
    <row r="36" spans="1:22" ht="16.5" thickBot="1">
      <c r="A36" s="655"/>
      <c r="B36" s="260" t="s">
        <v>252</v>
      </c>
      <c r="C36" s="403" t="s">
        <v>271</v>
      </c>
      <c r="D36" s="399">
        <v>0</v>
      </c>
      <c r="E36" s="399">
        <v>0</v>
      </c>
      <c r="F36" s="399">
        <v>0</v>
      </c>
      <c r="G36" s="399">
        <v>0</v>
      </c>
      <c r="H36" s="400">
        <v>0</v>
      </c>
      <c r="I36" s="399">
        <v>0</v>
      </c>
      <c r="J36" s="400">
        <v>0</v>
      </c>
      <c r="K36" s="399">
        <v>0</v>
      </c>
      <c r="L36" s="451">
        <v>0</v>
      </c>
      <c r="M36" s="399">
        <v>0</v>
      </c>
      <c r="N36" s="401">
        <f t="shared" si="3"/>
        <v>0</v>
      </c>
      <c r="O36" s="440">
        <v>0</v>
      </c>
      <c r="P36" s="440">
        <v>0</v>
      </c>
      <c r="Q36" s="37"/>
      <c r="R36" s="37"/>
      <c r="S36" s="37"/>
      <c r="T36" s="37"/>
      <c r="U36" s="37"/>
      <c r="V36" s="37"/>
    </row>
    <row r="37" spans="1:22" ht="16.5" thickBot="1">
      <c r="A37" s="655"/>
      <c r="B37" s="405" t="s">
        <v>369</v>
      </c>
      <c r="C37" s="403" t="s">
        <v>371</v>
      </c>
      <c r="D37" s="399">
        <v>8483000</v>
      </c>
      <c r="E37" s="399">
        <v>1573000</v>
      </c>
      <c r="F37" s="399">
        <f>34740770+12300000</f>
        <v>47040770</v>
      </c>
      <c r="G37" s="399">
        <v>0</v>
      </c>
      <c r="H37" s="400">
        <v>0</v>
      </c>
      <c r="I37" s="399">
        <v>0</v>
      </c>
      <c r="J37" s="400">
        <v>0</v>
      </c>
      <c r="K37" s="399">
        <v>0</v>
      </c>
      <c r="L37" s="451">
        <v>5000000</v>
      </c>
      <c r="M37" s="399">
        <v>0</v>
      </c>
      <c r="N37" s="401">
        <f t="shared" si="3"/>
        <v>62096770</v>
      </c>
      <c r="O37" s="440">
        <v>0</v>
      </c>
      <c r="P37" s="440">
        <v>0</v>
      </c>
      <c r="Q37" s="37"/>
      <c r="R37" s="37"/>
      <c r="S37" s="37"/>
      <c r="T37" s="37"/>
      <c r="U37" s="37"/>
      <c r="V37" s="37"/>
    </row>
    <row r="38" spans="1:22" ht="16.5" thickBot="1">
      <c r="A38" s="655"/>
      <c r="B38" s="405" t="s">
        <v>370</v>
      </c>
      <c r="C38" s="403" t="s">
        <v>372</v>
      </c>
      <c r="D38" s="399">
        <v>13360000</v>
      </c>
      <c r="E38" s="399">
        <v>2537000</v>
      </c>
      <c r="F38" s="399">
        <f>29105898+8450000</f>
        <v>37555898</v>
      </c>
      <c r="G38" s="399">
        <v>0</v>
      </c>
      <c r="H38" s="400">
        <v>0</v>
      </c>
      <c r="I38" s="399">
        <v>0</v>
      </c>
      <c r="J38" s="400">
        <v>0</v>
      </c>
      <c r="K38" s="399">
        <v>0</v>
      </c>
      <c r="L38" s="451">
        <v>0</v>
      </c>
      <c r="M38" s="399">
        <v>0</v>
      </c>
      <c r="N38" s="401">
        <f t="shared" si="3"/>
        <v>53452898</v>
      </c>
      <c r="O38" s="440">
        <v>0</v>
      </c>
      <c r="P38" s="440">
        <v>0</v>
      </c>
      <c r="R38" s="37"/>
      <c r="S38" s="37"/>
      <c r="T38" s="37"/>
      <c r="U38" s="37"/>
      <c r="V38" s="37"/>
    </row>
    <row r="39" spans="1:22" ht="16.5" thickBot="1">
      <c r="A39" s="655"/>
      <c r="B39" s="616" t="s">
        <v>594</v>
      </c>
      <c r="C39" s="403"/>
      <c r="D39" s="399"/>
      <c r="E39" s="399"/>
      <c r="F39" s="399"/>
      <c r="G39" s="399"/>
      <c r="H39" s="400"/>
      <c r="I39" s="399"/>
      <c r="J39" s="400"/>
      <c r="K39" s="399"/>
      <c r="L39" s="451"/>
      <c r="M39" s="399"/>
      <c r="N39" s="401"/>
      <c r="O39" s="440">
        <v>0</v>
      </c>
      <c r="P39" s="440">
        <v>1</v>
      </c>
      <c r="Q39" s="37" t="s">
        <v>591</v>
      </c>
      <c r="R39" s="37"/>
      <c r="S39" s="37"/>
      <c r="T39" s="37"/>
      <c r="U39" s="37"/>
      <c r="V39" s="37"/>
    </row>
    <row r="40" spans="1:22" ht="16.5" thickBot="1">
      <c r="A40" s="655"/>
      <c r="B40" s="234" t="s">
        <v>53</v>
      </c>
      <c r="C40" s="234"/>
      <c r="D40" s="401">
        <f>SUM(D32:D38)</f>
        <v>22613400</v>
      </c>
      <c r="E40" s="401">
        <f t="shared" ref="E40:M40" si="4">SUM(E32:E38)</f>
        <v>4110000</v>
      </c>
      <c r="F40" s="401">
        <f t="shared" si="4"/>
        <v>84991668</v>
      </c>
      <c r="G40" s="401">
        <f t="shared" si="4"/>
        <v>0</v>
      </c>
      <c r="H40" s="401">
        <f t="shared" si="4"/>
        <v>2367000</v>
      </c>
      <c r="I40" s="401">
        <f t="shared" si="4"/>
        <v>0</v>
      </c>
      <c r="J40" s="401">
        <f t="shared" si="4"/>
        <v>0</v>
      </c>
      <c r="K40" s="401">
        <f t="shared" si="4"/>
        <v>0</v>
      </c>
      <c r="L40" s="401">
        <f t="shared" si="4"/>
        <v>5000000</v>
      </c>
      <c r="M40" s="401">
        <f t="shared" si="4"/>
        <v>0</v>
      </c>
      <c r="N40" s="401">
        <f>SUM(N32:N38)</f>
        <v>119082068</v>
      </c>
      <c r="O40" s="438">
        <v>0</v>
      </c>
      <c r="P40" s="438">
        <v>0</v>
      </c>
      <c r="Q40" s="37"/>
      <c r="R40" s="37"/>
      <c r="S40" s="37"/>
      <c r="T40" s="37"/>
      <c r="U40" s="37"/>
      <c r="V40" s="37"/>
    </row>
    <row r="41" spans="1:22" ht="16.5" thickBot="1">
      <c r="A41" s="655"/>
      <c r="B41" s="656" t="s">
        <v>54</v>
      </c>
      <c r="C41" s="657"/>
      <c r="D41" s="401">
        <f>D31+D40</f>
        <v>89229309</v>
      </c>
      <c r="E41" s="401">
        <f t="shared" ref="E41:N41" si="5">E31+E40</f>
        <v>16036262</v>
      </c>
      <c r="F41" s="401">
        <f t="shared" si="5"/>
        <v>159216668</v>
      </c>
      <c r="G41" s="401">
        <f t="shared" si="5"/>
        <v>84547133</v>
      </c>
      <c r="H41" s="549">
        <f t="shared" si="5"/>
        <v>4767000</v>
      </c>
      <c r="I41" s="401">
        <f t="shared" si="5"/>
        <v>107151973</v>
      </c>
      <c r="J41" s="549">
        <f t="shared" si="5"/>
        <v>10420711</v>
      </c>
      <c r="K41" s="401">
        <f t="shared" si="5"/>
        <v>1643568</v>
      </c>
      <c r="L41" s="401">
        <f t="shared" si="5"/>
        <v>231312826</v>
      </c>
      <c r="M41" s="401">
        <f t="shared" si="5"/>
        <v>42859926</v>
      </c>
      <c r="N41" s="401">
        <f t="shared" si="5"/>
        <v>747185376</v>
      </c>
      <c r="O41" s="438">
        <f>SUM(O31,O40)</f>
        <v>56</v>
      </c>
      <c r="P41" s="438">
        <f>SUM(P31,P40)</f>
        <v>57</v>
      </c>
      <c r="Q41" s="37"/>
      <c r="R41" s="37"/>
      <c r="S41" s="37"/>
      <c r="T41" s="37"/>
      <c r="U41" s="37"/>
      <c r="V41" s="37"/>
    </row>
    <row r="42" spans="1:22" ht="37.9" customHeight="1" thickBot="1">
      <c r="A42" s="655" t="s">
        <v>39</v>
      </c>
      <c r="B42" s="262" t="s">
        <v>225</v>
      </c>
      <c r="C42" s="404" t="s">
        <v>269</v>
      </c>
      <c r="D42" s="399">
        <f>71480000-D43-D44</f>
        <v>59398000</v>
      </c>
      <c r="E42" s="399">
        <f>13820000-E43-E44</f>
        <v>11651210</v>
      </c>
      <c r="F42" s="399">
        <v>12850000</v>
      </c>
      <c r="G42" s="399">
        <v>0</v>
      </c>
      <c r="H42" s="400">
        <v>0</v>
      </c>
      <c r="I42" s="399">
        <v>0</v>
      </c>
      <c r="J42" s="400">
        <v>0</v>
      </c>
      <c r="K42" s="399"/>
      <c r="L42" s="399">
        <v>1324500</v>
      </c>
      <c r="M42" s="399">
        <v>0</v>
      </c>
      <c r="N42" s="401">
        <f>SUM(D42:M42)</f>
        <v>85223710</v>
      </c>
      <c r="O42" s="439">
        <v>17</v>
      </c>
      <c r="P42" s="439">
        <v>17</v>
      </c>
      <c r="Q42" s="37"/>
      <c r="R42" s="37"/>
      <c r="S42" s="37"/>
      <c r="T42" s="37"/>
      <c r="U42" s="37"/>
      <c r="V42" s="37"/>
    </row>
    <row r="43" spans="1:22" ht="22.5" customHeight="1" thickBot="1">
      <c r="A43" s="655"/>
      <c r="B43" s="550" t="s">
        <v>369</v>
      </c>
      <c r="C43" s="403" t="s">
        <v>371</v>
      </c>
      <c r="D43" s="399">
        <v>6262000</v>
      </c>
      <c r="E43" s="399">
        <v>1104090</v>
      </c>
      <c r="F43" s="399">
        <v>0</v>
      </c>
      <c r="G43" s="399">
        <v>0</v>
      </c>
      <c r="H43" s="399">
        <v>0</v>
      </c>
      <c r="I43" s="399">
        <v>0</v>
      </c>
      <c r="J43" s="399">
        <v>0</v>
      </c>
      <c r="K43" s="399">
        <v>0</v>
      </c>
      <c r="L43" s="399">
        <v>0</v>
      </c>
      <c r="M43" s="399">
        <v>0</v>
      </c>
      <c r="N43" s="401">
        <f t="shared" ref="N43:N44" si="6">SUM(D43:M43)</f>
        <v>7366090</v>
      </c>
      <c r="O43" s="439">
        <v>0</v>
      </c>
      <c r="P43" s="439">
        <v>0</v>
      </c>
      <c r="Q43" s="37"/>
      <c r="R43" s="37"/>
      <c r="S43" s="37"/>
      <c r="T43" s="37"/>
      <c r="U43" s="37"/>
      <c r="V43" s="37"/>
    </row>
    <row r="44" spans="1:22" ht="39" customHeight="1" thickBot="1">
      <c r="A44" s="655"/>
      <c r="B44" s="551" t="s">
        <v>385</v>
      </c>
      <c r="C44" s="403" t="s">
        <v>372</v>
      </c>
      <c r="D44" s="399">
        <v>5820000</v>
      </c>
      <c r="E44" s="399">
        <v>1064700</v>
      </c>
      <c r="F44" s="399">
        <v>0</v>
      </c>
      <c r="G44" s="399">
        <v>0</v>
      </c>
      <c r="H44" s="399">
        <v>0</v>
      </c>
      <c r="I44" s="399">
        <v>0</v>
      </c>
      <c r="J44" s="399">
        <v>0</v>
      </c>
      <c r="K44" s="399">
        <v>0</v>
      </c>
      <c r="L44" s="399">
        <v>0</v>
      </c>
      <c r="M44" s="399">
        <v>0</v>
      </c>
      <c r="N44" s="401">
        <f t="shared" si="6"/>
        <v>6884700</v>
      </c>
      <c r="O44" s="439">
        <v>0</v>
      </c>
      <c r="P44" s="439">
        <v>0</v>
      </c>
      <c r="Q44" s="37"/>
      <c r="R44" s="37"/>
      <c r="S44" s="37"/>
      <c r="T44" s="37"/>
      <c r="U44" s="37"/>
      <c r="V44" s="37"/>
    </row>
    <row r="45" spans="1:22" ht="16.5" thickBot="1">
      <c r="A45" s="655"/>
      <c r="B45" s="656" t="s">
        <v>55</v>
      </c>
      <c r="C45" s="657"/>
      <c r="D45" s="401">
        <f>+D42+D43+D44</f>
        <v>71480000</v>
      </c>
      <c r="E45" s="401">
        <f t="shared" ref="E45:M45" si="7">+E42+E43+E44</f>
        <v>13820000</v>
      </c>
      <c r="F45" s="401">
        <f t="shared" si="7"/>
        <v>12850000</v>
      </c>
      <c r="G45" s="401">
        <f t="shared" si="7"/>
        <v>0</v>
      </c>
      <c r="H45" s="401">
        <f t="shared" si="7"/>
        <v>0</v>
      </c>
      <c r="I45" s="401">
        <f t="shared" si="7"/>
        <v>0</v>
      </c>
      <c r="J45" s="401">
        <f t="shared" si="7"/>
        <v>0</v>
      </c>
      <c r="K45" s="401">
        <f t="shared" si="7"/>
        <v>0</v>
      </c>
      <c r="L45" s="401">
        <f t="shared" si="7"/>
        <v>1324500</v>
      </c>
      <c r="M45" s="401">
        <f t="shared" si="7"/>
        <v>0</v>
      </c>
      <c r="N45" s="401">
        <f>+N42+N44+N43</f>
        <v>99474500</v>
      </c>
      <c r="O45" s="438">
        <v>17</v>
      </c>
      <c r="P45" s="438">
        <v>17</v>
      </c>
      <c r="Q45" s="37"/>
      <c r="R45" s="37"/>
      <c r="S45" s="37"/>
      <c r="T45" s="37"/>
      <c r="U45" s="37"/>
      <c r="V45" s="37"/>
    </row>
    <row r="46" spans="1:22" ht="18.95" customHeight="1" thickBot="1">
      <c r="A46" s="655" t="s">
        <v>41</v>
      </c>
      <c r="B46" s="259" t="s">
        <v>290</v>
      </c>
      <c r="C46" s="233" t="s">
        <v>292</v>
      </c>
      <c r="D46" s="399">
        <v>7326600</v>
      </c>
      <c r="E46" s="399">
        <v>1255000</v>
      </c>
      <c r="F46" s="399">
        <f>8010000-F47-F48-F49</f>
        <v>6795000</v>
      </c>
      <c r="G46" s="399">
        <v>20000</v>
      </c>
      <c r="H46" s="400">
        <v>0</v>
      </c>
      <c r="I46" s="399">
        <v>0</v>
      </c>
      <c r="J46" s="400">
        <v>0</v>
      </c>
      <c r="K46" s="399"/>
      <c r="L46" s="399">
        <v>127000</v>
      </c>
      <c r="M46" s="399">
        <v>0</v>
      </c>
      <c r="N46" s="401">
        <f>SUM(D46:M46)</f>
        <v>15523600</v>
      </c>
      <c r="O46" s="439">
        <v>3</v>
      </c>
      <c r="P46" s="439">
        <v>3</v>
      </c>
      <c r="R46" s="37"/>
      <c r="S46" s="37"/>
      <c r="T46" s="37"/>
      <c r="U46" s="37"/>
      <c r="V46" s="37"/>
    </row>
    <row r="47" spans="1:22" ht="30.75" customHeight="1" thickBot="1">
      <c r="A47" s="655"/>
      <c r="B47" s="546" t="s">
        <v>516</v>
      </c>
      <c r="C47" s="547" t="s">
        <v>517</v>
      </c>
      <c r="D47" s="399">
        <v>0</v>
      </c>
      <c r="E47" s="399">
        <v>0</v>
      </c>
      <c r="F47" s="399">
        <v>50000</v>
      </c>
      <c r="G47" s="399">
        <v>0</v>
      </c>
      <c r="H47" s="399">
        <v>0</v>
      </c>
      <c r="I47" s="399">
        <v>0</v>
      </c>
      <c r="J47" s="399">
        <v>0</v>
      </c>
      <c r="K47" s="399">
        <v>0</v>
      </c>
      <c r="L47" s="399">
        <v>0</v>
      </c>
      <c r="M47" s="399">
        <v>0</v>
      </c>
      <c r="N47" s="401">
        <f t="shared" ref="N47:N49" si="8">SUM(D47:M47)</f>
        <v>50000</v>
      </c>
      <c r="O47" s="439">
        <v>0</v>
      </c>
      <c r="P47" s="439">
        <v>0</v>
      </c>
      <c r="Q47" s="37"/>
      <c r="R47" s="37"/>
      <c r="S47" s="37"/>
      <c r="T47" s="37"/>
      <c r="U47" s="37"/>
      <c r="V47" s="37"/>
    </row>
    <row r="48" spans="1:22" ht="18.95" customHeight="1" thickBot="1">
      <c r="A48" s="655"/>
      <c r="B48" s="546" t="s">
        <v>518</v>
      </c>
      <c r="C48" s="461" t="s">
        <v>519</v>
      </c>
      <c r="D48" s="399">
        <v>0</v>
      </c>
      <c r="E48" s="399">
        <v>0</v>
      </c>
      <c r="F48" s="399">
        <f>1000000+15000+100000</f>
        <v>1115000</v>
      </c>
      <c r="G48" s="399">
        <v>0</v>
      </c>
      <c r="H48" s="399">
        <v>0</v>
      </c>
      <c r="I48" s="399">
        <v>0</v>
      </c>
      <c r="J48" s="399">
        <v>0</v>
      </c>
      <c r="K48" s="399">
        <v>0</v>
      </c>
      <c r="L48" s="399">
        <v>0</v>
      </c>
      <c r="M48" s="399">
        <v>0</v>
      </c>
      <c r="N48" s="401">
        <f t="shared" si="8"/>
        <v>1115000</v>
      </c>
      <c r="O48" s="439">
        <v>0</v>
      </c>
      <c r="P48" s="439">
        <v>0</v>
      </c>
      <c r="Q48" s="37"/>
      <c r="R48" s="37"/>
      <c r="S48" s="37"/>
      <c r="T48" s="37"/>
      <c r="U48" s="37"/>
      <c r="V48" s="37"/>
    </row>
    <row r="49" spans="1:22" ht="32.25" customHeight="1" thickBot="1">
      <c r="A49" s="655"/>
      <c r="B49" s="546" t="s">
        <v>520</v>
      </c>
      <c r="C49" s="547" t="s">
        <v>521</v>
      </c>
      <c r="D49" s="399">
        <v>0</v>
      </c>
      <c r="E49" s="399">
        <v>0</v>
      </c>
      <c r="F49" s="399">
        <v>50000</v>
      </c>
      <c r="G49" s="399">
        <v>0</v>
      </c>
      <c r="H49" s="399">
        <v>0</v>
      </c>
      <c r="I49" s="399">
        <v>0</v>
      </c>
      <c r="J49" s="399">
        <v>0</v>
      </c>
      <c r="K49" s="399">
        <v>0</v>
      </c>
      <c r="L49" s="399">
        <v>0</v>
      </c>
      <c r="M49" s="399">
        <v>0</v>
      </c>
      <c r="N49" s="401">
        <f t="shared" si="8"/>
        <v>50000</v>
      </c>
      <c r="O49" s="439">
        <v>0</v>
      </c>
      <c r="P49" s="439">
        <v>0</v>
      </c>
      <c r="Q49" s="37"/>
      <c r="R49" s="37"/>
      <c r="S49" s="37"/>
      <c r="T49" s="37"/>
      <c r="U49" s="37"/>
      <c r="V49" s="37"/>
    </row>
    <row r="50" spans="1:22" ht="22.5" customHeight="1" thickBot="1">
      <c r="A50" s="655"/>
      <c r="B50" s="656" t="s">
        <v>291</v>
      </c>
      <c r="C50" s="657"/>
      <c r="D50" s="401">
        <f>SUM(+D46+D47+D48+D49)</f>
        <v>7326600</v>
      </c>
      <c r="E50" s="401">
        <f t="shared" ref="E50:M50" si="9">SUM(+E46+E47+E48+E49)</f>
        <v>1255000</v>
      </c>
      <c r="F50" s="401">
        <f t="shared" si="9"/>
        <v>8010000</v>
      </c>
      <c r="G50" s="401">
        <f t="shared" si="9"/>
        <v>20000</v>
      </c>
      <c r="H50" s="401">
        <f t="shared" si="9"/>
        <v>0</v>
      </c>
      <c r="I50" s="401">
        <f t="shared" si="9"/>
        <v>0</v>
      </c>
      <c r="J50" s="401">
        <f t="shared" si="9"/>
        <v>0</v>
      </c>
      <c r="K50" s="401">
        <f t="shared" si="9"/>
        <v>0</v>
      </c>
      <c r="L50" s="401">
        <f t="shared" si="9"/>
        <v>127000</v>
      </c>
      <c r="M50" s="401">
        <f t="shared" si="9"/>
        <v>0</v>
      </c>
      <c r="N50" s="401">
        <f>SUM(N46:N49)</f>
        <v>16738600</v>
      </c>
      <c r="O50" s="438">
        <v>3</v>
      </c>
      <c r="P50" s="438">
        <v>3</v>
      </c>
      <c r="Q50" s="37"/>
      <c r="R50" s="37"/>
      <c r="S50" s="37"/>
      <c r="T50" s="37"/>
      <c r="U50" s="37"/>
      <c r="V50" s="37"/>
    </row>
    <row r="51" spans="1:22" ht="15.75" customHeight="1" thickBot="1">
      <c r="A51" s="492"/>
      <c r="B51" s="510" t="s">
        <v>436</v>
      </c>
      <c r="C51" s="404" t="s">
        <v>437</v>
      </c>
      <c r="D51" s="399">
        <v>0</v>
      </c>
      <c r="E51" s="399">
        <v>0</v>
      </c>
      <c r="F51" s="399">
        <v>1000000</v>
      </c>
      <c r="G51" s="399">
        <v>0</v>
      </c>
      <c r="H51" s="399">
        <v>0</v>
      </c>
      <c r="I51" s="399">
        <v>0</v>
      </c>
      <c r="J51" s="399">
        <v>0</v>
      </c>
      <c r="K51" s="399">
        <v>0</v>
      </c>
      <c r="L51" s="399">
        <v>0</v>
      </c>
      <c r="M51" s="399">
        <v>0</v>
      </c>
      <c r="N51" s="401">
        <f>SUM(D51:M51)</f>
        <v>1000000</v>
      </c>
      <c r="O51" s="439"/>
      <c r="P51" s="439"/>
      <c r="Q51" s="37"/>
      <c r="R51" s="37"/>
      <c r="S51" s="37"/>
      <c r="T51" s="37"/>
      <c r="U51" s="37"/>
      <c r="V51" s="37"/>
    </row>
    <row r="52" spans="1:22" ht="15.75" customHeight="1" thickBot="1">
      <c r="A52" s="655" t="s">
        <v>43</v>
      </c>
      <c r="B52" s="510" t="s">
        <v>295</v>
      </c>
      <c r="C52" s="404" t="s">
        <v>293</v>
      </c>
      <c r="D52" s="399">
        <v>3350000</v>
      </c>
      <c r="E52" s="399">
        <v>650000</v>
      </c>
      <c r="F52" s="399">
        <f>2310000-1000000</f>
        <v>1310000</v>
      </c>
      <c r="G52" s="399">
        <v>0</v>
      </c>
      <c r="H52" s="400">
        <v>0</v>
      </c>
      <c r="I52" s="399">
        <v>0</v>
      </c>
      <c r="J52" s="400">
        <v>0</v>
      </c>
      <c r="K52" s="399"/>
      <c r="L52" s="399">
        <v>317500</v>
      </c>
      <c r="M52" s="399">
        <v>0</v>
      </c>
      <c r="N52" s="401">
        <f>SUM(D52:M52)</f>
        <v>5627500</v>
      </c>
      <c r="O52" s="439">
        <v>1</v>
      </c>
      <c r="P52" s="439">
        <v>1</v>
      </c>
      <c r="Q52" s="37"/>
      <c r="R52" s="37"/>
      <c r="S52" s="37"/>
      <c r="T52" s="37"/>
      <c r="U52" s="37"/>
      <c r="V52" s="37"/>
    </row>
    <row r="53" spans="1:22" ht="21" customHeight="1" thickBot="1">
      <c r="A53" s="655"/>
      <c r="B53" s="656" t="s">
        <v>294</v>
      </c>
      <c r="C53" s="657"/>
      <c r="D53" s="401">
        <f>SUM(D51:D52)</f>
        <v>3350000</v>
      </c>
      <c r="E53" s="401">
        <f t="shared" ref="E53:M53" si="10">SUM(E51:E52)</f>
        <v>650000</v>
      </c>
      <c r="F53" s="401">
        <f t="shared" si="10"/>
        <v>2310000</v>
      </c>
      <c r="G53" s="401">
        <f t="shared" si="10"/>
        <v>0</v>
      </c>
      <c r="H53" s="401">
        <f t="shared" si="10"/>
        <v>0</v>
      </c>
      <c r="I53" s="401">
        <f t="shared" si="10"/>
        <v>0</v>
      </c>
      <c r="J53" s="401">
        <f t="shared" si="10"/>
        <v>0</v>
      </c>
      <c r="K53" s="401">
        <f t="shared" si="10"/>
        <v>0</v>
      </c>
      <c r="L53" s="401">
        <f t="shared" si="10"/>
        <v>317500</v>
      </c>
      <c r="M53" s="401">
        <f t="shared" si="10"/>
        <v>0</v>
      </c>
      <c r="N53" s="401">
        <f>+N51+N52</f>
        <v>6627500</v>
      </c>
      <c r="O53" s="438">
        <v>1</v>
      </c>
      <c r="P53" s="438">
        <v>1</v>
      </c>
      <c r="Q53" s="37"/>
      <c r="R53" s="37"/>
      <c r="S53" s="37"/>
      <c r="T53" s="37"/>
      <c r="U53" s="37"/>
      <c r="V53" s="37"/>
    </row>
    <row r="54" spans="1:22" ht="21" customHeight="1" thickBot="1">
      <c r="A54" s="658" t="s">
        <v>215</v>
      </c>
      <c r="B54" s="263" t="s">
        <v>296</v>
      </c>
      <c r="C54" s="264" t="s">
        <v>286</v>
      </c>
      <c r="D54" s="435">
        <v>7300000</v>
      </c>
      <c r="E54" s="435">
        <v>1417372</v>
      </c>
      <c r="F54" s="435">
        <v>1480000</v>
      </c>
      <c r="G54" s="435">
        <v>0</v>
      </c>
      <c r="H54" s="436">
        <v>0</v>
      </c>
      <c r="I54" s="435">
        <v>0</v>
      </c>
      <c r="J54" s="436">
        <v>0</v>
      </c>
      <c r="K54" s="399">
        <v>0</v>
      </c>
      <c r="L54" s="435">
        <v>0</v>
      </c>
      <c r="M54" s="435">
        <v>0</v>
      </c>
      <c r="N54" s="402">
        <f t="shared" ref="N54:N61" si="11">SUM(D54:M54)</f>
        <v>10197372</v>
      </c>
      <c r="O54" s="437">
        <v>4</v>
      </c>
      <c r="P54" s="437">
        <v>4</v>
      </c>
      <c r="Q54" s="37"/>
      <c r="R54" s="37"/>
      <c r="S54" s="37"/>
      <c r="T54" s="37"/>
      <c r="U54" s="37"/>
      <c r="V54" s="37"/>
    </row>
    <row r="55" spans="1:22" ht="21" customHeight="1" thickBot="1">
      <c r="A55" s="659"/>
      <c r="B55" s="263" t="s">
        <v>297</v>
      </c>
      <c r="C55" s="264" t="s">
        <v>287</v>
      </c>
      <c r="D55" s="435">
        <f>7180000+40000</f>
        <v>7220000</v>
      </c>
      <c r="E55" s="435">
        <f>1366967+7873</f>
        <v>1374840</v>
      </c>
      <c r="F55" s="435">
        <v>1200000</v>
      </c>
      <c r="G55" s="435">
        <v>0</v>
      </c>
      <c r="H55" s="436">
        <v>0</v>
      </c>
      <c r="I55" s="435">
        <v>0</v>
      </c>
      <c r="J55" s="436">
        <v>0</v>
      </c>
      <c r="K55" s="399">
        <v>0</v>
      </c>
      <c r="L55" s="435">
        <v>0</v>
      </c>
      <c r="M55" s="435">
        <v>0</v>
      </c>
      <c r="N55" s="402">
        <f t="shared" si="11"/>
        <v>9794840</v>
      </c>
      <c r="O55" s="437">
        <v>2</v>
      </c>
      <c r="P55" s="437">
        <v>2</v>
      </c>
      <c r="Q55" s="37"/>
      <c r="R55" s="37"/>
      <c r="S55" s="37"/>
      <c r="T55" s="37"/>
      <c r="U55" s="37"/>
      <c r="V55" s="37"/>
    </row>
    <row r="56" spans="1:22" ht="21" customHeight="1" thickBot="1">
      <c r="A56" s="659"/>
      <c r="B56" s="263" t="s">
        <v>298</v>
      </c>
      <c r="C56" s="264" t="s">
        <v>288</v>
      </c>
      <c r="D56" s="435">
        <v>2480000</v>
      </c>
      <c r="E56" s="435">
        <v>483402</v>
      </c>
      <c r="F56" s="435">
        <v>4000000</v>
      </c>
      <c r="G56" s="435">
        <v>0</v>
      </c>
      <c r="H56" s="436">
        <v>0</v>
      </c>
      <c r="I56" s="435">
        <v>0</v>
      </c>
      <c r="J56" s="436">
        <v>0</v>
      </c>
      <c r="K56" s="399">
        <v>0</v>
      </c>
      <c r="L56" s="435">
        <v>630000</v>
      </c>
      <c r="M56" s="435">
        <v>0</v>
      </c>
      <c r="N56" s="402">
        <f t="shared" si="11"/>
        <v>7593402</v>
      </c>
      <c r="O56" s="437">
        <v>2</v>
      </c>
      <c r="P56" s="437">
        <v>6</v>
      </c>
      <c r="Q56" s="37" t="s">
        <v>592</v>
      </c>
      <c r="R56" s="37"/>
      <c r="S56" s="37"/>
      <c r="T56" s="37"/>
      <c r="U56" s="37"/>
      <c r="V56" s="37"/>
    </row>
    <row r="57" spans="1:22" ht="40.5" customHeight="1" thickBot="1">
      <c r="A57" s="659"/>
      <c r="B57" s="263" t="s">
        <v>522</v>
      </c>
      <c r="C57" s="548" t="s">
        <v>523</v>
      </c>
      <c r="D57" s="399">
        <v>0</v>
      </c>
      <c r="E57" s="399">
        <v>0</v>
      </c>
      <c r="F57" s="435">
        <v>500000</v>
      </c>
      <c r="G57" s="399">
        <v>0</v>
      </c>
      <c r="H57" s="399">
        <v>0</v>
      </c>
      <c r="I57" s="399">
        <v>0</v>
      </c>
      <c r="J57" s="399">
        <v>0</v>
      </c>
      <c r="K57" s="399">
        <v>0</v>
      </c>
      <c r="L57" s="399">
        <v>0</v>
      </c>
      <c r="M57" s="399">
        <v>0</v>
      </c>
      <c r="N57" s="402">
        <f t="shared" si="11"/>
        <v>500000</v>
      </c>
      <c r="O57" s="437">
        <v>0</v>
      </c>
      <c r="P57" s="437">
        <v>0</v>
      </c>
      <c r="Q57" s="37"/>
      <c r="R57" s="37"/>
      <c r="S57" s="37"/>
      <c r="T57" s="37"/>
      <c r="U57" s="37"/>
      <c r="V57" s="37"/>
    </row>
    <row r="58" spans="1:22" ht="21" customHeight="1" thickBot="1">
      <c r="A58" s="659"/>
      <c r="B58" s="263" t="s">
        <v>299</v>
      </c>
      <c r="C58" s="264" t="s">
        <v>289</v>
      </c>
      <c r="D58" s="435">
        <v>2440000</v>
      </c>
      <c r="E58" s="435">
        <v>475473</v>
      </c>
      <c r="F58" s="435">
        <v>15000000</v>
      </c>
      <c r="G58" s="435">
        <v>0</v>
      </c>
      <c r="H58" s="436">
        <v>0</v>
      </c>
      <c r="I58" s="435">
        <v>0</v>
      </c>
      <c r="J58" s="436">
        <v>0</v>
      </c>
      <c r="K58" s="399">
        <v>0</v>
      </c>
      <c r="L58" s="435">
        <v>0</v>
      </c>
      <c r="M58" s="435">
        <v>0</v>
      </c>
      <c r="N58" s="402">
        <f t="shared" si="11"/>
        <v>17915473</v>
      </c>
      <c r="O58" s="437">
        <v>1</v>
      </c>
      <c r="P58" s="437">
        <v>1</v>
      </c>
      <c r="Q58" s="37"/>
      <c r="R58" s="37"/>
      <c r="S58" s="37"/>
      <c r="T58" s="37"/>
      <c r="U58" s="37"/>
      <c r="V58" s="37"/>
    </row>
    <row r="59" spans="1:22" ht="21" customHeight="1" thickBot="1">
      <c r="A59" s="659"/>
      <c r="B59" s="263" t="s">
        <v>265</v>
      </c>
      <c r="C59" s="264" t="s">
        <v>338</v>
      </c>
      <c r="D59" s="435">
        <v>0</v>
      </c>
      <c r="E59" s="435">
        <v>0</v>
      </c>
      <c r="F59" s="435">
        <v>1500000</v>
      </c>
      <c r="G59" s="435">
        <v>0</v>
      </c>
      <c r="H59" s="436">
        <v>0</v>
      </c>
      <c r="I59" s="435">
        <v>0</v>
      </c>
      <c r="J59" s="436">
        <v>0</v>
      </c>
      <c r="K59" s="399">
        <v>0</v>
      </c>
      <c r="L59" s="435">
        <v>0</v>
      </c>
      <c r="M59" s="435">
        <v>0</v>
      </c>
      <c r="N59" s="402">
        <f t="shared" si="11"/>
        <v>1500000</v>
      </c>
      <c r="O59" s="437">
        <v>0</v>
      </c>
      <c r="P59" s="437">
        <v>0</v>
      </c>
      <c r="Q59" s="37"/>
      <c r="R59" s="37"/>
      <c r="S59" s="37"/>
      <c r="T59" s="37"/>
      <c r="U59" s="37"/>
      <c r="V59" s="37"/>
    </row>
    <row r="60" spans="1:22" ht="21" customHeight="1" thickBot="1">
      <c r="A60" s="659"/>
      <c r="B60" s="263" t="s">
        <v>264</v>
      </c>
      <c r="C60" s="264" t="s">
        <v>337</v>
      </c>
      <c r="D60" s="435">
        <v>0</v>
      </c>
      <c r="E60" s="435">
        <v>0</v>
      </c>
      <c r="F60" s="435">
        <v>2500000</v>
      </c>
      <c r="G60" s="435">
        <v>0</v>
      </c>
      <c r="H60" s="436">
        <v>0</v>
      </c>
      <c r="I60" s="435">
        <v>0</v>
      </c>
      <c r="J60" s="436">
        <v>0</v>
      </c>
      <c r="K60" s="399">
        <v>0</v>
      </c>
      <c r="L60" s="435">
        <v>0</v>
      </c>
      <c r="M60" s="435">
        <v>0</v>
      </c>
      <c r="N60" s="402">
        <f t="shared" si="11"/>
        <v>2500000</v>
      </c>
      <c r="O60" s="437">
        <v>0</v>
      </c>
      <c r="P60" s="437">
        <v>0</v>
      </c>
      <c r="Q60" s="37"/>
      <c r="R60" s="37"/>
      <c r="S60" s="37"/>
      <c r="T60" s="37"/>
      <c r="U60" s="37"/>
      <c r="V60" s="37"/>
    </row>
    <row r="61" spans="1:22" ht="21" customHeight="1" thickBot="1">
      <c r="A61" s="659"/>
      <c r="B61" s="263" t="s">
        <v>231</v>
      </c>
      <c r="C61" s="264" t="s">
        <v>282</v>
      </c>
      <c r="D61" s="435">
        <f>20960000+500000</f>
        <v>21460000</v>
      </c>
      <c r="E61" s="435">
        <v>4086713</v>
      </c>
      <c r="F61" s="435">
        <v>35000000</v>
      </c>
      <c r="G61" s="435">
        <v>0</v>
      </c>
      <c r="H61" s="436">
        <v>0</v>
      </c>
      <c r="I61" s="435">
        <v>0</v>
      </c>
      <c r="J61" s="436">
        <v>0</v>
      </c>
      <c r="K61" s="399">
        <v>0</v>
      </c>
      <c r="L61" s="435">
        <v>0</v>
      </c>
      <c r="M61" s="435">
        <v>0</v>
      </c>
      <c r="N61" s="402">
        <f t="shared" si="11"/>
        <v>60546713</v>
      </c>
      <c r="O61" s="437">
        <v>9</v>
      </c>
      <c r="P61" s="437">
        <v>8</v>
      </c>
      <c r="Q61" s="37" t="s">
        <v>593</v>
      </c>
      <c r="R61" s="37"/>
      <c r="S61" s="37"/>
      <c r="T61" s="37"/>
      <c r="U61" s="37"/>
      <c r="V61" s="37"/>
    </row>
    <row r="62" spans="1:22" ht="33" customHeight="1" thickBot="1">
      <c r="A62" s="660"/>
      <c r="B62" s="661" t="s">
        <v>300</v>
      </c>
      <c r="C62" s="662"/>
      <c r="D62" s="401">
        <f>SUM(D54:D61)</f>
        <v>40900000</v>
      </c>
      <c r="E62" s="401">
        <f>SUM(E54:E61)</f>
        <v>7837800</v>
      </c>
      <c r="F62" s="401">
        <f>SUM(F54:F61)</f>
        <v>61180000</v>
      </c>
      <c r="G62" s="401">
        <f t="shared" ref="G62:N62" si="12">SUM(G54:G61)</f>
        <v>0</v>
      </c>
      <c r="H62" s="549">
        <f t="shared" si="12"/>
        <v>0</v>
      </c>
      <c r="I62" s="401">
        <f t="shared" si="12"/>
        <v>0</v>
      </c>
      <c r="J62" s="549">
        <f t="shared" si="12"/>
        <v>0</v>
      </c>
      <c r="K62" s="401">
        <f>SUM(K54:K61)</f>
        <v>0</v>
      </c>
      <c r="L62" s="401">
        <f t="shared" si="12"/>
        <v>630000</v>
      </c>
      <c r="M62" s="401">
        <f t="shared" si="12"/>
        <v>0</v>
      </c>
      <c r="N62" s="401">
        <f t="shared" si="12"/>
        <v>110547800</v>
      </c>
      <c r="O62" s="438">
        <f>SUM(O54:O61)</f>
        <v>18</v>
      </c>
      <c r="P62" s="438">
        <f>SUM(P54:P61)</f>
        <v>21</v>
      </c>
      <c r="Q62" s="37"/>
      <c r="R62" s="37"/>
      <c r="S62" s="37"/>
      <c r="T62" s="37"/>
      <c r="U62" s="37"/>
      <c r="V62" s="37"/>
    </row>
    <row r="63" spans="1:22" ht="26.25" customHeight="1" thickBot="1">
      <c r="A63" s="652" t="s">
        <v>56</v>
      </c>
      <c r="B63" s="652"/>
      <c r="C63" s="652"/>
      <c r="D63" s="401">
        <f t="shared" ref="D63:O63" si="13">SUM(D41,D45,D50,D53,D62)</f>
        <v>212285909</v>
      </c>
      <c r="E63" s="401">
        <f t="shared" si="13"/>
        <v>39599062</v>
      </c>
      <c r="F63" s="401">
        <f t="shared" si="13"/>
        <v>243566668</v>
      </c>
      <c r="G63" s="401">
        <f t="shared" si="13"/>
        <v>84567133</v>
      </c>
      <c r="H63" s="549">
        <f t="shared" si="13"/>
        <v>4767000</v>
      </c>
      <c r="I63" s="401">
        <f t="shared" si="13"/>
        <v>107151973</v>
      </c>
      <c r="J63" s="401">
        <f t="shared" si="13"/>
        <v>10420711</v>
      </c>
      <c r="K63" s="401">
        <f t="shared" si="13"/>
        <v>1643568</v>
      </c>
      <c r="L63" s="401">
        <f t="shared" si="13"/>
        <v>233711826</v>
      </c>
      <c r="M63" s="401">
        <f t="shared" si="13"/>
        <v>42859926</v>
      </c>
      <c r="N63" s="401">
        <f t="shared" si="13"/>
        <v>980573776</v>
      </c>
      <c r="O63" s="438">
        <f t="shared" si="13"/>
        <v>95</v>
      </c>
      <c r="P63" s="438">
        <f t="shared" ref="P63" si="14">SUM(P41,P45,P50,P53,P62)</f>
        <v>99</v>
      </c>
      <c r="Q63" s="37"/>
      <c r="R63" s="37"/>
      <c r="S63" s="37"/>
      <c r="T63" s="37"/>
      <c r="U63" s="37"/>
      <c r="V63" s="37"/>
    </row>
    <row r="65" spans="14:14">
      <c r="N65" s="44"/>
    </row>
    <row r="66" spans="14:14">
      <c r="N66" s="44"/>
    </row>
    <row r="67" spans="14:14">
      <c r="N67" s="463"/>
    </row>
  </sheetData>
  <mergeCells count="20">
    <mergeCell ref="P4:P5"/>
    <mergeCell ref="A1:N1"/>
    <mergeCell ref="A2:N2"/>
    <mergeCell ref="A4:A5"/>
    <mergeCell ref="B4:B5"/>
    <mergeCell ref="C4:C5"/>
    <mergeCell ref="D4:L4"/>
    <mergeCell ref="O4:O5"/>
    <mergeCell ref="A63:C63"/>
    <mergeCell ref="N4:N5"/>
    <mergeCell ref="A6:A41"/>
    <mergeCell ref="B41:C41"/>
    <mergeCell ref="A42:A45"/>
    <mergeCell ref="B45:C45"/>
    <mergeCell ref="A46:A50"/>
    <mergeCell ref="B50:C50"/>
    <mergeCell ref="A52:A53"/>
    <mergeCell ref="B53:C53"/>
    <mergeCell ref="A54:A62"/>
    <mergeCell ref="B62:C62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60" orientation="landscape" r:id="rId1"/>
  <colBreaks count="1" manualBreakCount="1">
    <brk id="1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8"/>
  <sheetViews>
    <sheetView zoomScale="80" zoomScaleNormal="80" workbookViewId="0">
      <pane xSplit="2" ySplit="5" topLeftCell="C12" activePane="bottomRight" state="frozen"/>
      <selection activeCell="C6" sqref="C6:D6"/>
      <selection pane="topRight" activeCell="C6" sqref="C6:D6"/>
      <selection pane="bottomLeft" activeCell="C6" sqref="C6:D6"/>
      <selection pane="bottomRight" activeCell="K5" sqref="K5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9.5703125" style="39" customWidth="1"/>
    <col min="4" max="5" width="16" style="39" customWidth="1"/>
    <col min="6" max="7" width="14.42578125" style="39" customWidth="1"/>
    <col min="8" max="9" width="15.28515625" style="39" customWidth="1"/>
    <col min="10" max="10" width="18.5703125" style="39" customWidth="1"/>
    <col min="11" max="13" width="14.85546875" style="39" customWidth="1"/>
    <col min="14" max="15" width="16.85546875" style="39" customWidth="1"/>
    <col min="16" max="17" width="18" style="39" customWidth="1"/>
    <col min="18" max="18" width="15.85546875" style="39" customWidth="1"/>
    <col min="19" max="19" width="7.42578125" style="39" bestFit="1" customWidth="1"/>
    <col min="20" max="22" width="10.5703125" style="39" bestFit="1" customWidth="1"/>
    <col min="23" max="23" width="5.140625" style="45" bestFit="1" customWidth="1"/>
    <col min="24" max="24" width="7.140625" style="39" bestFit="1" customWidth="1"/>
    <col min="25" max="16384" width="8.85546875" style="37"/>
  </cols>
  <sheetData>
    <row r="1" spans="1:33" ht="15.75">
      <c r="A1" s="621" t="s">
        <v>601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35"/>
      <c r="S1" s="35"/>
      <c r="T1" s="35"/>
      <c r="U1" s="35"/>
      <c r="V1" s="35"/>
      <c r="W1" s="35"/>
      <c r="X1" s="36"/>
      <c r="Y1" s="35" t="s">
        <v>45</v>
      </c>
      <c r="Z1" s="36"/>
    </row>
    <row r="2" spans="1:33" ht="33.75" customHeight="1">
      <c r="A2" s="665" t="s">
        <v>500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38"/>
    </row>
    <row r="3" spans="1:33" ht="16.5" thickBot="1">
      <c r="B3" s="40"/>
      <c r="C3" s="40"/>
      <c r="D3" s="41"/>
      <c r="E3" s="41"/>
      <c r="F3" s="41"/>
      <c r="G3" s="41"/>
      <c r="H3" s="41"/>
      <c r="I3" s="41"/>
      <c r="J3" s="41" t="s">
        <v>322</v>
      </c>
      <c r="K3" s="41"/>
      <c r="L3" s="41"/>
      <c r="M3" s="41"/>
      <c r="N3" s="41"/>
      <c r="O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  <c r="AB3" s="42"/>
      <c r="AC3" s="42"/>
      <c r="AD3" s="43"/>
      <c r="AE3" s="39"/>
    </row>
    <row r="4" spans="1:33" ht="39" customHeight="1" thickBot="1">
      <c r="A4" s="666" t="s">
        <v>46</v>
      </c>
      <c r="B4" s="668" t="s">
        <v>320</v>
      </c>
      <c r="C4" s="676" t="s">
        <v>47</v>
      </c>
      <c r="D4" s="677" t="s">
        <v>301</v>
      </c>
      <c r="E4" s="678"/>
      <c r="F4" s="678"/>
      <c r="G4" s="678"/>
      <c r="H4" s="678"/>
      <c r="I4" s="678"/>
      <c r="J4" s="679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33" ht="114" customHeight="1" thickBot="1">
      <c r="A5" s="667"/>
      <c r="B5" s="669"/>
      <c r="C5" s="671"/>
      <c r="D5" s="561" t="s">
        <v>528</v>
      </c>
      <c r="E5" s="561" t="s">
        <v>529</v>
      </c>
      <c r="F5" s="562" t="s">
        <v>530</v>
      </c>
      <c r="G5" s="562" t="s">
        <v>440</v>
      </c>
      <c r="H5" s="562" t="s">
        <v>445</v>
      </c>
      <c r="I5" s="562" t="s">
        <v>531</v>
      </c>
      <c r="J5" s="563" t="s">
        <v>382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33" ht="16.5" thickBot="1">
      <c r="A6" s="655" t="s">
        <v>38</v>
      </c>
      <c r="B6" s="259" t="s">
        <v>225</v>
      </c>
      <c r="C6" s="233" t="s">
        <v>269</v>
      </c>
      <c r="D6" s="399">
        <v>5000</v>
      </c>
      <c r="E6" s="399">
        <f>15586559+2400000</f>
        <v>17986559</v>
      </c>
      <c r="F6" s="555"/>
      <c r="G6" s="399">
        <f>45452932+460780</f>
        <v>45913712</v>
      </c>
      <c r="H6" s="555"/>
      <c r="I6" s="559"/>
      <c r="J6" s="464">
        <f t="shared" ref="J6:J36" si="0">+I6+H6+G6+F6+E6+D6</f>
        <v>63905271</v>
      </c>
      <c r="K6" s="162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33" ht="16.5" thickBot="1">
      <c r="A7" s="655"/>
      <c r="B7" s="259" t="s">
        <v>250</v>
      </c>
      <c r="C7" s="233" t="s">
        <v>331</v>
      </c>
      <c r="D7" s="399">
        <v>60000</v>
      </c>
      <c r="E7" s="555"/>
      <c r="F7" s="555"/>
      <c r="G7" s="399"/>
      <c r="H7" s="555"/>
      <c r="I7" s="559"/>
      <c r="J7" s="464">
        <f t="shared" si="0"/>
        <v>60000</v>
      </c>
      <c r="K7" s="162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33" ht="16.5" thickBot="1">
      <c r="A8" s="655"/>
      <c r="B8" s="259" t="s">
        <v>251</v>
      </c>
      <c r="C8" s="233" t="s">
        <v>270</v>
      </c>
      <c r="D8" s="399">
        <v>12400000</v>
      </c>
      <c r="E8" s="399">
        <v>10665000</v>
      </c>
      <c r="F8" s="555"/>
      <c r="G8" s="399">
        <f>4656766+93750</f>
        <v>4750516</v>
      </c>
      <c r="H8" s="555"/>
      <c r="I8" s="559"/>
      <c r="J8" s="464">
        <f t="shared" si="0"/>
        <v>27815516</v>
      </c>
      <c r="K8" s="162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33" ht="16.5" thickBot="1">
      <c r="A9" s="655"/>
      <c r="B9" s="259" t="s">
        <v>367</v>
      </c>
      <c r="C9" s="404" t="s">
        <v>368</v>
      </c>
      <c r="D9" s="555"/>
      <c r="E9" s="399"/>
      <c r="F9" s="555"/>
      <c r="G9" s="451"/>
      <c r="H9" s="559"/>
      <c r="I9" s="559"/>
      <c r="J9" s="464">
        <f t="shared" si="0"/>
        <v>0</v>
      </c>
      <c r="K9" s="162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33" ht="16.5" thickBot="1">
      <c r="A10" s="655"/>
      <c r="B10" s="259" t="s">
        <v>432</v>
      </c>
      <c r="C10" s="404" t="s">
        <v>433</v>
      </c>
      <c r="D10" s="555"/>
      <c r="E10" s="555"/>
      <c r="F10" s="555"/>
      <c r="G10" s="451"/>
      <c r="H10" s="559"/>
      <c r="I10" s="559"/>
      <c r="J10" s="464">
        <f t="shared" si="0"/>
        <v>0</v>
      </c>
      <c r="K10" s="162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33" ht="16.5" thickBot="1">
      <c r="A11" s="655"/>
      <c r="B11" s="259" t="s">
        <v>253</v>
      </c>
      <c r="C11" s="403" t="s">
        <v>272</v>
      </c>
      <c r="D11" s="555"/>
      <c r="E11" s="555"/>
      <c r="F11" s="555"/>
      <c r="G11" s="399">
        <f>5431530</f>
        <v>5431530</v>
      </c>
      <c r="H11" s="555"/>
      <c r="I11" s="559"/>
      <c r="J11" s="464">
        <f t="shared" si="0"/>
        <v>5431530</v>
      </c>
      <c r="K11" s="162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33" ht="16.5" thickBot="1">
      <c r="A12" s="655"/>
      <c r="B12" s="259" t="s">
        <v>380</v>
      </c>
      <c r="C12" s="403" t="s">
        <v>381</v>
      </c>
      <c r="D12" s="555"/>
      <c r="E12" s="555"/>
      <c r="F12" s="555"/>
      <c r="G12" s="399">
        <v>6411050</v>
      </c>
      <c r="H12" s="555"/>
      <c r="I12" s="558"/>
      <c r="J12" s="464">
        <f t="shared" si="0"/>
        <v>6411050</v>
      </c>
      <c r="K12" s="162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33" ht="16.5" thickBot="1">
      <c r="A13" s="655"/>
      <c r="B13" s="259" t="s">
        <v>254</v>
      </c>
      <c r="C13" s="403" t="s">
        <v>273</v>
      </c>
      <c r="D13" s="399">
        <v>2400000</v>
      </c>
      <c r="E13" s="555"/>
      <c r="F13" s="555"/>
      <c r="G13" s="399"/>
      <c r="H13" s="555"/>
      <c r="I13" s="558"/>
      <c r="J13" s="464">
        <f t="shared" si="0"/>
        <v>2400000</v>
      </c>
      <c r="K13" s="162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33" ht="16.5" thickBot="1">
      <c r="A14" s="655"/>
      <c r="B14" s="262" t="s">
        <v>255</v>
      </c>
      <c r="C14" s="403" t="s">
        <v>332</v>
      </c>
      <c r="D14" s="555"/>
      <c r="E14" s="555"/>
      <c r="F14" s="555"/>
      <c r="G14" s="399">
        <f>8945075+17098150</f>
        <v>26043225</v>
      </c>
      <c r="H14" s="555"/>
      <c r="I14" s="558"/>
      <c r="J14" s="464">
        <f t="shared" si="0"/>
        <v>26043225</v>
      </c>
      <c r="K14" s="162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33" ht="16.5" thickBot="1">
      <c r="A15" s="655"/>
      <c r="B15" s="259" t="s">
        <v>256</v>
      </c>
      <c r="C15" s="403" t="s">
        <v>333</v>
      </c>
      <c r="D15" s="555"/>
      <c r="E15" s="555"/>
      <c r="F15" s="555"/>
      <c r="G15" s="399"/>
      <c r="H15" s="555"/>
      <c r="I15" s="558"/>
      <c r="J15" s="464">
        <f t="shared" si="0"/>
        <v>0</v>
      </c>
      <c r="K15" s="162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33" ht="16.5" thickBot="1">
      <c r="A16" s="655"/>
      <c r="B16" s="259" t="s">
        <v>257</v>
      </c>
      <c r="C16" s="403" t="s">
        <v>274</v>
      </c>
      <c r="D16" s="399">
        <v>7500000</v>
      </c>
      <c r="E16" s="555"/>
      <c r="F16" s="555"/>
      <c r="G16" s="399">
        <v>34610642</v>
      </c>
      <c r="H16" s="555"/>
      <c r="I16" s="558"/>
      <c r="J16" s="464">
        <f t="shared" si="0"/>
        <v>42110642</v>
      </c>
      <c r="K16" s="162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16.5" thickBot="1">
      <c r="A17" s="655"/>
      <c r="B17" s="259" t="s">
        <v>258</v>
      </c>
      <c r="C17" s="403" t="s">
        <v>275</v>
      </c>
      <c r="D17" s="399">
        <v>6000000</v>
      </c>
      <c r="E17" s="555"/>
      <c r="F17" s="555"/>
      <c r="G17" s="399">
        <v>68457822</v>
      </c>
      <c r="H17" s="555"/>
      <c r="I17" s="558"/>
      <c r="J17" s="464">
        <f t="shared" si="0"/>
        <v>74457822</v>
      </c>
      <c r="K17" s="162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16.5" thickBot="1">
      <c r="A18" s="655"/>
      <c r="B18" s="259" t="s">
        <v>259</v>
      </c>
      <c r="C18" s="403" t="s">
        <v>48</v>
      </c>
      <c r="D18" s="555"/>
      <c r="E18" s="555"/>
      <c r="F18" s="555"/>
      <c r="G18" s="399"/>
      <c r="H18" s="555"/>
      <c r="I18" s="558"/>
      <c r="J18" s="464">
        <f t="shared" si="0"/>
        <v>0</v>
      </c>
      <c r="K18" s="162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16.5" thickBot="1">
      <c r="A19" s="655"/>
      <c r="B19" s="259" t="s">
        <v>227</v>
      </c>
      <c r="C19" s="403" t="s">
        <v>226</v>
      </c>
      <c r="D19" s="555"/>
      <c r="E19" s="555"/>
      <c r="F19" s="555"/>
      <c r="G19" s="399"/>
      <c r="H19" s="555"/>
      <c r="I19" s="558"/>
      <c r="J19" s="464">
        <f t="shared" si="0"/>
        <v>0</v>
      </c>
      <c r="K19" s="162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6.5" thickBot="1">
      <c r="A20" s="655"/>
      <c r="B20" s="259" t="s">
        <v>228</v>
      </c>
      <c r="C20" s="403" t="s">
        <v>276</v>
      </c>
      <c r="D20" s="399">
        <v>1500000</v>
      </c>
      <c r="E20" s="555"/>
      <c r="F20" s="555"/>
      <c r="G20" s="451">
        <f>4584000+2267425</f>
        <v>6851425</v>
      </c>
      <c r="H20" s="555"/>
      <c r="I20" s="558"/>
      <c r="J20" s="464">
        <f t="shared" si="0"/>
        <v>8351425</v>
      </c>
      <c r="K20" s="162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24" ht="16.5" thickBot="1">
      <c r="A21" s="655"/>
      <c r="B21" s="259" t="s">
        <v>260</v>
      </c>
      <c r="C21" s="403" t="s">
        <v>277</v>
      </c>
      <c r="D21" s="399">
        <v>550000</v>
      </c>
      <c r="E21" s="555"/>
      <c r="F21" s="555"/>
      <c r="G21" s="451">
        <v>148074197</v>
      </c>
      <c r="H21" s="555"/>
      <c r="I21" s="558"/>
      <c r="J21" s="464">
        <f t="shared" si="0"/>
        <v>148624197</v>
      </c>
      <c r="K21" s="162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4" ht="16.5" thickBot="1">
      <c r="A22" s="655"/>
      <c r="B22" s="259" t="s">
        <v>262</v>
      </c>
      <c r="C22" s="404" t="s">
        <v>279</v>
      </c>
      <c r="D22" s="555"/>
      <c r="E22" s="555"/>
      <c r="F22" s="555"/>
      <c r="G22" s="451"/>
      <c r="H22" s="555"/>
      <c r="I22" s="558"/>
      <c r="J22" s="464">
        <f t="shared" si="0"/>
        <v>0</v>
      </c>
      <c r="K22" s="162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4" ht="16.5" thickBot="1">
      <c r="A23" s="655"/>
      <c r="B23" s="259" t="s">
        <v>261</v>
      </c>
      <c r="C23" s="403" t="s">
        <v>278</v>
      </c>
      <c r="D23" s="555"/>
      <c r="E23" s="555"/>
      <c r="F23" s="555"/>
      <c r="G23" s="451"/>
      <c r="H23" s="555"/>
      <c r="I23" s="558"/>
      <c r="J23" s="464">
        <f t="shared" si="0"/>
        <v>0</v>
      </c>
      <c r="K23" s="162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4" ht="16.5" thickBot="1">
      <c r="A24" s="655"/>
      <c r="B24" s="259" t="s">
        <v>230</v>
      </c>
      <c r="C24" s="404" t="s">
        <v>49</v>
      </c>
      <c r="D24" s="555"/>
      <c r="E24" s="399">
        <v>14981900</v>
      </c>
      <c r="F24" s="555"/>
      <c r="G24" s="451"/>
      <c r="H24" s="555"/>
      <c r="I24" s="558"/>
      <c r="J24" s="464">
        <f t="shared" si="0"/>
        <v>14981900</v>
      </c>
      <c r="K24" s="162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16.5" thickBot="1">
      <c r="A25" s="655"/>
      <c r="B25" s="261" t="s">
        <v>263</v>
      </c>
      <c r="C25" s="404" t="s">
        <v>280</v>
      </c>
      <c r="D25" s="555"/>
      <c r="E25" s="555"/>
      <c r="F25" s="555"/>
      <c r="G25" s="451">
        <v>20000000</v>
      </c>
      <c r="H25" s="555"/>
      <c r="I25" s="558"/>
      <c r="J25" s="464">
        <f t="shared" si="0"/>
        <v>20000000</v>
      </c>
      <c r="K25" s="162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6.5" thickBot="1">
      <c r="A26" s="655"/>
      <c r="B26" s="259" t="s">
        <v>334</v>
      </c>
      <c r="C26" s="404" t="s">
        <v>439</v>
      </c>
      <c r="D26" s="555"/>
      <c r="E26" s="555"/>
      <c r="F26" s="399">
        <f>38712761+39091566</f>
        <v>77804327</v>
      </c>
      <c r="G26" s="451">
        <f>996900+22741</f>
        <v>1019641</v>
      </c>
      <c r="H26" s="555"/>
      <c r="I26" s="558"/>
      <c r="J26" s="464">
        <f t="shared" si="0"/>
        <v>78823968</v>
      </c>
      <c r="K26" s="162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6.5" thickBot="1">
      <c r="A27" s="655"/>
      <c r="B27" s="259" t="s">
        <v>266</v>
      </c>
      <c r="C27" s="404" t="s">
        <v>232</v>
      </c>
      <c r="D27" s="555"/>
      <c r="E27" s="399">
        <v>6245115</v>
      </c>
      <c r="F27" s="555"/>
      <c r="G27" s="399"/>
      <c r="H27" s="555"/>
      <c r="I27" s="555"/>
      <c r="J27" s="464">
        <f t="shared" si="0"/>
        <v>6245115</v>
      </c>
      <c r="K27" s="162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6.5" thickBot="1">
      <c r="A28" s="655"/>
      <c r="B28" s="459" t="s">
        <v>373</v>
      </c>
      <c r="C28" s="494" t="s">
        <v>374</v>
      </c>
      <c r="D28" s="555"/>
      <c r="E28" s="399">
        <v>1000000</v>
      </c>
      <c r="F28" s="555"/>
      <c r="G28" s="399"/>
      <c r="H28" s="555"/>
      <c r="I28" s="555"/>
      <c r="J28" s="464">
        <f t="shared" si="0"/>
        <v>1000000</v>
      </c>
      <c r="K28" s="162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6.5" thickBot="1">
      <c r="A29" s="655"/>
      <c r="B29" s="259" t="s">
        <v>267</v>
      </c>
      <c r="C29" s="404" t="s">
        <v>283</v>
      </c>
      <c r="D29" s="399">
        <v>1150000</v>
      </c>
      <c r="E29" s="555"/>
      <c r="F29" s="555"/>
      <c r="G29" s="399">
        <v>7156084</v>
      </c>
      <c r="H29" s="555"/>
      <c r="I29" s="555"/>
      <c r="J29" s="464">
        <f t="shared" si="0"/>
        <v>8306084</v>
      </c>
      <c r="K29" s="162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32.25" thickBot="1">
      <c r="A30" s="655"/>
      <c r="B30" s="405" t="s">
        <v>434</v>
      </c>
      <c r="C30" s="494" t="s">
        <v>435</v>
      </c>
      <c r="D30" s="555"/>
      <c r="E30" s="555"/>
      <c r="F30" s="555"/>
      <c r="G30" s="399"/>
      <c r="H30" s="555"/>
      <c r="I30" s="555"/>
      <c r="J30" s="464">
        <f t="shared" si="0"/>
        <v>0</v>
      </c>
      <c r="K30" s="162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 ht="16.5" thickBot="1">
      <c r="A31" s="655"/>
      <c r="B31" s="259" t="s">
        <v>268</v>
      </c>
      <c r="C31" s="404" t="s">
        <v>284</v>
      </c>
      <c r="D31" s="399">
        <v>600000</v>
      </c>
      <c r="E31" s="555"/>
      <c r="F31" s="555"/>
      <c r="G31" s="399"/>
      <c r="H31" s="555"/>
      <c r="I31" s="558"/>
      <c r="J31" s="464">
        <f t="shared" si="0"/>
        <v>600000</v>
      </c>
      <c r="K31" s="162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spans="1:24" ht="16.5" thickBot="1">
      <c r="A32" s="655"/>
      <c r="B32" s="405" t="s">
        <v>369</v>
      </c>
      <c r="C32" s="403" t="s">
        <v>371</v>
      </c>
      <c r="D32" s="555"/>
      <c r="E32" s="555"/>
      <c r="F32" s="555"/>
      <c r="G32" s="399"/>
      <c r="H32" s="555"/>
      <c r="I32" s="558"/>
      <c r="J32" s="464">
        <f t="shared" si="0"/>
        <v>0</v>
      </c>
      <c r="K32" s="162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</row>
    <row r="33" spans="1:24" ht="16.5" thickBot="1">
      <c r="A33" s="655"/>
      <c r="B33" s="405" t="s">
        <v>370</v>
      </c>
      <c r="C33" s="403" t="s">
        <v>372</v>
      </c>
      <c r="D33" s="555"/>
      <c r="E33" s="555"/>
      <c r="F33" s="555"/>
      <c r="G33" s="399"/>
      <c r="H33" s="555"/>
      <c r="I33" s="558"/>
      <c r="J33" s="464">
        <f t="shared" si="0"/>
        <v>0</v>
      </c>
      <c r="K33" s="162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6.5" thickBot="1">
      <c r="A34" s="655"/>
      <c r="B34" s="259" t="s">
        <v>290</v>
      </c>
      <c r="C34" s="403" t="s">
        <v>292</v>
      </c>
      <c r="D34" s="555"/>
      <c r="E34" s="555"/>
      <c r="F34" s="555"/>
      <c r="G34" s="399">
        <v>2734000</v>
      </c>
      <c r="H34" s="555"/>
      <c r="I34" s="555"/>
      <c r="J34" s="464">
        <f t="shared" si="0"/>
        <v>2734000</v>
      </c>
      <c r="K34" s="162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32.25" thickBot="1">
      <c r="A35" s="655"/>
      <c r="B35" s="259" t="s">
        <v>335</v>
      </c>
      <c r="C35" s="494" t="s">
        <v>438</v>
      </c>
      <c r="D35" s="555"/>
      <c r="E35" s="399">
        <f>+'2.sz.mell.'!C25</f>
        <v>284885510</v>
      </c>
      <c r="F35" s="451">
        <f>8845094+8945081+13223939</f>
        <v>31014114</v>
      </c>
      <c r="G35" s="451">
        <v>23005204</v>
      </c>
      <c r="H35" s="555"/>
      <c r="I35" s="555"/>
      <c r="J35" s="464">
        <f t="shared" si="0"/>
        <v>338904828</v>
      </c>
      <c r="K35" s="162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6.5" thickBot="1">
      <c r="A36" s="655"/>
      <c r="B36" s="259" t="s">
        <v>443</v>
      </c>
      <c r="C36" s="494" t="s">
        <v>444</v>
      </c>
      <c r="D36" s="555"/>
      <c r="E36" s="555"/>
      <c r="F36" s="555"/>
      <c r="G36" s="451">
        <v>14740137</v>
      </c>
      <c r="H36" s="555"/>
      <c r="I36" s="399">
        <v>59200000</v>
      </c>
      <c r="J36" s="464">
        <f t="shared" si="0"/>
        <v>73940137</v>
      </c>
      <c r="K36" s="162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6.5" thickBot="1">
      <c r="A37" s="655"/>
      <c r="B37" s="234" t="s">
        <v>441</v>
      </c>
      <c r="C37" s="234" t="s">
        <v>442</v>
      </c>
      <c r="D37" s="401">
        <f t="shared" ref="D37:I37" si="1">SUM(D6:D36)</f>
        <v>32165000</v>
      </c>
      <c r="E37" s="401">
        <f t="shared" si="1"/>
        <v>335764084</v>
      </c>
      <c r="F37" s="401">
        <f t="shared" si="1"/>
        <v>108818441</v>
      </c>
      <c r="G37" s="401">
        <f t="shared" si="1"/>
        <v>415199185</v>
      </c>
      <c r="H37" s="401">
        <f t="shared" si="1"/>
        <v>0</v>
      </c>
      <c r="I37" s="401">
        <f t="shared" si="1"/>
        <v>59200000</v>
      </c>
      <c r="J37" s="464">
        <f>+SUM(J6:J36)</f>
        <v>951146710</v>
      </c>
      <c r="K37" s="44"/>
      <c r="L37" s="37"/>
      <c r="M37" s="162"/>
      <c r="N37" s="162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37.9" customHeight="1" thickBot="1">
      <c r="A38" s="655" t="s">
        <v>39</v>
      </c>
      <c r="B38" s="262" t="s">
        <v>225</v>
      </c>
      <c r="C38" s="233" t="s">
        <v>269</v>
      </c>
      <c r="D38" s="399">
        <v>1200000</v>
      </c>
      <c r="E38" s="555"/>
      <c r="F38" s="555"/>
      <c r="G38" s="555"/>
      <c r="H38" s="555"/>
      <c r="I38" s="400">
        <v>70000</v>
      </c>
      <c r="J38" s="401">
        <f>+I38+F38+E38+D38+G38+H38</f>
        <v>1270000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22.5" customHeight="1" thickBot="1">
      <c r="A39" s="655"/>
      <c r="B39" s="460" t="s">
        <v>334</v>
      </c>
      <c r="C39" s="461" t="s">
        <v>439</v>
      </c>
      <c r="D39" s="555"/>
      <c r="E39" s="399">
        <v>947353</v>
      </c>
      <c r="F39" s="555"/>
      <c r="G39" s="399">
        <v>133733</v>
      </c>
      <c r="H39" s="399">
        <v>97123414</v>
      </c>
      <c r="I39" s="558"/>
      <c r="J39" s="401">
        <f>+I39+F39+E39+D39+G39+H39</f>
        <v>98204500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4" ht="22.5" customHeight="1" thickBot="1">
      <c r="A40" s="655"/>
      <c r="B40" s="460" t="s">
        <v>369</v>
      </c>
      <c r="C40" s="403" t="s">
        <v>371</v>
      </c>
      <c r="D40" s="399"/>
      <c r="E40" s="399"/>
      <c r="F40" s="399"/>
      <c r="G40" s="451"/>
      <c r="H40" s="399"/>
      <c r="I40" s="400"/>
      <c r="J40" s="401">
        <f>+I40+F40+E40+D40+G40+H40</f>
        <v>0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ht="39" customHeight="1" thickBot="1">
      <c r="A41" s="655"/>
      <c r="B41" s="462" t="s">
        <v>385</v>
      </c>
      <c r="C41" s="497" t="s">
        <v>372</v>
      </c>
      <c r="D41" s="399"/>
      <c r="E41" s="399"/>
      <c r="F41" s="399"/>
      <c r="G41" s="451"/>
      <c r="H41" s="399"/>
      <c r="I41" s="400"/>
      <c r="J41" s="401">
        <f>+I41+F41+E41+D41+G41+H41</f>
        <v>0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ht="16.5" thickBot="1">
      <c r="A42" s="655"/>
      <c r="B42" s="656" t="s">
        <v>55</v>
      </c>
      <c r="C42" s="657"/>
      <c r="D42" s="401">
        <f>D38+D40+D41+D39</f>
        <v>1200000</v>
      </c>
      <c r="E42" s="401">
        <f t="shared" ref="E42:I42" si="2">E38+E40+E41+E39</f>
        <v>947353</v>
      </c>
      <c r="F42" s="401">
        <f t="shared" si="2"/>
        <v>0</v>
      </c>
      <c r="G42" s="401">
        <f t="shared" si="2"/>
        <v>133733</v>
      </c>
      <c r="H42" s="401">
        <f t="shared" si="2"/>
        <v>97123414</v>
      </c>
      <c r="I42" s="401">
        <f t="shared" si="2"/>
        <v>70000</v>
      </c>
      <c r="J42" s="401">
        <f>J38++J40+J41+J39</f>
        <v>99474500</v>
      </c>
      <c r="K42" s="162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4" ht="18.95" customHeight="1" thickBot="1">
      <c r="A43" s="673" t="s">
        <v>41</v>
      </c>
      <c r="B43" s="405" t="s">
        <v>334</v>
      </c>
      <c r="C43" s="404" t="s">
        <v>439</v>
      </c>
      <c r="D43" s="399"/>
      <c r="E43" s="399"/>
      <c r="F43" s="399"/>
      <c r="G43" s="399">
        <v>364135</v>
      </c>
      <c r="H43" s="399">
        <v>15124465</v>
      </c>
      <c r="I43" s="400"/>
      <c r="J43" s="401">
        <f>+I43+F43+E43+D43+G43+H43</f>
        <v>15488600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 ht="18.95" customHeight="1" thickBot="1">
      <c r="A44" s="674"/>
      <c r="B44" s="405" t="s">
        <v>290</v>
      </c>
      <c r="C44" s="404" t="s">
        <v>292</v>
      </c>
      <c r="D44" s="399">
        <v>1250000</v>
      </c>
      <c r="E44" s="399"/>
      <c r="F44" s="399"/>
      <c r="G44" s="399"/>
      <c r="H44" s="399"/>
      <c r="I44" s="400"/>
      <c r="J44" s="401">
        <f>+I44+F44+E44+D44+G44+H44</f>
        <v>1250000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4" ht="22.5" customHeight="1" thickBot="1">
      <c r="A45" s="675"/>
      <c r="B45" s="656" t="s">
        <v>291</v>
      </c>
      <c r="C45" s="657"/>
      <c r="D45" s="401">
        <f t="shared" ref="D45" si="3">SUM(D43:D44)</f>
        <v>1250000</v>
      </c>
      <c r="E45" s="401">
        <f t="shared" ref="E45:I45" si="4">SUM(E43:E44)</f>
        <v>0</v>
      </c>
      <c r="F45" s="401">
        <f t="shared" si="4"/>
        <v>0</v>
      </c>
      <c r="G45" s="401">
        <f t="shared" si="4"/>
        <v>364135</v>
      </c>
      <c r="H45" s="401">
        <f t="shared" si="4"/>
        <v>15124465</v>
      </c>
      <c r="I45" s="401">
        <f t="shared" si="4"/>
        <v>0</v>
      </c>
      <c r="J45" s="401">
        <f>SUM(J43:J44)</f>
        <v>16738600</v>
      </c>
      <c r="K45" s="162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4" ht="18.95" customHeight="1" thickBot="1">
      <c r="A46" s="673" t="s">
        <v>43</v>
      </c>
      <c r="B46" s="405" t="s">
        <v>334</v>
      </c>
      <c r="C46" s="404" t="s">
        <v>439</v>
      </c>
      <c r="D46" s="399"/>
      <c r="E46" s="399"/>
      <c r="F46" s="399"/>
      <c r="G46" s="399">
        <v>248208</v>
      </c>
      <c r="H46" s="399">
        <v>3439292</v>
      </c>
      <c r="I46" s="400"/>
      <c r="J46" s="401">
        <f>+I46+F46+E46+D46+G46+H46</f>
        <v>3687500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4" ht="15.75" customHeight="1" thickBot="1">
      <c r="A47" s="674"/>
      <c r="B47" s="510" t="s">
        <v>436</v>
      </c>
      <c r="C47" s="404" t="s">
        <v>437</v>
      </c>
      <c r="D47" s="399"/>
      <c r="E47" s="399"/>
      <c r="F47" s="399"/>
      <c r="G47" s="399"/>
      <c r="H47" s="399"/>
      <c r="I47" s="400"/>
      <c r="J47" s="401">
        <f>+I47+F47+E47+D47+G47+H47</f>
        <v>0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 ht="15.75" customHeight="1" thickBot="1">
      <c r="A48" s="674"/>
      <c r="B48" s="510" t="s">
        <v>295</v>
      </c>
      <c r="C48" s="404" t="s">
        <v>293</v>
      </c>
      <c r="D48" s="399">
        <v>140000</v>
      </c>
      <c r="E48" s="399">
        <v>2800000</v>
      </c>
      <c r="F48" s="399"/>
      <c r="G48" s="399"/>
      <c r="H48" s="399"/>
      <c r="I48" s="400"/>
      <c r="J48" s="401">
        <f>+I48+F48+E48+D48+G48+H48</f>
        <v>2940000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ht="21" customHeight="1" thickBot="1">
      <c r="A49" s="675"/>
      <c r="B49" s="656" t="s">
        <v>294</v>
      </c>
      <c r="C49" s="657"/>
      <c r="D49" s="401">
        <f t="shared" ref="D49:I49" si="5">SUM(D46:D48)</f>
        <v>140000</v>
      </c>
      <c r="E49" s="401">
        <f t="shared" si="5"/>
        <v>2800000</v>
      </c>
      <c r="F49" s="401">
        <f t="shared" si="5"/>
        <v>0</v>
      </c>
      <c r="G49" s="401">
        <f t="shared" si="5"/>
        <v>248208</v>
      </c>
      <c r="H49" s="401">
        <f t="shared" si="5"/>
        <v>3439292</v>
      </c>
      <c r="I49" s="401">
        <f t="shared" si="5"/>
        <v>0</v>
      </c>
      <c r="J49" s="401">
        <f>SUM(J46:J48)</f>
        <v>6627500</v>
      </c>
      <c r="K49" s="162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 ht="18.95" customHeight="1" thickBot="1">
      <c r="A50" s="658" t="s">
        <v>215</v>
      </c>
      <c r="B50" s="405" t="s">
        <v>334</v>
      </c>
      <c r="C50" s="404" t="s">
        <v>439</v>
      </c>
      <c r="D50" s="399"/>
      <c r="E50" s="555"/>
      <c r="F50" s="555"/>
      <c r="G50" s="399">
        <v>1003637</v>
      </c>
      <c r="H50" s="399">
        <v>88274163</v>
      </c>
      <c r="I50" s="558"/>
      <c r="J50" s="401">
        <f t="shared" ref="J50:J58" si="6">+I50+F50+E50+D50+G50+H50</f>
        <v>89277800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ht="21" customHeight="1" thickBot="1">
      <c r="A51" s="659"/>
      <c r="B51" s="263" t="s">
        <v>296</v>
      </c>
      <c r="C51" s="264" t="s">
        <v>286</v>
      </c>
      <c r="D51" s="435">
        <v>20000</v>
      </c>
      <c r="E51" s="556"/>
      <c r="F51" s="556"/>
      <c r="G51" s="556"/>
      <c r="H51" s="556"/>
      <c r="I51" s="556"/>
      <c r="J51" s="401">
        <f t="shared" si="6"/>
        <v>20000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ht="21" customHeight="1" thickBot="1">
      <c r="A52" s="659"/>
      <c r="B52" s="263" t="s">
        <v>297</v>
      </c>
      <c r="C52" s="264" t="s">
        <v>287</v>
      </c>
      <c r="D52" s="435">
        <v>20000</v>
      </c>
      <c r="E52" s="556"/>
      <c r="F52" s="556"/>
      <c r="G52" s="556"/>
      <c r="H52" s="556"/>
      <c r="I52" s="556"/>
      <c r="J52" s="401">
        <f t="shared" si="6"/>
        <v>20000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21" customHeight="1" thickBot="1">
      <c r="A53" s="659"/>
      <c r="B53" s="263" t="s">
        <v>373</v>
      </c>
      <c r="C53" s="264" t="s">
        <v>446</v>
      </c>
      <c r="D53" s="435">
        <v>0</v>
      </c>
      <c r="E53" s="556"/>
      <c r="F53" s="556"/>
      <c r="G53" s="556"/>
      <c r="H53" s="556"/>
      <c r="I53" s="556"/>
      <c r="J53" s="401">
        <f t="shared" si="6"/>
        <v>0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ht="21" customHeight="1" thickBot="1">
      <c r="A54" s="659"/>
      <c r="B54" s="263" t="s">
        <v>298</v>
      </c>
      <c r="C54" s="264" t="s">
        <v>288</v>
      </c>
      <c r="D54" s="435">
        <v>0</v>
      </c>
      <c r="E54" s="556"/>
      <c r="F54" s="556"/>
      <c r="G54" s="556"/>
      <c r="H54" s="556"/>
      <c r="I54" s="556"/>
      <c r="J54" s="401">
        <f t="shared" si="6"/>
        <v>0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ht="21" customHeight="1" thickBot="1">
      <c r="A55" s="659"/>
      <c r="B55" s="263" t="s">
        <v>299</v>
      </c>
      <c r="C55" s="264" t="s">
        <v>289</v>
      </c>
      <c r="D55" s="435">
        <v>11730000</v>
      </c>
      <c r="E55" s="556"/>
      <c r="F55" s="556"/>
      <c r="G55" s="556"/>
      <c r="H55" s="556"/>
      <c r="I55" s="556"/>
      <c r="J55" s="401">
        <f t="shared" si="6"/>
        <v>11730000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ht="21" customHeight="1" thickBot="1">
      <c r="A56" s="659"/>
      <c r="B56" s="263" t="s">
        <v>265</v>
      </c>
      <c r="C56" s="264" t="s">
        <v>338</v>
      </c>
      <c r="D56" s="435"/>
      <c r="E56" s="556"/>
      <c r="F56" s="556"/>
      <c r="G56" s="556"/>
      <c r="H56" s="556"/>
      <c r="I56" s="560"/>
      <c r="J56" s="401">
        <f t="shared" si="6"/>
        <v>0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ht="21" customHeight="1" thickBot="1">
      <c r="A57" s="659"/>
      <c r="B57" s="263" t="s">
        <v>264</v>
      </c>
      <c r="C57" s="264" t="s">
        <v>337</v>
      </c>
      <c r="D57" s="435">
        <v>3300000</v>
      </c>
      <c r="E57" s="556"/>
      <c r="F57" s="556"/>
      <c r="G57" s="556"/>
      <c r="H57" s="556"/>
      <c r="I57" s="560"/>
      <c r="J57" s="401">
        <f t="shared" si="6"/>
        <v>3300000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ht="21" customHeight="1" thickBot="1">
      <c r="A58" s="659"/>
      <c r="B58" s="263" t="s">
        <v>231</v>
      </c>
      <c r="C58" s="264" t="s">
        <v>282</v>
      </c>
      <c r="D58" s="435">
        <v>6200000</v>
      </c>
      <c r="E58" s="556"/>
      <c r="F58" s="556"/>
      <c r="G58" s="556"/>
      <c r="H58" s="556"/>
      <c r="I58" s="560"/>
      <c r="J58" s="401">
        <f t="shared" si="6"/>
        <v>6200000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33" customHeight="1" thickBot="1">
      <c r="A59" s="660"/>
      <c r="B59" s="661" t="s">
        <v>300</v>
      </c>
      <c r="C59" s="662"/>
      <c r="D59" s="401">
        <f>SUM(D50:D58)</f>
        <v>21270000</v>
      </c>
      <c r="E59" s="401">
        <f t="shared" ref="E59:I59" si="7">SUM(E50:E58)</f>
        <v>0</v>
      </c>
      <c r="F59" s="401">
        <f t="shared" si="7"/>
        <v>0</v>
      </c>
      <c r="G59" s="401">
        <f t="shared" si="7"/>
        <v>1003637</v>
      </c>
      <c r="H59" s="401">
        <f t="shared" si="7"/>
        <v>88274163</v>
      </c>
      <c r="I59" s="401">
        <f t="shared" si="7"/>
        <v>0</v>
      </c>
      <c r="J59" s="401">
        <f>SUM(J50:J58)</f>
        <v>110547800</v>
      </c>
      <c r="K59" s="162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ht="26.25" customHeight="1" thickBot="1">
      <c r="A60" s="652" t="s">
        <v>56</v>
      </c>
      <c r="B60" s="652"/>
      <c r="C60" s="652"/>
      <c r="D60" s="401">
        <f t="shared" ref="D60:J60" si="8">+D59+D49+D45+D42+D37</f>
        <v>56025000</v>
      </c>
      <c r="E60" s="401">
        <f t="shared" si="8"/>
        <v>339511437</v>
      </c>
      <c r="F60" s="401">
        <f t="shared" si="8"/>
        <v>108818441</v>
      </c>
      <c r="G60" s="401">
        <f t="shared" si="8"/>
        <v>416948898</v>
      </c>
      <c r="H60" s="401">
        <f t="shared" si="8"/>
        <v>203961334</v>
      </c>
      <c r="I60" s="401">
        <f t="shared" si="8"/>
        <v>59270000</v>
      </c>
      <c r="J60" s="401">
        <f t="shared" si="8"/>
        <v>1184535110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>
      <c r="J61" s="44"/>
    </row>
    <row r="62" spans="1:24">
      <c r="J62" s="44">
        <f>+J60-H60</f>
        <v>980573776</v>
      </c>
    </row>
    <row r="63" spans="1:24">
      <c r="I63" s="44"/>
      <c r="J63" s="44"/>
    </row>
    <row r="64" spans="1:24">
      <c r="J64" s="44">
        <f>+'5.a sz.mell.'!N63-'5 b.sz.mell.'!J62</f>
        <v>0</v>
      </c>
    </row>
    <row r="65" spans="9:16">
      <c r="I65" s="463"/>
      <c r="J65" s="463"/>
    </row>
    <row r="66" spans="9:16">
      <c r="J66" s="44"/>
    </row>
    <row r="67" spans="9:16">
      <c r="I67" s="44"/>
    </row>
    <row r="68" spans="9:16">
      <c r="P68" s="44"/>
    </row>
  </sheetData>
  <mergeCells count="16">
    <mergeCell ref="A6:A37"/>
    <mergeCell ref="A38:A42"/>
    <mergeCell ref="B42:C42"/>
    <mergeCell ref="B45:C45"/>
    <mergeCell ref="A1:Q1"/>
    <mergeCell ref="A2:Q2"/>
    <mergeCell ref="A4:A5"/>
    <mergeCell ref="B4:B5"/>
    <mergeCell ref="C4:C5"/>
    <mergeCell ref="D4:J4"/>
    <mergeCell ref="B49:C49"/>
    <mergeCell ref="B59:C59"/>
    <mergeCell ref="A60:C60"/>
    <mergeCell ref="A43:A45"/>
    <mergeCell ref="A46:A49"/>
    <mergeCell ref="A50:A59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view="pageBreakPreview" zoomScale="90" zoomScaleNormal="115" zoomScaleSheetLayoutView="90" workbookViewId="0">
      <selection activeCell="K17" sqref="K17"/>
    </sheetView>
  </sheetViews>
  <sheetFormatPr defaultColWidth="8.85546875" defaultRowHeight="12.75"/>
  <cols>
    <col min="1" max="1" width="4.42578125" style="37" customWidth="1"/>
    <col min="2" max="2" width="7.5703125" style="39" customWidth="1"/>
    <col min="3" max="3" width="93.140625" style="39" bestFit="1" customWidth="1"/>
    <col min="4" max="4" width="15.5703125" style="39" customWidth="1"/>
    <col min="5" max="5" width="15" style="39" customWidth="1"/>
    <col min="6" max="16384" width="8.85546875" style="37"/>
  </cols>
  <sheetData>
    <row r="1" spans="1:9" ht="15.75">
      <c r="A1" s="631" t="s">
        <v>602</v>
      </c>
      <c r="B1" s="631"/>
      <c r="C1" s="631"/>
      <c r="D1" s="631"/>
      <c r="E1" s="631"/>
    </row>
    <row r="2" spans="1:9" s="39" customFormat="1" ht="27.75" customHeight="1">
      <c r="A2" s="681" t="s">
        <v>537</v>
      </c>
      <c r="B2" s="681"/>
      <c r="C2" s="681"/>
      <c r="D2" s="681"/>
      <c r="E2" s="681"/>
      <c r="F2" s="164"/>
      <c r="G2" s="164"/>
      <c r="H2" s="164"/>
      <c r="I2" s="164"/>
    </row>
    <row r="3" spans="1:9" ht="29.25" customHeight="1">
      <c r="A3" s="682" t="s">
        <v>150</v>
      </c>
      <c r="B3" s="682"/>
      <c r="C3" s="682"/>
      <c r="D3" s="682"/>
      <c r="E3" s="682"/>
      <c r="F3" s="164"/>
      <c r="G3" s="164"/>
      <c r="H3" s="164"/>
      <c r="I3" s="164"/>
    </row>
    <row r="4" spans="1:9" ht="12.75" customHeight="1">
      <c r="B4" s="165"/>
      <c r="C4" s="166"/>
      <c r="D4" s="167" t="s">
        <v>151</v>
      </c>
      <c r="F4" s="164"/>
      <c r="G4" s="164"/>
      <c r="H4" s="164"/>
      <c r="I4" s="164"/>
    </row>
    <row r="5" spans="1:9" ht="12.75" customHeight="1">
      <c r="A5" s="680" t="s">
        <v>152</v>
      </c>
      <c r="B5" s="680"/>
      <c r="C5" s="680"/>
      <c r="D5" s="168">
        <v>1426453</v>
      </c>
      <c r="F5" s="164"/>
      <c r="G5" s="164"/>
      <c r="H5" s="164"/>
      <c r="I5" s="164"/>
    </row>
    <row r="6" spans="1:9" ht="12.75" customHeight="1">
      <c r="A6" s="169"/>
      <c r="B6" s="170"/>
      <c r="C6" s="170"/>
      <c r="D6" s="171"/>
      <c r="F6" s="164"/>
      <c r="G6" s="164"/>
      <c r="H6" s="164"/>
      <c r="I6" s="164"/>
    </row>
    <row r="7" spans="1:9" ht="15.75" customHeight="1">
      <c r="A7" s="680" t="s">
        <v>153</v>
      </c>
      <c r="B7" s="680"/>
      <c r="C7" s="680"/>
      <c r="D7" s="172"/>
      <c r="F7" s="164"/>
      <c r="G7" s="164"/>
      <c r="H7" s="164"/>
      <c r="I7" s="164"/>
    </row>
    <row r="8" spans="1:9" ht="12.75" customHeight="1">
      <c r="B8" s="165"/>
      <c r="C8" s="173"/>
      <c r="D8" s="171" t="s">
        <v>538</v>
      </c>
      <c r="F8" s="164"/>
      <c r="G8" s="164"/>
      <c r="H8" s="164"/>
      <c r="I8" s="164"/>
    </row>
    <row r="9" spans="1:9" ht="12.75" customHeight="1">
      <c r="B9" s="165"/>
      <c r="C9" s="174"/>
      <c r="D9" s="168">
        <v>2450</v>
      </c>
      <c r="F9" s="164"/>
      <c r="G9" s="164"/>
      <c r="H9" s="164"/>
      <c r="I9" s="164"/>
    </row>
    <row r="10" spans="1:9" ht="12.75" customHeight="1">
      <c r="B10" s="165"/>
      <c r="C10" s="175" t="s">
        <v>339</v>
      </c>
      <c r="D10" s="176"/>
      <c r="F10" s="164"/>
      <c r="G10" s="164"/>
      <c r="H10" s="164"/>
      <c r="I10" s="164"/>
    </row>
    <row r="11" spans="1:9" ht="41.25" customHeight="1">
      <c r="B11" s="177"/>
      <c r="C11" s="178" t="s">
        <v>154</v>
      </c>
      <c r="D11" s="502" t="s">
        <v>451</v>
      </c>
      <c r="E11" s="164"/>
      <c r="F11" s="164"/>
      <c r="G11" s="164"/>
      <c r="H11" s="164"/>
    </row>
    <row r="12" spans="1:9" ht="12.75" customHeight="1">
      <c r="B12" s="168" t="s">
        <v>155</v>
      </c>
      <c r="C12" s="179" t="s">
        <v>65</v>
      </c>
      <c r="D12" s="496" t="s">
        <v>156</v>
      </c>
      <c r="E12" s="164"/>
      <c r="F12" s="164"/>
      <c r="G12" s="164"/>
      <c r="H12" s="164"/>
    </row>
    <row r="13" spans="1:9" ht="12.75" customHeight="1">
      <c r="B13" s="180" t="s">
        <v>157</v>
      </c>
      <c r="C13" s="181" t="s">
        <v>359</v>
      </c>
      <c r="D13" s="330">
        <f>+'2.sz.mell.'!C5</f>
        <v>70119800</v>
      </c>
      <c r="E13" s="164"/>
      <c r="F13" s="164"/>
      <c r="G13" s="164"/>
      <c r="H13" s="164"/>
    </row>
    <row r="14" spans="1:9" ht="12.75" customHeight="1">
      <c r="B14" s="180" t="s">
        <v>158</v>
      </c>
      <c r="C14" s="181" t="s">
        <v>159</v>
      </c>
      <c r="D14" s="330">
        <f>+D15+D16+D17+D18</f>
        <v>21290513</v>
      </c>
      <c r="E14" s="164"/>
      <c r="F14" s="164"/>
      <c r="G14" s="164"/>
      <c r="H14" s="164"/>
    </row>
    <row r="15" spans="1:9" ht="12.75" customHeight="1">
      <c r="B15" s="180" t="s">
        <v>160</v>
      </c>
      <c r="C15" s="181" t="s">
        <v>161</v>
      </c>
      <c r="D15" s="330">
        <f>+'2.sz.mell.'!C6</f>
        <v>9024810</v>
      </c>
      <c r="E15" s="164"/>
      <c r="F15" s="164"/>
      <c r="G15" s="164"/>
      <c r="H15" s="164"/>
    </row>
    <row r="16" spans="1:9" ht="12.75" customHeight="1">
      <c r="B16" s="180" t="s">
        <v>162</v>
      </c>
      <c r="C16" s="181" t="s">
        <v>163</v>
      </c>
      <c r="D16" s="330">
        <f>+'2.sz.mell.'!C7</f>
        <v>6400000</v>
      </c>
      <c r="E16" s="164"/>
      <c r="F16" s="164"/>
      <c r="G16" s="164"/>
      <c r="H16" s="164"/>
    </row>
    <row r="17" spans="2:8" ht="12.75" customHeight="1">
      <c r="B17" s="180" t="s">
        <v>164</v>
      </c>
      <c r="C17" s="181" t="s">
        <v>165</v>
      </c>
      <c r="D17" s="330">
        <f>+'2.sz.mell.'!C8</f>
        <v>522123</v>
      </c>
      <c r="E17" s="164"/>
      <c r="F17" s="164"/>
      <c r="G17" s="164"/>
      <c r="H17" s="164"/>
    </row>
    <row r="18" spans="2:8" ht="12.75" customHeight="1">
      <c r="B18" s="180" t="s">
        <v>166</v>
      </c>
      <c r="C18" s="181" t="s">
        <v>167</v>
      </c>
      <c r="D18" s="330">
        <f>+'2.sz.mell.'!C9</f>
        <v>5343580</v>
      </c>
      <c r="E18" s="164"/>
      <c r="F18" s="164"/>
      <c r="G18" s="164"/>
      <c r="H18" s="164"/>
    </row>
    <row r="19" spans="2:8" ht="12.75" customHeight="1">
      <c r="B19" s="180" t="s">
        <v>168</v>
      </c>
      <c r="C19" s="181" t="s">
        <v>169</v>
      </c>
      <c r="D19" s="330">
        <f>+'2.sz.mell.'!C10</f>
        <v>6615000</v>
      </c>
      <c r="E19" s="164"/>
      <c r="F19" s="164"/>
      <c r="G19" s="164"/>
      <c r="H19" s="164"/>
    </row>
    <row r="20" spans="2:8" ht="12.75" customHeight="1">
      <c r="B20" s="180" t="s">
        <v>170</v>
      </c>
      <c r="C20" s="181" t="s">
        <v>171</v>
      </c>
      <c r="D20" s="330">
        <f>+'2.sz.mell.'!C22</f>
        <v>76500</v>
      </c>
      <c r="E20" s="164"/>
      <c r="F20" s="164"/>
      <c r="G20" s="164"/>
      <c r="H20" s="164"/>
    </row>
    <row r="21" spans="2:8" ht="12.75" customHeight="1">
      <c r="B21" s="180"/>
      <c r="C21" s="181" t="s">
        <v>172</v>
      </c>
      <c r="D21" s="330">
        <f>+'2.sz.mell.'!C11</f>
        <v>19659616</v>
      </c>
      <c r="E21" s="164"/>
      <c r="F21" s="164"/>
      <c r="G21" s="164"/>
      <c r="H21" s="164"/>
    </row>
    <row r="22" spans="2:8" ht="12.75" customHeight="1">
      <c r="B22" s="180"/>
      <c r="C22" s="267" t="s">
        <v>355</v>
      </c>
      <c r="D22" s="330">
        <f>+'2.sz.mell.'!C12</f>
        <v>972400</v>
      </c>
      <c r="E22" s="164"/>
      <c r="F22" s="164"/>
      <c r="G22" s="164"/>
      <c r="H22" s="164"/>
    </row>
    <row r="23" spans="2:8" ht="12.75" customHeight="1">
      <c r="B23" s="180" t="s">
        <v>38</v>
      </c>
      <c r="C23" s="182" t="s">
        <v>173</v>
      </c>
      <c r="D23" s="331">
        <f>SUM(D13:D14,D19,D20,D21:D22,)</f>
        <v>118733829</v>
      </c>
      <c r="E23" s="164"/>
      <c r="F23" s="164"/>
      <c r="G23" s="164"/>
      <c r="H23" s="164"/>
    </row>
    <row r="24" spans="2:8">
      <c r="B24" s="180"/>
      <c r="C24" s="181" t="s">
        <v>539</v>
      </c>
      <c r="D24" s="332">
        <v>30017633</v>
      </c>
      <c r="E24" s="37"/>
    </row>
    <row r="25" spans="2:8">
      <c r="B25" s="180"/>
      <c r="C25" s="181" t="s">
        <v>540</v>
      </c>
      <c r="D25" s="332">
        <v>15300250</v>
      </c>
      <c r="E25" s="37"/>
    </row>
    <row r="26" spans="2:8">
      <c r="B26" s="180"/>
      <c r="C26" s="181" t="s">
        <v>356</v>
      </c>
      <c r="D26" s="332">
        <v>0</v>
      </c>
      <c r="E26" s="37"/>
    </row>
    <row r="27" spans="2:8" ht="32.25" customHeight="1">
      <c r="B27" s="180"/>
      <c r="C27" s="185" t="s">
        <v>543</v>
      </c>
      <c r="D27" s="332">
        <v>1983500</v>
      </c>
      <c r="E27" s="37"/>
    </row>
    <row r="28" spans="2:8">
      <c r="B28" s="180"/>
      <c r="C28" s="181" t="s">
        <v>340</v>
      </c>
      <c r="D28" s="332">
        <v>7350000</v>
      </c>
      <c r="E28" s="37"/>
    </row>
    <row r="29" spans="2:8">
      <c r="B29" s="180"/>
      <c r="C29" s="183" t="s">
        <v>341</v>
      </c>
      <c r="D29" s="332">
        <v>3675000</v>
      </c>
      <c r="E29" s="37"/>
    </row>
    <row r="30" spans="2:8">
      <c r="B30" s="180"/>
      <c r="C30" s="181" t="s">
        <v>541</v>
      </c>
      <c r="D30" s="332">
        <v>6818000</v>
      </c>
      <c r="E30" s="37"/>
    </row>
    <row r="31" spans="2:8">
      <c r="B31" s="180"/>
      <c r="C31" s="181" t="s">
        <v>542</v>
      </c>
      <c r="D31" s="332">
        <v>3409000</v>
      </c>
      <c r="E31" s="37"/>
    </row>
    <row r="32" spans="2:8">
      <c r="B32" s="180" t="s">
        <v>39</v>
      </c>
      <c r="C32" s="184" t="s">
        <v>305</v>
      </c>
      <c r="D32" s="333">
        <f>SUM(D24:D31)</f>
        <v>68553383</v>
      </c>
      <c r="E32" s="37"/>
    </row>
    <row r="33" spans="2:5">
      <c r="B33" s="180"/>
      <c r="C33" s="181" t="s">
        <v>306</v>
      </c>
      <c r="D33" s="332">
        <f>+'2.sz.mell.'!C14</f>
        <v>18536765</v>
      </c>
      <c r="E33" s="37"/>
    </row>
    <row r="34" spans="2:5">
      <c r="B34" s="180"/>
      <c r="C34" s="181" t="s">
        <v>546</v>
      </c>
      <c r="D34" s="332">
        <v>18506000</v>
      </c>
      <c r="E34" s="37"/>
    </row>
    <row r="35" spans="2:5">
      <c r="B35" s="180"/>
      <c r="C35" s="181" t="s">
        <v>174</v>
      </c>
      <c r="D35" s="332">
        <v>32507193</v>
      </c>
      <c r="E35" s="37"/>
    </row>
    <row r="36" spans="2:5">
      <c r="B36" s="180"/>
      <c r="C36" s="181" t="s">
        <v>342</v>
      </c>
      <c r="D36" s="332">
        <v>1072740</v>
      </c>
      <c r="E36" s="37"/>
    </row>
    <row r="37" spans="2:5">
      <c r="B37" s="180"/>
      <c r="C37" s="181" t="s">
        <v>307</v>
      </c>
      <c r="D37" s="332">
        <v>3400000</v>
      </c>
      <c r="E37" s="37"/>
    </row>
    <row r="38" spans="2:5">
      <c r="B38" s="180"/>
      <c r="C38" s="181" t="s">
        <v>357</v>
      </c>
      <c r="D38" s="332">
        <v>4705600</v>
      </c>
      <c r="E38" s="37"/>
    </row>
    <row r="39" spans="2:5">
      <c r="B39" s="180"/>
      <c r="C39" s="181" t="s">
        <v>544</v>
      </c>
      <c r="D39" s="332">
        <v>150000</v>
      </c>
      <c r="E39" s="37"/>
    </row>
    <row r="40" spans="2:5">
      <c r="B40" s="180"/>
      <c r="C40" s="181" t="s">
        <v>358</v>
      </c>
      <c r="D40" s="332">
        <v>5280000</v>
      </c>
      <c r="E40" s="37"/>
    </row>
    <row r="41" spans="2:5">
      <c r="B41" s="180"/>
      <c r="C41" s="181" t="s">
        <v>545</v>
      </c>
      <c r="D41" s="332">
        <v>1853000</v>
      </c>
      <c r="E41" s="37"/>
    </row>
    <row r="42" spans="2:5">
      <c r="B42" s="552"/>
      <c r="C42" s="181" t="s">
        <v>547</v>
      </c>
      <c r="D42" s="332">
        <v>7482500</v>
      </c>
      <c r="E42" s="37"/>
    </row>
    <row r="43" spans="2:5">
      <c r="B43" s="552"/>
      <c r="C43" s="181" t="s">
        <v>548</v>
      </c>
      <c r="D43" s="332">
        <v>1140000</v>
      </c>
      <c r="E43" s="37"/>
    </row>
    <row r="44" spans="2:5">
      <c r="B44" s="180" t="s">
        <v>175</v>
      </c>
      <c r="C44" s="182" t="s">
        <v>176</v>
      </c>
      <c r="D44" s="333">
        <f>SUM(D33:D43)</f>
        <v>94633798</v>
      </c>
      <c r="E44" s="37"/>
    </row>
    <row r="45" spans="2:5">
      <c r="B45" s="180"/>
      <c r="C45" s="181" t="s">
        <v>177</v>
      </c>
      <c r="D45" s="332">
        <v>2964500</v>
      </c>
      <c r="E45" s="37"/>
    </row>
    <row r="46" spans="2:5">
      <c r="B46" s="180" t="s">
        <v>43</v>
      </c>
      <c r="C46" s="182" t="s">
        <v>178</v>
      </c>
      <c r="D46" s="333">
        <f>D45</f>
        <v>2964500</v>
      </c>
      <c r="E46" s="37"/>
    </row>
    <row r="47" spans="2:5">
      <c r="B47" s="180"/>
      <c r="C47" s="182" t="s">
        <v>247</v>
      </c>
      <c r="D47" s="333">
        <f>+'2.sz.mell.'!C34+'2.sz.mell.'!C35</f>
        <v>28651559</v>
      </c>
      <c r="E47" s="37"/>
    </row>
    <row r="48" spans="2:5">
      <c r="B48" s="180" t="s">
        <v>215</v>
      </c>
      <c r="C48" s="182" t="s">
        <v>308</v>
      </c>
      <c r="D48" s="333">
        <f>+'2.sz.mell.'!C23</f>
        <v>0</v>
      </c>
      <c r="E48" s="37"/>
    </row>
    <row r="49" spans="2:5" ht="25.5">
      <c r="B49" s="180"/>
      <c r="C49" s="185" t="s">
        <v>343</v>
      </c>
      <c r="D49" s="333">
        <f>SUM(D23,D32,D44,D46,D48)+D47</f>
        <v>313537069</v>
      </c>
      <c r="E49" s="37"/>
    </row>
    <row r="51" spans="2:5">
      <c r="D51" s="44">
        <f>+'2.sz.mell.'!C25+'2.sz.mell.'!C34+'2.sz.mell.'!C35</f>
        <v>313537069</v>
      </c>
      <c r="E51" s="37"/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7"/>
  <sheetViews>
    <sheetView zoomScaleNormal="100" workbookViewId="0">
      <selection activeCell="F20" sqref="F20"/>
    </sheetView>
  </sheetViews>
  <sheetFormatPr defaultRowHeight="12.75"/>
  <cols>
    <col min="1" max="1" width="10.28515625" style="46" customWidth="1"/>
    <col min="2" max="2" width="55" style="46" customWidth="1"/>
    <col min="3" max="3" width="23.28515625" style="46" customWidth="1"/>
    <col min="4" max="4" width="16.42578125" style="46" customWidth="1"/>
    <col min="5" max="5" width="17.85546875" style="46" customWidth="1"/>
    <col min="6" max="6" width="10.85546875" style="46" bestFit="1" customWidth="1"/>
    <col min="7" max="16384" width="9.140625" style="46"/>
  </cols>
  <sheetData>
    <row r="1" spans="1:6" ht="39" customHeight="1">
      <c r="A1" s="684" t="s">
        <v>603</v>
      </c>
      <c r="B1" s="684"/>
      <c r="C1" s="684"/>
      <c r="D1" s="269"/>
      <c r="E1" s="269"/>
      <c r="F1" s="269"/>
    </row>
    <row r="2" spans="1:6" ht="22.5" customHeight="1">
      <c r="A2" s="266"/>
      <c r="B2" s="266"/>
      <c r="C2" s="266"/>
      <c r="D2" s="266"/>
      <c r="E2" s="269"/>
      <c r="F2" s="269"/>
    </row>
    <row r="3" spans="1:6" ht="39" customHeight="1">
      <c r="A3" s="683" t="s">
        <v>549</v>
      </c>
      <c r="B3" s="683"/>
      <c r="C3" s="683"/>
      <c r="D3" s="268"/>
      <c r="E3" s="268"/>
      <c r="F3" s="268"/>
    </row>
    <row r="4" spans="1:6">
      <c r="B4" s="47"/>
      <c r="C4" s="47"/>
    </row>
    <row r="5" spans="1:6">
      <c r="B5" s="48"/>
      <c r="C5" s="48"/>
    </row>
    <row r="6" spans="1:6">
      <c r="B6" s="48"/>
    </row>
    <row r="7" spans="1:6" ht="13.5" thickBot="1">
      <c r="B7" s="48"/>
      <c r="C7" s="245" t="s">
        <v>322</v>
      </c>
    </row>
    <row r="8" spans="1:6" ht="26.25" customHeight="1" thickBot="1">
      <c r="B8" s="571" t="s">
        <v>65</v>
      </c>
      <c r="C8" s="571" t="s">
        <v>452</v>
      </c>
      <c r="D8" s="572"/>
      <c r="E8" s="572"/>
      <c r="F8" s="572"/>
    </row>
    <row r="9" spans="1:6" ht="18.75">
      <c r="B9" s="573" t="str">
        <f>+'2.sz.mell.'!B58</f>
        <v>Traktor beszerzés támogatás (ÁHT-n belül) (B25)</v>
      </c>
      <c r="C9" s="574">
        <f>+'2.sz.mell.'!C58</f>
        <v>8945081</v>
      </c>
      <c r="D9" s="572"/>
      <c r="E9" s="572"/>
      <c r="F9" s="572"/>
    </row>
    <row r="10" spans="1:6" ht="18.75">
      <c r="B10" s="573" t="str">
        <f>+'2.sz.mell.'!B59</f>
        <v>EFOP program támogatása (B25)</v>
      </c>
      <c r="C10" s="575">
        <f>+'2.sz.mell.'!C59</f>
        <v>77804327</v>
      </c>
      <c r="D10" s="572"/>
      <c r="E10" s="572"/>
      <c r="F10" s="572"/>
    </row>
    <row r="11" spans="1:6" ht="18.75">
      <c r="B11" s="573" t="s">
        <v>550</v>
      </c>
      <c r="C11" s="575">
        <v>39091566</v>
      </c>
      <c r="D11" s="572"/>
      <c r="E11" s="572"/>
      <c r="F11" s="572"/>
    </row>
    <row r="12" spans="1:6" ht="18.75">
      <c r="B12" s="573" t="s">
        <v>551</v>
      </c>
      <c r="C12" s="575">
        <v>38712761</v>
      </c>
      <c r="D12" s="572"/>
      <c r="E12" s="572"/>
      <c r="F12" s="572"/>
    </row>
    <row r="13" spans="1:6" ht="18.75">
      <c r="B13" s="573" t="str">
        <f>+'2.sz.mell.'!B60</f>
        <v>Szociális Alaszolg. Kp. konyha tető felújítás, eszköz beszerzés támogatása (B25)</v>
      </c>
      <c r="C13" s="575">
        <f>+'2.sz.mell.'!C60</f>
        <v>13223939</v>
      </c>
      <c r="D13" s="572"/>
      <c r="E13" s="572"/>
      <c r="F13" s="572"/>
    </row>
    <row r="14" spans="1:6" ht="18.75">
      <c r="B14" s="573" t="str">
        <f>+'2.sz.mell.'!B61</f>
        <v>Kamerarendszer kiépítésének támogatása</v>
      </c>
      <c r="C14" s="575">
        <f>+'2.sz.mell.'!C61</f>
        <v>8845094</v>
      </c>
      <c r="D14" s="572"/>
      <c r="E14" s="572"/>
      <c r="F14" s="572"/>
    </row>
    <row r="15" spans="1:6" s="49" customFormat="1" ht="33" customHeight="1">
      <c r="B15" s="576" t="s">
        <v>58</v>
      </c>
      <c r="C15" s="577">
        <f>+C9+C10+C13+C14</f>
        <v>108818441</v>
      </c>
      <c r="D15" s="578"/>
      <c r="E15" s="579">
        <f>+'5 b.sz.mell.'!F60</f>
        <v>108818441</v>
      </c>
      <c r="F15" s="578"/>
    </row>
    <row r="16" spans="1:6" s="582" customFormat="1" ht="39" customHeight="1">
      <c r="B16" s="583" t="s">
        <v>330</v>
      </c>
      <c r="C16" s="584">
        <f>+'3.sz.mell.'!E23</f>
        <v>201851422</v>
      </c>
      <c r="D16" s="585"/>
      <c r="E16" s="586"/>
      <c r="F16" s="585"/>
    </row>
    <row r="17" spans="2:6" ht="27.75" customHeight="1">
      <c r="B17" s="576" t="s">
        <v>58</v>
      </c>
      <c r="C17" s="577">
        <f>SUM(C16)</f>
        <v>201851422</v>
      </c>
      <c r="D17" s="572"/>
      <c r="E17" s="572"/>
      <c r="F17" s="572"/>
    </row>
    <row r="18" spans="2:6" ht="26.25" customHeight="1">
      <c r="B18" s="580" t="s">
        <v>59</v>
      </c>
      <c r="C18" s="577">
        <f>SUM(C15,C17)</f>
        <v>310669863</v>
      </c>
      <c r="D18" s="572"/>
      <c r="E18" s="581"/>
      <c r="F18" s="572"/>
    </row>
    <row r="19" spans="2:6" ht="18.75">
      <c r="B19" s="572"/>
      <c r="C19" s="572"/>
      <c r="D19" s="572"/>
      <c r="E19" s="572"/>
      <c r="F19" s="572"/>
    </row>
    <row r="20" spans="2:6" ht="18.75">
      <c r="B20" s="572"/>
      <c r="C20" s="581">
        <f>+'3.sz.mell.'!E24</f>
        <v>310669863</v>
      </c>
      <c r="D20" s="572"/>
      <c r="E20" s="572"/>
      <c r="F20" s="572"/>
    </row>
    <row r="21" spans="2:6" ht="18.75">
      <c r="B21" s="572"/>
      <c r="C21" s="581"/>
      <c r="D21" s="572"/>
      <c r="E21" s="572"/>
      <c r="F21" s="572"/>
    </row>
    <row r="22" spans="2:6" ht="18.75">
      <c r="B22" s="572"/>
      <c r="C22" s="572"/>
      <c r="D22" s="581"/>
      <c r="E22" s="572"/>
      <c r="F22" s="572"/>
    </row>
    <row r="23" spans="2:6" ht="18.75">
      <c r="B23" s="572"/>
      <c r="C23" s="572"/>
      <c r="D23" s="572"/>
      <c r="E23" s="572"/>
      <c r="F23" s="572"/>
    </row>
    <row r="24" spans="2:6" ht="18.75">
      <c r="B24" s="572"/>
      <c r="C24" s="572"/>
      <c r="D24" s="572"/>
      <c r="E24" s="572"/>
      <c r="F24" s="572"/>
    </row>
    <row r="25" spans="2:6" ht="18.75">
      <c r="B25" s="572"/>
      <c r="C25" s="572"/>
      <c r="D25" s="572"/>
      <c r="E25" s="572"/>
      <c r="F25" s="572"/>
    </row>
    <row r="26" spans="2:6" ht="18.75">
      <c r="B26" s="572"/>
      <c r="C26" s="572"/>
      <c r="D26" s="572"/>
      <c r="E26" s="572"/>
      <c r="F26" s="572"/>
    </row>
    <row r="27" spans="2:6" ht="18.75">
      <c r="B27" s="572"/>
      <c r="C27" s="572"/>
      <c r="D27" s="572"/>
      <c r="E27" s="572"/>
      <c r="F27" s="572"/>
    </row>
  </sheetData>
  <mergeCells count="2">
    <mergeCell ref="A3:C3"/>
    <mergeCell ref="A1:C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9"/>
  <sheetViews>
    <sheetView zoomScaleNormal="100" workbookViewId="0">
      <selection activeCell="G13" sqref="G13"/>
    </sheetView>
  </sheetViews>
  <sheetFormatPr defaultRowHeight="15.75"/>
  <cols>
    <col min="1" max="1" width="5.85546875" style="46" customWidth="1"/>
    <col min="2" max="2" width="57.140625" style="59" customWidth="1"/>
    <col min="3" max="3" width="30.85546875" style="59" customWidth="1"/>
    <col min="4" max="4" width="18.5703125" style="65" customWidth="1"/>
    <col min="5" max="5" width="18.85546875" style="46" customWidth="1"/>
    <col min="6" max="16384" width="9.140625" style="46"/>
  </cols>
  <sheetData>
    <row r="1" spans="1:5" ht="30" customHeight="1">
      <c r="A1" s="621" t="s">
        <v>604</v>
      </c>
      <c r="B1" s="621"/>
      <c r="C1" s="621"/>
      <c r="D1" s="621"/>
      <c r="E1" s="621"/>
    </row>
    <row r="2" spans="1:5" ht="30" customHeight="1">
      <c r="A2" s="265"/>
      <c r="B2" s="265"/>
      <c r="C2" s="265"/>
      <c r="D2" s="265"/>
      <c r="E2" s="265"/>
    </row>
    <row r="3" spans="1:5" ht="49.5" customHeight="1">
      <c r="A3" s="685" t="s">
        <v>553</v>
      </c>
      <c r="B3" s="685"/>
      <c r="C3" s="685"/>
      <c r="D3" s="685"/>
      <c r="E3" s="685"/>
    </row>
    <row r="4" spans="1:5">
      <c r="B4" s="53"/>
      <c r="C4" s="53"/>
      <c r="D4" s="54"/>
    </row>
    <row r="5" spans="1:5" ht="19.5" customHeight="1" thickBot="1">
      <c r="B5" s="53"/>
      <c r="C5" s="53"/>
      <c r="D5" s="54" t="s">
        <v>322</v>
      </c>
    </row>
    <row r="6" spans="1:5" s="49" customFormat="1" ht="39" customHeight="1" thickBot="1">
      <c r="B6" s="270" t="s">
        <v>319</v>
      </c>
      <c r="C6" s="271" t="s">
        <v>309</v>
      </c>
      <c r="D6" s="469" t="s">
        <v>552</v>
      </c>
    </row>
    <row r="7" spans="1:5">
      <c r="B7" s="55" t="s">
        <v>61</v>
      </c>
      <c r="C7" s="55"/>
      <c r="D7" s="273">
        <f>SUM(D8:D10)</f>
        <v>154824197</v>
      </c>
    </row>
    <row r="8" spans="1:5">
      <c r="B8" s="408" t="s">
        <v>559</v>
      </c>
      <c r="C8" s="587" t="s">
        <v>310</v>
      </c>
      <c r="D8" s="407">
        <v>148074197</v>
      </c>
    </row>
    <row r="9" spans="1:5">
      <c r="B9" s="408" t="s">
        <v>565</v>
      </c>
      <c r="C9" s="587" t="s">
        <v>310</v>
      </c>
      <c r="D9" s="407">
        <v>1750000</v>
      </c>
    </row>
    <row r="10" spans="1:5">
      <c r="B10" s="353" t="s">
        <v>560</v>
      </c>
      <c r="C10" s="351" t="s">
        <v>310</v>
      </c>
      <c r="D10" s="352">
        <v>5000000</v>
      </c>
    </row>
    <row r="11" spans="1:5">
      <c r="B11" s="56" t="s">
        <v>62</v>
      </c>
      <c r="C11" s="55"/>
      <c r="D11" s="432">
        <f>+SUM(D12:D28)</f>
        <v>121747555</v>
      </c>
    </row>
    <row r="12" spans="1:5">
      <c r="B12" s="353" t="s">
        <v>554</v>
      </c>
      <c r="C12" s="351" t="s">
        <v>311</v>
      </c>
      <c r="D12" s="409">
        <v>23529412</v>
      </c>
      <c r="E12" s="509"/>
    </row>
    <row r="13" spans="1:5">
      <c r="B13" s="350" t="s">
        <v>555</v>
      </c>
      <c r="C13" s="272" t="s">
        <v>310</v>
      </c>
      <c r="D13" s="409">
        <v>9827883</v>
      </c>
    </row>
    <row r="14" spans="1:5">
      <c r="B14" s="350" t="s">
        <v>556</v>
      </c>
      <c r="C14" s="272" t="s">
        <v>310</v>
      </c>
      <c r="D14" s="409">
        <v>23346577</v>
      </c>
    </row>
    <row r="15" spans="1:5">
      <c r="B15" s="350" t="s">
        <v>557</v>
      </c>
      <c r="C15" s="272" t="s">
        <v>311</v>
      </c>
      <c r="D15" s="409">
        <v>15385528</v>
      </c>
    </row>
    <row r="16" spans="1:5">
      <c r="B16" s="350" t="s">
        <v>558</v>
      </c>
      <c r="C16" s="272" t="s">
        <v>310</v>
      </c>
      <c r="D16" s="409">
        <f>2734000+2380000</f>
        <v>5114000</v>
      </c>
    </row>
    <row r="17" spans="2:5">
      <c r="B17" s="350" t="s">
        <v>360</v>
      </c>
      <c r="C17" s="272" t="s">
        <v>310</v>
      </c>
      <c r="D17" s="409">
        <v>33052208</v>
      </c>
    </row>
    <row r="18" spans="2:5">
      <c r="B18" s="350" t="s">
        <v>561</v>
      </c>
      <c r="C18" s="272" t="s">
        <v>311</v>
      </c>
      <c r="D18" s="409">
        <v>1500000</v>
      </c>
    </row>
    <row r="19" spans="2:5">
      <c r="B19" s="350" t="s">
        <v>562</v>
      </c>
      <c r="C19" s="272" t="s">
        <v>310</v>
      </c>
      <c r="D19" s="409">
        <v>250000</v>
      </c>
    </row>
    <row r="20" spans="2:5">
      <c r="B20" s="350" t="s">
        <v>563</v>
      </c>
      <c r="C20" s="272" t="s">
        <v>311</v>
      </c>
      <c r="D20" s="409">
        <v>150000</v>
      </c>
    </row>
    <row r="21" spans="2:5">
      <c r="B21" s="350" t="s">
        <v>564</v>
      </c>
      <c r="C21" s="272" t="s">
        <v>310</v>
      </c>
      <c r="D21" s="409">
        <v>130000</v>
      </c>
    </row>
    <row r="22" spans="2:5">
      <c r="B22" s="350" t="s">
        <v>566</v>
      </c>
      <c r="C22" s="272" t="s">
        <v>310</v>
      </c>
      <c r="D22" s="409">
        <v>2400000</v>
      </c>
    </row>
    <row r="23" spans="2:5">
      <c r="B23" s="350" t="s">
        <v>567</v>
      </c>
      <c r="C23" s="272" t="s">
        <v>311</v>
      </c>
      <c r="D23" s="409">
        <f>4500000+162947</f>
        <v>4662947</v>
      </c>
    </row>
    <row r="24" spans="2:5">
      <c r="B24" s="350" t="s">
        <v>568</v>
      </c>
      <c r="C24" s="272" t="s">
        <v>310</v>
      </c>
      <c r="D24" s="409">
        <v>1000000</v>
      </c>
    </row>
    <row r="25" spans="2:5">
      <c r="B25" s="350" t="s">
        <v>569</v>
      </c>
      <c r="C25" s="272" t="s">
        <v>310</v>
      </c>
      <c r="D25" s="409">
        <v>324500</v>
      </c>
    </row>
    <row r="26" spans="2:5">
      <c r="B26" s="350" t="s">
        <v>570</v>
      </c>
      <c r="C26" s="272" t="s">
        <v>310</v>
      </c>
      <c r="D26" s="409">
        <v>317500</v>
      </c>
    </row>
    <row r="27" spans="2:5">
      <c r="B27" s="350" t="s">
        <v>571</v>
      </c>
      <c r="C27" s="272" t="s">
        <v>310</v>
      </c>
      <c r="D27" s="409">
        <v>127000</v>
      </c>
    </row>
    <row r="28" spans="2:5" ht="31.5">
      <c r="B28" s="588" t="s">
        <v>572</v>
      </c>
      <c r="C28" s="589" t="s">
        <v>310</v>
      </c>
      <c r="D28" s="409">
        <v>630000</v>
      </c>
    </row>
    <row r="29" spans="2:5" ht="15" customHeight="1">
      <c r="B29" s="52" t="s">
        <v>58</v>
      </c>
      <c r="C29" s="52"/>
      <c r="D29" s="349">
        <f>+D11+D7</f>
        <v>276571752</v>
      </c>
    </row>
    <row r="30" spans="2:5" s="49" customFormat="1">
      <c r="B30" s="57"/>
      <c r="C30" s="57"/>
      <c r="D30" s="472"/>
    </row>
    <row r="31" spans="2:5" ht="24.75" customHeight="1">
      <c r="B31" s="57"/>
      <c r="C31" s="57"/>
      <c r="D31" s="58">
        <f>233711826+42859926</f>
        <v>276571752</v>
      </c>
      <c r="E31" s="441">
        <f>+'2.sz.mell.'!C88</f>
        <v>276571752</v>
      </c>
    </row>
    <row r="32" spans="2:5" ht="11.25" customHeight="1">
      <c r="B32" s="57"/>
      <c r="C32" s="57"/>
      <c r="D32" s="58"/>
    </row>
    <row r="33" spans="2:5" s="49" customFormat="1">
      <c r="B33" s="57"/>
      <c r="C33" s="57"/>
      <c r="D33" s="58">
        <f>+D29-D31</f>
        <v>0</v>
      </c>
      <c r="E33" s="472">
        <f>+E31-D29</f>
        <v>0</v>
      </c>
    </row>
    <row r="34" spans="2:5" s="49" customFormat="1">
      <c r="B34" s="59"/>
      <c r="C34" s="59"/>
      <c r="D34" s="59"/>
    </row>
    <row r="35" spans="2:5">
      <c r="D35" s="59"/>
    </row>
    <row r="36" spans="2:5" s="49" customFormat="1">
      <c r="B36" s="59"/>
      <c r="C36" s="59"/>
      <c r="D36" s="59"/>
    </row>
    <row r="37" spans="2:5">
      <c r="D37" s="59"/>
    </row>
    <row r="38" spans="2:5">
      <c r="D38" s="59"/>
    </row>
    <row r="39" spans="2:5">
      <c r="D39" s="59"/>
    </row>
    <row r="40" spans="2:5">
      <c r="D40" s="59"/>
    </row>
    <row r="41" spans="2:5">
      <c r="D41" s="59"/>
    </row>
    <row r="42" spans="2:5">
      <c r="D42" s="59"/>
    </row>
    <row r="43" spans="2:5">
      <c r="D43" s="59"/>
    </row>
    <row r="44" spans="2:5">
      <c r="D44" s="59"/>
    </row>
    <row r="45" spans="2:5">
      <c r="D45" s="59"/>
    </row>
    <row r="46" spans="2:5">
      <c r="D46" s="59"/>
    </row>
    <row r="47" spans="2:5">
      <c r="B47" s="60"/>
      <c r="C47" s="60"/>
      <c r="D47" s="61"/>
    </row>
    <row r="48" spans="2:5">
      <c r="B48" s="60"/>
      <c r="C48" s="60"/>
      <c r="D48" s="61"/>
    </row>
    <row r="49" spans="2:4">
      <c r="B49" s="60"/>
      <c r="C49" s="60"/>
      <c r="D49" s="61"/>
    </row>
    <row r="50" spans="2:4">
      <c r="B50" s="60"/>
      <c r="C50" s="60"/>
      <c r="D50" s="61"/>
    </row>
    <row r="51" spans="2:4" s="51" customFormat="1">
      <c r="B51" s="60"/>
      <c r="C51" s="60"/>
      <c r="D51" s="61"/>
    </row>
    <row r="52" spans="2:4" s="49" customFormat="1">
      <c r="B52" s="60"/>
      <c r="C52" s="60"/>
      <c r="D52" s="61"/>
    </row>
    <row r="53" spans="2:4" s="62" customFormat="1">
      <c r="B53" s="60"/>
      <c r="C53" s="60"/>
      <c r="D53" s="61"/>
    </row>
    <row r="54" spans="2:4">
      <c r="B54" s="60"/>
      <c r="C54" s="60"/>
      <c r="D54" s="61"/>
    </row>
    <row r="55" spans="2:4">
      <c r="B55" s="60"/>
      <c r="C55" s="60"/>
      <c r="D55" s="61"/>
    </row>
    <row r="56" spans="2:4">
      <c r="B56" s="60"/>
      <c r="C56" s="60"/>
      <c r="D56" s="61"/>
    </row>
    <row r="57" spans="2:4">
      <c r="B57" s="60"/>
      <c r="C57" s="60"/>
      <c r="D57" s="61"/>
    </row>
    <row r="58" spans="2:4">
      <c r="B58" s="60"/>
      <c r="C58" s="60"/>
      <c r="D58" s="61"/>
    </row>
    <row r="59" spans="2:4">
      <c r="B59" s="60"/>
      <c r="C59" s="60"/>
      <c r="D59" s="61"/>
    </row>
    <row r="60" spans="2:4">
      <c r="B60" s="60"/>
      <c r="C60" s="60"/>
      <c r="D60" s="61"/>
    </row>
    <row r="61" spans="2:4">
      <c r="B61" s="60"/>
      <c r="C61" s="60"/>
      <c r="D61" s="61"/>
    </row>
    <row r="62" spans="2:4">
      <c r="B62" s="60"/>
      <c r="C62" s="60"/>
      <c r="D62" s="61"/>
    </row>
    <row r="63" spans="2:4">
      <c r="B63" s="60"/>
      <c r="C63" s="60"/>
      <c r="D63" s="61"/>
    </row>
    <row r="64" spans="2:4">
      <c r="B64" s="60"/>
      <c r="C64" s="60"/>
      <c r="D64" s="61"/>
    </row>
    <row r="65" spans="2:4">
      <c r="B65" s="57"/>
      <c r="C65" s="57"/>
      <c r="D65" s="63"/>
    </row>
    <row r="66" spans="2:4">
      <c r="D66" s="59"/>
    </row>
    <row r="67" spans="2:4">
      <c r="D67" s="59"/>
    </row>
    <row r="68" spans="2:4" s="49" customFormat="1">
      <c r="B68" s="57"/>
      <c r="C68" s="57"/>
      <c r="D68" s="57"/>
    </row>
    <row r="69" spans="2:4">
      <c r="D69" s="59"/>
    </row>
    <row r="70" spans="2:4">
      <c r="D70" s="59"/>
    </row>
    <row r="71" spans="2:4" s="49" customFormat="1">
      <c r="B71" s="57"/>
      <c r="C71" s="57"/>
      <c r="D71" s="59"/>
    </row>
    <row r="72" spans="2:4">
      <c r="B72" s="60"/>
      <c r="C72" s="60"/>
      <c r="D72" s="64"/>
    </row>
    <row r="73" spans="2:4">
      <c r="B73" s="60"/>
      <c r="C73" s="60"/>
      <c r="D73" s="64"/>
    </row>
    <row r="74" spans="2:4">
      <c r="B74" s="60"/>
      <c r="C74" s="60"/>
      <c r="D74" s="64"/>
    </row>
    <row r="75" spans="2:4">
      <c r="B75" s="60"/>
      <c r="C75" s="60"/>
      <c r="D75" s="64"/>
    </row>
    <row r="76" spans="2:4">
      <c r="B76" s="60"/>
      <c r="C76" s="60"/>
      <c r="D76" s="64"/>
    </row>
    <row r="77" spans="2:4">
      <c r="B77" s="60"/>
      <c r="C77" s="60"/>
      <c r="D77" s="64"/>
    </row>
    <row r="78" spans="2:4">
      <c r="B78" s="60"/>
      <c r="C78" s="60"/>
      <c r="D78" s="64"/>
    </row>
    <row r="79" spans="2:4">
      <c r="B79" s="60"/>
      <c r="C79" s="60"/>
      <c r="D79" s="64"/>
    </row>
    <row r="80" spans="2:4">
      <c r="B80" s="57"/>
      <c r="C80" s="57"/>
      <c r="D80" s="58"/>
    </row>
    <row r="81" spans="2:4">
      <c r="B81" s="57"/>
      <c r="C81" s="57"/>
    </row>
    <row r="82" spans="2:4">
      <c r="D82" s="58"/>
    </row>
    <row r="83" spans="2:4">
      <c r="B83" s="57"/>
      <c r="C83" s="57"/>
    </row>
    <row r="85" spans="2:4">
      <c r="D85" s="58"/>
    </row>
    <row r="86" spans="2:4">
      <c r="B86" s="57"/>
      <c r="C86" s="57"/>
      <c r="D86" s="58"/>
    </row>
    <row r="87" spans="2:4">
      <c r="B87" s="57"/>
      <c r="C87" s="57"/>
    </row>
    <row r="88" spans="2:4">
      <c r="D88" s="58"/>
    </row>
    <row r="89" spans="2:4">
      <c r="B89" s="57"/>
      <c r="C89" s="57"/>
      <c r="D89" s="64"/>
    </row>
    <row r="90" spans="2:4">
      <c r="B90" s="66"/>
      <c r="C90" s="66"/>
      <c r="D90" s="64"/>
    </row>
    <row r="91" spans="2:4">
      <c r="B91" s="66"/>
      <c r="C91" s="66"/>
      <c r="D91" s="64"/>
    </row>
    <row r="92" spans="2:4">
      <c r="B92" s="66"/>
      <c r="C92" s="66"/>
      <c r="D92" s="64"/>
    </row>
    <row r="93" spans="2:4">
      <c r="B93" s="66"/>
      <c r="C93" s="66"/>
      <c r="D93" s="64"/>
    </row>
    <row r="94" spans="2:4">
      <c r="B94" s="66"/>
      <c r="C94" s="66"/>
      <c r="D94" s="64"/>
    </row>
    <row r="95" spans="2:4">
      <c r="B95" s="66"/>
      <c r="C95" s="66"/>
      <c r="D95" s="64"/>
    </row>
    <row r="96" spans="2:4">
      <c r="B96" s="66"/>
      <c r="C96" s="66"/>
      <c r="D96" s="64"/>
    </row>
    <row r="97" spans="2:4">
      <c r="B97" s="66"/>
      <c r="C97" s="66"/>
      <c r="D97" s="64"/>
    </row>
    <row r="98" spans="2:4">
      <c r="B98" s="66"/>
      <c r="C98" s="66"/>
    </row>
    <row r="105" spans="2:4">
      <c r="D105" s="58"/>
    </row>
    <row r="106" spans="2:4">
      <c r="B106" s="57"/>
      <c r="C106" s="57"/>
    </row>
    <row r="107" spans="2:4">
      <c r="D107" s="58"/>
    </row>
    <row r="108" spans="2:4">
      <c r="B108" s="57"/>
      <c r="C108" s="57"/>
    </row>
    <row r="111" spans="2:4">
      <c r="D111" s="58"/>
    </row>
    <row r="112" spans="2:4">
      <c r="D112" s="59"/>
    </row>
    <row r="113" spans="2:4">
      <c r="D113" s="58"/>
    </row>
    <row r="114" spans="2:4">
      <c r="B114" s="57"/>
      <c r="C114" s="57"/>
      <c r="D114" s="64"/>
    </row>
    <row r="115" spans="2:4">
      <c r="B115" s="66"/>
      <c r="C115" s="66"/>
    </row>
    <row r="116" spans="2:4">
      <c r="D116" s="58"/>
    </row>
    <row r="117" spans="2:4">
      <c r="B117" s="57"/>
      <c r="C117" s="57"/>
    </row>
    <row r="118" spans="2:4">
      <c r="D118" s="58"/>
    </row>
    <row r="119" spans="2:4">
      <c r="B119" s="57"/>
      <c r="C119" s="57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18</vt:i4>
      </vt:variant>
    </vt:vector>
  </HeadingPairs>
  <TitlesOfParts>
    <vt:vector size="39" baseType="lpstr">
      <vt:lpstr>Címrend</vt:lpstr>
      <vt:lpstr>2.sz.mell.</vt:lpstr>
      <vt:lpstr>3.sz.mell.</vt:lpstr>
      <vt:lpstr>4.sz.mell.</vt:lpstr>
      <vt:lpstr>5.a sz.mell.</vt:lpstr>
      <vt:lpstr>5 b.sz.mell.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'2.sz.mell.'!Nyomtatási_cím</vt:lpstr>
      <vt:lpstr>'3.sz.mell.'!Nyomtatási_cím</vt:lpstr>
      <vt:lpstr>'12.sz.mell.'!Nyomtatási_terület</vt:lpstr>
      <vt:lpstr>'14.sz.mell.'!Nyomtatási_terület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 b.sz.mell.'!Nyomtatási_terület</vt:lpstr>
      <vt:lpstr>'5.a 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2019-08-21T09:19:35Z</cp:lastPrinted>
  <dcterms:created xsi:type="dcterms:W3CDTF">2015-02-02T07:42:02Z</dcterms:created>
  <dcterms:modified xsi:type="dcterms:W3CDTF">2019-08-21T09:22:01Z</dcterms:modified>
</cp:coreProperties>
</file>